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.Zbookrs-HP\Dropbox\Rachelle\GERF\coursera - Financial Engineering and Risk Management I\"/>
    </mc:Choice>
  </mc:AlternateContent>
  <xr:revisionPtr revIDLastSave="0" documentId="13_ncr:1_{ACEFB923-B440-47A8-B6EB-27657F0B95B5}" xr6:coauthVersionLast="45" xr6:coauthVersionMax="45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EuropeanCall_EG" sheetId="4" r:id="rId1"/>
    <sheet name="AmericanPut_EG" sheetId="5" r:id="rId2"/>
    <sheet name="OptionsOnFuturesEG 15" sheetId="9" r:id="rId3"/>
    <sheet name="OptionsOnFuturesEG 10" sheetId="6" r:id="rId4"/>
    <sheet name="15PeriodBinomialModel" sheetId="8" r:id="rId5"/>
    <sheet name="10PeriodBinomialModel" sheetId="7" r:id="rId6"/>
  </sheets>
  <definedNames>
    <definedName name="CallPut">'OptionsOnFuturesEG 15'!$J$2</definedName>
    <definedName name="d">'OptionsOnFuturesEG 15'!$B$9</definedName>
    <definedName name="divYield">'OptionsOnFuturesEG 15'!$B$7</definedName>
    <definedName name="Exp">'OptionsOnFuturesEG 15'!$J$4</definedName>
    <definedName name="Expir">'OptionsOnFuturesEG 15'!$J$4</definedName>
    <definedName name="FExp">'OptionsOnFuturesEG 15'!$F$2</definedName>
    <definedName name="FuturesLattice" localSheetId="3">'OptionsOnFuturesEG 10'!$A$29:$N$42</definedName>
    <definedName name="FuturesLattice" localSheetId="2">'OptionsOnFuturesEG 15'!$A$34:$O$52</definedName>
    <definedName name="FuturesLattice">#REF!</definedName>
    <definedName name="FuturesOptionLattice" localSheetId="3">'OptionsOnFuturesEG 10'!$A$45:$N$58</definedName>
    <definedName name="FuturesOptionLattice" localSheetId="2">'OptionsOnFuturesEG 15'!$A$55:$O$73</definedName>
    <definedName name="FuturesOptionLattice">#REF!</definedName>
    <definedName name="K">'OptionsOnFuturesEG 15'!$J$3</definedName>
    <definedName name="n">'OptionsOnFuturesEG 15'!$B$5</definedName>
    <definedName name="OneMinq">'OptionsOnFuturesEG 15'!$B$11</definedName>
    <definedName name="OptExp">'OptionsOnFuturesEG 15'!$J$4</definedName>
    <definedName name="OptionLattice" localSheetId="1">AmericanPut_EG!$A$22:$G$28</definedName>
    <definedName name="OptionLattice" localSheetId="0">EuropeanCall_EG!$A$22:$G$28</definedName>
    <definedName name="OptionLattice" localSheetId="3">'OptionsOnFuturesEG 10'!#REF!</definedName>
    <definedName name="OptionLattice" localSheetId="2">'OptionsOnFuturesEG 15'!#REF!</definedName>
    <definedName name="OptionLattice">#REF!</definedName>
    <definedName name="q">'OptionsOnFuturesEG 15'!$B$10</definedName>
    <definedName name="rate">'OptionsOnFuturesEG 15'!$B$6</definedName>
    <definedName name="S0">'OptionsOnFuturesEG 15'!$B$2</definedName>
    <definedName name="sigma">'OptionsOnFuturesEG 15'!$B$4</definedName>
    <definedName name="StockLattice" localSheetId="1">AmericanPut_EG!$A$13:$G$19</definedName>
    <definedName name="StockLattice" localSheetId="0">EuropeanCall_EG!$A$13:$G$19</definedName>
    <definedName name="StockLattice" localSheetId="3">'OptionsOnFuturesEG 10'!#REF!</definedName>
    <definedName name="StockLattice" localSheetId="2">'OptionsOnFuturesEG 15'!#REF!</definedName>
    <definedName name="StockLattice">#REF!</definedName>
    <definedName name="StockLattice_2" localSheetId="3">'OptionsOnFuturesEG 10'!$A$13:$N$26</definedName>
    <definedName name="StockLattice_2" localSheetId="2">'OptionsOnFuturesEG 15'!$A$13:$O$31</definedName>
    <definedName name="StockLattice_2">#REF!</definedName>
    <definedName name="T">'OptionsOnFuturesEG 15'!$B$3</definedName>
    <definedName name="u">'OptionsOnFuturesEG 15'!$B$8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2" i="6" l="1"/>
  <c r="AG92" i="9"/>
  <c r="AG78" i="9"/>
  <c r="AG79" i="9"/>
  <c r="AG80" i="9"/>
  <c r="AG81" i="9"/>
  <c r="AG82" i="9"/>
  <c r="AG83" i="9"/>
  <c r="AG84" i="9"/>
  <c r="AG85" i="9"/>
  <c r="AG86" i="9"/>
  <c r="AG87" i="9"/>
  <c r="AG88" i="9"/>
  <c r="AG89" i="9"/>
  <c r="AG90" i="9"/>
  <c r="AG91" i="9"/>
  <c r="AH92" i="9"/>
  <c r="AH91" i="9"/>
  <c r="AH90" i="9"/>
  <c r="AH89" i="9"/>
  <c r="AH88" i="9"/>
  <c r="AH87" i="9"/>
  <c r="AH86" i="9"/>
  <c r="AH85" i="9"/>
  <c r="AH84" i="9"/>
  <c r="AH83" i="9"/>
  <c r="AH82" i="9"/>
  <c r="AH81" i="9"/>
  <c r="AH80" i="9"/>
  <c r="AH79" i="9"/>
  <c r="AH78" i="9"/>
  <c r="AH77" i="9"/>
  <c r="T91" i="9"/>
  <c r="U92" i="9"/>
  <c r="U91" i="9"/>
  <c r="U90" i="9"/>
  <c r="V92" i="9"/>
  <c r="V91" i="9"/>
  <c r="V90" i="9"/>
  <c r="V89" i="9"/>
  <c r="W92" i="9"/>
  <c r="W91" i="9"/>
  <c r="W90" i="9"/>
  <c r="W89" i="9"/>
  <c r="W88" i="9"/>
  <c r="X92" i="9"/>
  <c r="X91" i="9"/>
  <c r="X90" i="9"/>
  <c r="X89" i="9"/>
  <c r="X88" i="9"/>
  <c r="X87" i="9"/>
  <c r="Y92" i="9"/>
  <c r="Y91" i="9"/>
  <c r="Y90" i="9"/>
  <c r="Y89" i="9"/>
  <c r="Y88" i="9"/>
  <c r="Y87" i="9"/>
  <c r="Y86" i="9"/>
  <c r="Z92" i="9"/>
  <c r="Z91" i="9"/>
  <c r="Z90" i="9"/>
  <c r="Z89" i="9"/>
  <c r="Z88" i="9"/>
  <c r="Z87" i="9"/>
  <c r="Z86" i="9"/>
  <c r="Z85" i="9"/>
  <c r="AA92" i="9"/>
  <c r="AA91" i="9"/>
  <c r="AA90" i="9"/>
  <c r="AA89" i="9"/>
  <c r="AA88" i="9"/>
  <c r="AA87" i="9"/>
  <c r="AA86" i="9"/>
  <c r="AA85" i="9"/>
  <c r="AA84" i="9"/>
  <c r="AB92" i="9"/>
  <c r="AB91" i="9"/>
  <c r="AB90" i="9"/>
  <c r="AB89" i="9"/>
  <c r="AB88" i="9"/>
  <c r="AB87" i="9"/>
  <c r="AB86" i="9"/>
  <c r="AB85" i="9"/>
  <c r="AB84" i="9"/>
  <c r="AB83" i="9"/>
  <c r="AC92" i="9"/>
  <c r="AC91" i="9"/>
  <c r="AC90" i="9"/>
  <c r="AC89" i="9"/>
  <c r="AC88" i="9"/>
  <c r="AC87" i="9"/>
  <c r="AC86" i="9"/>
  <c r="AC85" i="9"/>
  <c r="AC84" i="9"/>
  <c r="AC83" i="9"/>
  <c r="AC82" i="9"/>
  <c r="AD92" i="9"/>
  <c r="AD91" i="9"/>
  <c r="AD90" i="9"/>
  <c r="AD89" i="9"/>
  <c r="AD88" i="9"/>
  <c r="AD87" i="9"/>
  <c r="AD86" i="9"/>
  <c r="AD85" i="9"/>
  <c r="AD84" i="9"/>
  <c r="AD83" i="9"/>
  <c r="AD82" i="9"/>
  <c r="AD81" i="9"/>
  <c r="AE92" i="9"/>
  <c r="AE91" i="9"/>
  <c r="AE90" i="9"/>
  <c r="AE89" i="9"/>
  <c r="AE88" i="9"/>
  <c r="AE87" i="9"/>
  <c r="AE86" i="9"/>
  <c r="AE85" i="9"/>
  <c r="AE84" i="9"/>
  <c r="AE83" i="9"/>
  <c r="AE82" i="9"/>
  <c r="AE81" i="9"/>
  <c r="AE80" i="9"/>
  <c r="AF92" i="9"/>
  <c r="AF91" i="9"/>
  <c r="AF90" i="9"/>
  <c r="AF89" i="9"/>
  <c r="AF88" i="9"/>
  <c r="AF87" i="9"/>
  <c r="AF86" i="9"/>
  <c r="AF85" i="9"/>
  <c r="AF84" i="9"/>
  <c r="AF83" i="9"/>
  <c r="AF82" i="9"/>
  <c r="AF81" i="9"/>
  <c r="AF80" i="9"/>
  <c r="AF79" i="9"/>
  <c r="T92" i="9"/>
  <c r="S92" i="9"/>
  <c r="K63" i="6" l="1"/>
  <c r="L72" i="6"/>
  <c r="L71" i="6"/>
  <c r="L70" i="6"/>
  <c r="L69" i="6"/>
  <c r="L68" i="6"/>
  <c r="L67" i="6"/>
  <c r="L66" i="6"/>
  <c r="L65" i="6"/>
  <c r="L64" i="6"/>
  <c r="L63" i="6"/>
  <c r="C8" i="9"/>
  <c r="B10" i="6"/>
  <c r="D26" i="5"/>
  <c r="B8" i="9"/>
  <c r="B9" i="9" l="1"/>
  <c r="M27" i="9" s="1"/>
  <c r="K21" i="9"/>
  <c r="O22" i="9"/>
  <c r="Q23" i="9"/>
  <c r="G28" i="9"/>
  <c r="I23" i="9"/>
  <c r="H26" i="9" l="1"/>
  <c r="P23" i="9"/>
  <c r="F27" i="9"/>
  <c r="L28" i="9"/>
  <c r="M20" i="9"/>
  <c r="G29" i="9"/>
  <c r="L19" i="9"/>
  <c r="I25" i="9"/>
  <c r="Q14" i="9"/>
  <c r="Q77" i="9" s="1"/>
  <c r="B10" i="9"/>
  <c r="P29" i="9"/>
  <c r="O28" i="9"/>
  <c r="M22" i="9"/>
  <c r="N18" i="9"/>
  <c r="Q17" i="9"/>
  <c r="P21" i="9"/>
  <c r="M26" i="9"/>
  <c r="N22" i="9"/>
  <c r="P25" i="9"/>
  <c r="P17" i="9"/>
  <c r="O20" i="9"/>
  <c r="N26" i="9"/>
  <c r="Q21" i="9"/>
  <c r="O24" i="9"/>
  <c r="O16" i="9"/>
  <c r="M18" i="9"/>
  <c r="I27" i="9"/>
  <c r="K22" i="9"/>
  <c r="D27" i="9"/>
  <c r="Q28" i="9"/>
  <c r="O27" i="9"/>
  <c r="M25" i="9"/>
  <c r="I24" i="9"/>
  <c r="K27" i="9"/>
  <c r="C28" i="9"/>
  <c r="L24" i="9"/>
  <c r="Q19" i="9"/>
  <c r="P19" i="9"/>
  <c r="O18" i="9"/>
  <c r="N28" i="9"/>
  <c r="I22" i="9"/>
  <c r="K26" i="9"/>
  <c r="J28" i="9"/>
  <c r="C29" i="9"/>
  <c r="Q26" i="9"/>
  <c r="P26" i="9"/>
  <c r="O25" i="9"/>
  <c r="M23" i="9"/>
  <c r="N19" i="9"/>
  <c r="J21" i="9"/>
  <c r="H25" i="9"/>
  <c r="E27" i="9"/>
  <c r="F29" i="9"/>
  <c r="J23" i="9"/>
  <c r="I26" i="9"/>
  <c r="H28" i="9"/>
  <c r="L29" i="9"/>
  <c r="Q24" i="9"/>
  <c r="P24" i="9"/>
  <c r="O23" i="9"/>
  <c r="M21" i="9"/>
  <c r="N17" i="9"/>
  <c r="O29" i="9"/>
  <c r="N23" i="9"/>
  <c r="G24" i="9"/>
  <c r="J29" i="9"/>
  <c r="G25" i="9"/>
  <c r="E29" i="9"/>
  <c r="P28" i="9"/>
  <c r="N21" i="9"/>
  <c r="J25" i="9"/>
  <c r="G27" i="9"/>
  <c r="H29" i="9"/>
  <c r="L20" i="9"/>
  <c r="Q15" i="9"/>
  <c r="P15" i="9"/>
  <c r="M28" i="9"/>
  <c r="N24" i="9"/>
  <c r="H23" i="9"/>
  <c r="G26" i="9"/>
  <c r="F28" i="9"/>
  <c r="L27" i="9"/>
  <c r="Q22" i="9"/>
  <c r="P22" i="9"/>
  <c r="O21" i="9"/>
  <c r="M19" i="9"/>
  <c r="L22" i="9"/>
  <c r="K23" i="9"/>
  <c r="J26" i="9"/>
  <c r="I28" i="9"/>
  <c r="B29" i="9"/>
  <c r="J24" i="9"/>
  <c r="E26" i="9"/>
  <c r="D28" i="9"/>
  <c r="L25" i="9"/>
  <c r="Q20" i="9"/>
  <c r="P20" i="9"/>
  <c r="O19" i="9"/>
  <c r="N29" i="9"/>
  <c r="Q29" i="9"/>
  <c r="Q86" i="9"/>
  <c r="Q44" i="9"/>
  <c r="J22" i="9"/>
  <c r="F25" i="9"/>
  <c r="K28" i="9"/>
  <c r="D29" i="9"/>
  <c r="Q27" i="9"/>
  <c r="P27" i="9"/>
  <c r="O26" i="9"/>
  <c r="M24" i="9"/>
  <c r="N20" i="9"/>
  <c r="H24" i="9"/>
  <c r="J27" i="9"/>
  <c r="K29" i="9"/>
  <c r="L23" i="9"/>
  <c r="Q18" i="9"/>
  <c r="P18" i="9"/>
  <c r="O17" i="9"/>
  <c r="N27" i="9"/>
  <c r="Q25" i="9"/>
  <c r="K24" i="9"/>
  <c r="F26" i="9"/>
  <c r="E28" i="9"/>
  <c r="L26" i="9"/>
  <c r="K25" i="9"/>
  <c r="H27" i="9"/>
  <c r="I29" i="9"/>
  <c r="L21" i="9"/>
  <c r="Q16" i="9"/>
  <c r="P16" i="9"/>
  <c r="M29" i="9"/>
  <c r="N25" i="9"/>
  <c r="K20" i="9"/>
  <c r="Q65" i="9" l="1"/>
  <c r="Q107" i="9"/>
  <c r="Q35" i="9"/>
  <c r="Q90" i="9"/>
  <c r="Q48" i="9"/>
  <c r="Q89" i="9"/>
  <c r="Q47" i="9"/>
  <c r="Q82" i="9"/>
  <c r="Q40" i="9"/>
  <c r="Q85" i="9"/>
  <c r="Q43" i="9"/>
  <c r="Q78" i="9"/>
  <c r="Q36" i="9"/>
  <c r="Q37" i="9"/>
  <c r="Q79" i="9"/>
  <c r="Q42" i="9"/>
  <c r="Q84" i="9"/>
  <c r="Q38" i="9"/>
  <c r="Q80" i="9"/>
  <c r="Q46" i="9"/>
  <c r="Q88" i="9"/>
  <c r="Q81" i="9"/>
  <c r="Q39" i="9"/>
  <c r="Q50" i="9"/>
  <c r="Q92" i="9"/>
  <c r="Q41" i="9"/>
  <c r="Q83" i="9"/>
  <c r="Q45" i="9"/>
  <c r="P46" i="9" s="1"/>
  <c r="Q87" i="9"/>
  <c r="Q49" i="9"/>
  <c r="Q91" i="9"/>
  <c r="B11" i="9"/>
  <c r="P36" i="9" s="1"/>
  <c r="P78" i="9" l="1"/>
  <c r="P86" i="9"/>
  <c r="P45" i="9"/>
  <c r="Q70" i="9"/>
  <c r="P70" i="9" s="1"/>
  <c r="Q112" i="9"/>
  <c r="Q62" i="9"/>
  <c r="Q104" i="9"/>
  <c r="Q59" i="9"/>
  <c r="Q101" i="9"/>
  <c r="Q58" i="9"/>
  <c r="Q100" i="9"/>
  <c r="P101" i="9" s="1"/>
  <c r="P41" i="9"/>
  <c r="O42" i="9" s="1"/>
  <c r="P88" i="9"/>
  <c r="P87" i="9"/>
  <c r="Q57" i="9"/>
  <c r="Q99" i="9"/>
  <c r="Q61" i="9"/>
  <c r="Q103" i="9"/>
  <c r="Q69" i="9"/>
  <c r="Q111" i="9"/>
  <c r="P112" i="9" s="1"/>
  <c r="P49" i="9"/>
  <c r="P50" i="9"/>
  <c r="Q66" i="9"/>
  <c r="P66" i="9" s="1"/>
  <c r="Q108" i="9"/>
  <c r="Q71" i="9"/>
  <c r="Q113" i="9"/>
  <c r="Q67" i="9"/>
  <c r="Q109" i="9"/>
  <c r="P110" i="9" s="1"/>
  <c r="Q63" i="9"/>
  <c r="Q105" i="9"/>
  <c r="P106" i="9" s="1"/>
  <c r="O107" i="9" s="1"/>
  <c r="P37" i="9"/>
  <c r="Q60" i="9"/>
  <c r="P60" i="9" s="1"/>
  <c r="Q102" i="9"/>
  <c r="P103" i="9" s="1"/>
  <c r="Q64" i="9"/>
  <c r="P64" i="9" s="1"/>
  <c r="Q106" i="9"/>
  <c r="P107" i="9" s="1"/>
  <c r="Q68" i="9"/>
  <c r="P68" i="9" s="1"/>
  <c r="Q110" i="9"/>
  <c r="Q56" i="9"/>
  <c r="P57" i="9" s="1"/>
  <c r="Q98" i="9"/>
  <c r="P90" i="9"/>
  <c r="P92" i="9"/>
  <c r="P84" i="9"/>
  <c r="P62" i="9"/>
  <c r="P67" i="9"/>
  <c r="O67" i="9" s="1"/>
  <c r="P79" i="9"/>
  <c r="O79" i="9" s="1"/>
  <c r="P82" i="9"/>
  <c r="P59" i="9"/>
  <c r="P85" i="9"/>
  <c r="O86" i="9" s="1"/>
  <c r="P42" i="9"/>
  <c r="P38" i="9"/>
  <c r="O38" i="9" s="1"/>
  <c r="P81" i="9"/>
  <c r="O82" i="9" s="1"/>
  <c r="P39" i="9"/>
  <c r="O46" i="9"/>
  <c r="P63" i="9"/>
  <c r="P58" i="9"/>
  <c r="P89" i="9"/>
  <c r="O88" i="9"/>
  <c r="O37" i="9"/>
  <c r="O50" i="9"/>
  <c r="P40" i="9"/>
  <c r="P83" i="9"/>
  <c r="O84" i="9" s="1"/>
  <c r="P44" i="9"/>
  <c r="O45" i="9" s="1"/>
  <c r="P80" i="9"/>
  <c r="P91" i="9"/>
  <c r="P48" i="9"/>
  <c r="O49" i="9" s="1"/>
  <c r="O87" i="9"/>
  <c r="P43" i="9"/>
  <c r="O44" i="9" s="1"/>
  <c r="N45" i="9" s="1"/>
  <c r="P47" i="9"/>
  <c r="O47" i="9" s="1"/>
  <c r="N46" i="9" l="1"/>
  <c r="P99" i="9"/>
  <c r="P69" i="9"/>
  <c r="O69" i="9" s="1"/>
  <c r="P71" i="9"/>
  <c r="O60" i="9"/>
  <c r="M46" i="9"/>
  <c r="P61" i="9"/>
  <c r="O62" i="9" s="1"/>
  <c r="P111" i="9"/>
  <c r="O111" i="9" s="1"/>
  <c r="N112" i="9" s="1"/>
  <c r="P102" i="9"/>
  <c r="O103" i="9" s="1"/>
  <c r="P105" i="9"/>
  <c r="O40" i="9"/>
  <c r="P65" i="9"/>
  <c r="O66" i="9" s="1"/>
  <c r="P104" i="9"/>
  <c r="O104" i="9" s="1"/>
  <c r="P113" i="9"/>
  <c r="O113" i="9" s="1"/>
  <c r="P109" i="9"/>
  <c r="O110" i="9" s="1"/>
  <c r="P108" i="9"/>
  <c r="O108" i="9" s="1"/>
  <c r="O90" i="9"/>
  <c r="O112" i="9"/>
  <c r="P100" i="9"/>
  <c r="O101" i="9" s="1"/>
  <c r="O85" i="9"/>
  <c r="N85" i="9" s="1"/>
  <c r="O58" i="9"/>
  <c r="O71" i="9"/>
  <c r="O63" i="9"/>
  <c r="N63" i="9" s="1"/>
  <c r="N88" i="9"/>
  <c r="O68" i="9"/>
  <c r="N68" i="9" s="1"/>
  <c r="O70" i="9"/>
  <c r="N71" i="9" s="1"/>
  <c r="O59" i="9"/>
  <c r="O81" i="9"/>
  <c r="N82" i="9" s="1"/>
  <c r="N38" i="9"/>
  <c r="O39" i="9"/>
  <c r="N40" i="9" s="1"/>
  <c r="N67" i="9"/>
  <c r="O65" i="9"/>
  <c r="N66" i="9" s="1"/>
  <c r="O41" i="9"/>
  <c r="N42" i="9" s="1"/>
  <c r="O89" i="9"/>
  <c r="N90" i="9" s="1"/>
  <c r="O83" i="9"/>
  <c r="N84" i="9" s="1"/>
  <c r="O64" i="9"/>
  <c r="N65" i="9" s="1"/>
  <c r="N50" i="9"/>
  <c r="N47" i="9"/>
  <c r="M47" i="9" s="1"/>
  <c r="O80" i="9"/>
  <c r="O92" i="9"/>
  <c r="O91" i="9"/>
  <c r="N87" i="9"/>
  <c r="O48" i="9"/>
  <c r="N49" i="9" s="1"/>
  <c r="O61" i="9"/>
  <c r="N62" i="9" s="1"/>
  <c r="O43" i="9"/>
  <c r="N91" i="9" l="1"/>
  <c r="O102" i="9"/>
  <c r="N103" i="9" s="1"/>
  <c r="N111" i="9"/>
  <c r="M112" i="9" s="1"/>
  <c r="N59" i="9"/>
  <c r="N104" i="9"/>
  <c r="O100" i="9"/>
  <c r="N101" i="9" s="1"/>
  <c r="N86" i="9"/>
  <c r="M87" i="9" s="1"/>
  <c r="O105" i="9"/>
  <c r="N105" i="9" s="1"/>
  <c r="O106" i="9"/>
  <c r="N107" i="9" s="1"/>
  <c r="N113" i="9"/>
  <c r="M113" i="9" s="1"/>
  <c r="O109" i="9"/>
  <c r="N110" i="9" s="1"/>
  <c r="N108" i="9"/>
  <c r="M63" i="9"/>
  <c r="N60" i="9"/>
  <c r="N89" i="9"/>
  <c r="M90" i="9" s="1"/>
  <c r="M66" i="9"/>
  <c r="N69" i="9"/>
  <c r="M69" i="9" s="1"/>
  <c r="N81" i="9"/>
  <c r="M82" i="9" s="1"/>
  <c r="N70" i="9"/>
  <c r="M71" i="9" s="1"/>
  <c r="M67" i="9"/>
  <c r="M85" i="9"/>
  <c r="N39" i="9"/>
  <c r="N80" i="9"/>
  <c r="M89" i="9"/>
  <c r="L90" i="9" s="1"/>
  <c r="N41" i="9"/>
  <c r="M42" i="9" s="1"/>
  <c r="M91" i="9"/>
  <c r="L91" i="9" s="1"/>
  <c r="N83" i="9"/>
  <c r="M84" i="9" s="1"/>
  <c r="N92" i="9"/>
  <c r="M92" i="9" s="1"/>
  <c r="N64" i="9"/>
  <c r="M65" i="9" s="1"/>
  <c r="L47" i="9"/>
  <c r="M40" i="9"/>
  <c r="M39" i="9"/>
  <c r="L40" i="9" s="1"/>
  <c r="N44" i="9"/>
  <c r="M45" i="9" s="1"/>
  <c r="L46" i="9" s="1"/>
  <c r="N43" i="9"/>
  <c r="M50" i="9"/>
  <c r="N61" i="9"/>
  <c r="M62" i="9" s="1"/>
  <c r="L63" i="9" s="1"/>
  <c r="M88" i="9"/>
  <c r="M68" i="9"/>
  <c r="M60" i="9"/>
  <c r="N48" i="9"/>
  <c r="M49" i="9" s="1"/>
  <c r="M105" i="9" l="1"/>
  <c r="M111" i="9"/>
  <c r="K47" i="9"/>
  <c r="L66" i="9"/>
  <c r="N102" i="9"/>
  <c r="M103" i="9" s="1"/>
  <c r="M86" i="9"/>
  <c r="L86" i="9" s="1"/>
  <c r="M108" i="9"/>
  <c r="M41" i="9"/>
  <c r="L42" i="9" s="1"/>
  <c r="L113" i="9"/>
  <c r="M104" i="9"/>
  <c r="L105" i="9" s="1"/>
  <c r="L112" i="9"/>
  <c r="K113" i="9" s="1"/>
  <c r="N106" i="9"/>
  <c r="M107" i="9" s="1"/>
  <c r="N109" i="9"/>
  <c r="M83" i="9"/>
  <c r="L84" i="9" s="1"/>
  <c r="L67" i="9"/>
  <c r="K67" i="9" s="1"/>
  <c r="L92" i="9"/>
  <c r="K92" i="9" s="1"/>
  <c r="K91" i="9"/>
  <c r="J92" i="9" s="1"/>
  <c r="L85" i="9"/>
  <c r="M81" i="9"/>
  <c r="L82" i="9" s="1"/>
  <c r="M70" i="9"/>
  <c r="L71" i="9" s="1"/>
  <c r="L89" i="9"/>
  <c r="K90" i="9" s="1"/>
  <c r="M64" i="9"/>
  <c r="L64" i="9" s="1"/>
  <c r="L83" i="9"/>
  <c r="L69" i="9"/>
  <c r="L68" i="9"/>
  <c r="M48" i="9"/>
  <c r="L50" i="9"/>
  <c r="L41" i="9"/>
  <c r="L88" i="9"/>
  <c r="K89" i="9" s="1"/>
  <c r="J90" i="9" s="1"/>
  <c r="L87" i="9"/>
  <c r="M44" i="9"/>
  <c r="L45" i="9" s="1"/>
  <c r="M43" i="9"/>
  <c r="M61" i="9"/>
  <c r="L62" i="9" s="1"/>
  <c r="K63" i="9" s="1"/>
  <c r="L108" i="9" l="1"/>
  <c r="M102" i="9"/>
  <c r="L103" i="9" s="1"/>
  <c r="K86" i="9"/>
  <c r="M106" i="9"/>
  <c r="K85" i="9"/>
  <c r="J91" i="9"/>
  <c r="I92" i="9" s="1"/>
  <c r="M109" i="9"/>
  <c r="M110" i="9"/>
  <c r="L111" i="9" s="1"/>
  <c r="K112" i="9" s="1"/>
  <c r="J113" i="9" s="1"/>
  <c r="L104" i="9"/>
  <c r="L65" i="9"/>
  <c r="K66" i="9" s="1"/>
  <c r="J67" i="9" s="1"/>
  <c r="L70" i="9"/>
  <c r="K71" i="9" s="1"/>
  <c r="K84" i="9"/>
  <c r="J85" i="9" s="1"/>
  <c r="K83" i="9"/>
  <c r="K46" i="9"/>
  <c r="L49" i="9"/>
  <c r="L48" i="9"/>
  <c r="K48" i="9" s="1"/>
  <c r="K64" i="9"/>
  <c r="K65" i="9"/>
  <c r="J66" i="9" s="1"/>
  <c r="I67" i="9" s="1"/>
  <c r="K69" i="9"/>
  <c r="K68" i="9"/>
  <c r="K88" i="9"/>
  <c r="J89" i="9" s="1"/>
  <c r="I90" i="9" s="1"/>
  <c r="K87" i="9"/>
  <c r="K42" i="9"/>
  <c r="K41" i="9"/>
  <c r="L44" i="9"/>
  <c r="K45" i="9" s="1"/>
  <c r="L43" i="9"/>
  <c r="L61" i="9"/>
  <c r="K62" i="9" s="1"/>
  <c r="J63" i="9" s="1"/>
  <c r="L110" i="9" l="1"/>
  <c r="K111" i="9" s="1"/>
  <c r="J112" i="9" s="1"/>
  <c r="I113" i="9" s="1"/>
  <c r="I91" i="9"/>
  <c r="L107" i="9"/>
  <c r="K108" i="9" s="1"/>
  <c r="L106" i="9"/>
  <c r="H91" i="9"/>
  <c r="K105" i="9"/>
  <c r="K104" i="9"/>
  <c r="J105" i="9" s="1"/>
  <c r="J86" i="9"/>
  <c r="I86" i="9" s="1"/>
  <c r="L109" i="9"/>
  <c r="K70" i="9"/>
  <c r="J71" i="9" s="1"/>
  <c r="J84" i="9"/>
  <c r="I85" i="9" s="1"/>
  <c r="H92" i="9"/>
  <c r="G92" i="9" s="1"/>
  <c r="J48" i="9"/>
  <c r="J88" i="9"/>
  <c r="I89" i="9" s="1"/>
  <c r="H90" i="9" s="1"/>
  <c r="G91" i="9" s="1"/>
  <c r="J87" i="9"/>
  <c r="J46" i="9"/>
  <c r="J47" i="9"/>
  <c r="J69" i="9"/>
  <c r="J68" i="9"/>
  <c r="K44" i="9"/>
  <c r="J45" i="9" s="1"/>
  <c r="I46" i="9" s="1"/>
  <c r="K43" i="9"/>
  <c r="K49" i="9"/>
  <c r="J49" i="9" s="1"/>
  <c r="K50" i="9"/>
  <c r="J42" i="9"/>
  <c r="J65" i="9"/>
  <c r="I66" i="9" s="1"/>
  <c r="H67" i="9" s="1"/>
  <c r="J64" i="9"/>
  <c r="J44" i="9" l="1"/>
  <c r="I45" i="9" s="1"/>
  <c r="H46" i="9" s="1"/>
  <c r="K107" i="9"/>
  <c r="J108" i="9" s="1"/>
  <c r="K106" i="9"/>
  <c r="J107" i="9" s="1"/>
  <c r="I108" i="9" s="1"/>
  <c r="H86" i="9"/>
  <c r="K110" i="9"/>
  <c r="J111" i="9" s="1"/>
  <c r="I112" i="9" s="1"/>
  <c r="H113" i="9" s="1"/>
  <c r="K109" i="9"/>
  <c r="J110" i="9" s="1"/>
  <c r="I111" i="9" s="1"/>
  <c r="H112" i="9" s="1"/>
  <c r="G113" i="9" s="1"/>
  <c r="J106" i="9"/>
  <c r="I107" i="9" s="1"/>
  <c r="H108" i="9" s="1"/>
  <c r="J70" i="9"/>
  <c r="I71" i="9" s="1"/>
  <c r="F92" i="9"/>
  <c r="J50" i="9"/>
  <c r="I50" i="9" s="1"/>
  <c r="J43" i="9"/>
  <c r="I44" i="9" s="1"/>
  <c r="H45" i="9" s="1"/>
  <c r="G46" i="9" s="1"/>
  <c r="I69" i="9"/>
  <c r="I68" i="9"/>
  <c r="I88" i="9"/>
  <c r="H89" i="9" s="1"/>
  <c r="G90" i="9" s="1"/>
  <c r="F91" i="9" s="1"/>
  <c r="I87" i="9"/>
  <c r="I65" i="9"/>
  <c r="H66" i="9" s="1"/>
  <c r="G67" i="9" s="1"/>
  <c r="I64" i="9"/>
  <c r="I47" i="9"/>
  <c r="I48" i="9"/>
  <c r="I49" i="9"/>
  <c r="I106" i="9" l="1"/>
  <c r="H107" i="9" s="1"/>
  <c r="G108" i="9" s="1"/>
  <c r="J109" i="9"/>
  <c r="I110" i="9" s="1"/>
  <c r="H111" i="9" s="1"/>
  <c r="G112" i="9" s="1"/>
  <c r="F113" i="9" s="1"/>
  <c r="I70" i="9"/>
  <c r="H71" i="9" s="1"/>
  <c r="E92" i="9"/>
  <c r="H50" i="9"/>
  <c r="I43" i="9"/>
  <c r="H69" i="9"/>
  <c r="H68" i="9"/>
  <c r="H49" i="9"/>
  <c r="H48" i="9"/>
  <c r="H88" i="9"/>
  <c r="G89" i="9" s="1"/>
  <c r="F90" i="9" s="1"/>
  <c r="E91" i="9" s="1"/>
  <c r="H87" i="9"/>
  <c r="H47" i="9"/>
  <c r="H65" i="9"/>
  <c r="G66" i="9" s="1"/>
  <c r="F67" i="9" s="1"/>
  <c r="H44" i="9"/>
  <c r="G45" i="9" s="1"/>
  <c r="F46" i="9" s="1"/>
  <c r="L56" i="6"/>
  <c r="L46" i="6"/>
  <c r="C31" i="8"/>
  <c r="C30" i="8"/>
  <c r="B50" i="8"/>
  <c r="C49" i="8"/>
  <c r="B49" i="8"/>
  <c r="D48" i="8"/>
  <c r="C48" i="8"/>
  <c r="B48" i="8"/>
  <c r="E47" i="8"/>
  <c r="D47" i="8"/>
  <c r="C47" i="8"/>
  <c r="B47" i="8"/>
  <c r="F46" i="8"/>
  <c r="E46" i="8"/>
  <c r="D46" i="8"/>
  <c r="C46" i="8"/>
  <c r="B46" i="8"/>
  <c r="G45" i="8"/>
  <c r="F45" i="8"/>
  <c r="E45" i="8"/>
  <c r="D45" i="8"/>
  <c r="C45" i="8"/>
  <c r="B45" i="8"/>
  <c r="H44" i="8"/>
  <c r="G44" i="8"/>
  <c r="F44" i="8"/>
  <c r="E44" i="8"/>
  <c r="D44" i="8"/>
  <c r="C44" i="8"/>
  <c r="B44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K41" i="8"/>
  <c r="J41" i="8"/>
  <c r="I41" i="8"/>
  <c r="H41" i="8"/>
  <c r="G41" i="8"/>
  <c r="F41" i="8"/>
  <c r="E41" i="8"/>
  <c r="D41" i="8"/>
  <c r="C41" i="8"/>
  <c r="B41" i="8"/>
  <c r="B31" i="8"/>
  <c r="C29" i="8"/>
  <c r="D28" i="8"/>
  <c r="C28" i="8"/>
  <c r="E27" i="8"/>
  <c r="D27" i="8"/>
  <c r="C27" i="8"/>
  <c r="F26" i="8"/>
  <c r="E26" i="8"/>
  <c r="D26" i="8"/>
  <c r="C26" i="8"/>
  <c r="G25" i="8"/>
  <c r="F25" i="8"/>
  <c r="E25" i="8"/>
  <c r="D25" i="8"/>
  <c r="C25" i="8"/>
  <c r="H24" i="8"/>
  <c r="G24" i="8"/>
  <c r="F24" i="8"/>
  <c r="E24" i="8"/>
  <c r="D24" i="8"/>
  <c r="C24" i="8"/>
  <c r="I23" i="8"/>
  <c r="H23" i="8"/>
  <c r="G23" i="8"/>
  <c r="F23" i="8"/>
  <c r="E23" i="8"/>
  <c r="D23" i="8"/>
  <c r="C23" i="8"/>
  <c r="J22" i="8"/>
  <c r="I22" i="8"/>
  <c r="H22" i="8"/>
  <c r="G22" i="8"/>
  <c r="F22" i="8"/>
  <c r="E22" i="8"/>
  <c r="D22" i="8"/>
  <c r="C22" i="8"/>
  <c r="K21" i="8"/>
  <c r="J21" i="8"/>
  <c r="I21" i="8"/>
  <c r="H21" i="8"/>
  <c r="G21" i="8"/>
  <c r="F21" i="8"/>
  <c r="E21" i="8"/>
  <c r="D21" i="8"/>
  <c r="C21" i="8"/>
  <c r="B8" i="8"/>
  <c r="D92" i="9" l="1"/>
  <c r="I109" i="9"/>
  <c r="H70" i="9"/>
  <c r="G71" i="9" s="1"/>
  <c r="G49" i="9"/>
  <c r="G50" i="9"/>
  <c r="G88" i="9"/>
  <c r="F89" i="9" s="1"/>
  <c r="E90" i="9" s="1"/>
  <c r="D91" i="9" s="1"/>
  <c r="C92" i="9" s="1"/>
  <c r="G87" i="9"/>
  <c r="G69" i="9"/>
  <c r="G68" i="9"/>
  <c r="G48" i="9"/>
  <c r="G47" i="9"/>
  <c r="B9" i="8"/>
  <c r="D29" i="8"/>
  <c r="E28" i="8" s="1"/>
  <c r="F27" i="8" s="1"/>
  <c r="G26" i="8" s="1"/>
  <c r="H25" i="8" s="1"/>
  <c r="I24" i="8" s="1"/>
  <c r="J23" i="8" s="1"/>
  <c r="B8" i="7"/>
  <c r="B9" i="7" s="1"/>
  <c r="B26" i="7"/>
  <c r="C25" i="7"/>
  <c r="B40" i="7"/>
  <c r="C39" i="7"/>
  <c r="B39" i="7"/>
  <c r="D38" i="7"/>
  <c r="C38" i="7"/>
  <c r="B38" i="7"/>
  <c r="E37" i="7"/>
  <c r="D37" i="7"/>
  <c r="C37" i="7"/>
  <c r="B37" i="7"/>
  <c r="F36" i="7"/>
  <c r="E36" i="7"/>
  <c r="D36" i="7"/>
  <c r="C36" i="7"/>
  <c r="B36" i="7"/>
  <c r="G35" i="7"/>
  <c r="F35" i="7"/>
  <c r="E35" i="7"/>
  <c r="D35" i="7"/>
  <c r="C35" i="7"/>
  <c r="B35" i="7"/>
  <c r="H34" i="7"/>
  <c r="G34" i="7"/>
  <c r="F34" i="7"/>
  <c r="E34" i="7"/>
  <c r="D34" i="7"/>
  <c r="C34" i="7"/>
  <c r="B34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K31" i="7"/>
  <c r="J31" i="7"/>
  <c r="I31" i="7"/>
  <c r="H31" i="7"/>
  <c r="G31" i="7"/>
  <c r="F31" i="7"/>
  <c r="E31" i="7"/>
  <c r="D31" i="7"/>
  <c r="C31" i="7"/>
  <c r="B31" i="7"/>
  <c r="C24" i="7"/>
  <c r="D23" i="7"/>
  <c r="C23" i="7"/>
  <c r="E22" i="7"/>
  <c r="D22" i="7"/>
  <c r="C22" i="7"/>
  <c r="F21" i="7"/>
  <c r="E21" i="7"/>
  <c r="D21" i="7"/>
  <c r="C21" i="7"/>
  <c r="G20" i="7"/>
  <c r="F20" i="7"/>
  <c r="E20" i="7"/>
  <c r="D20" i="7"/>
  <c r="C20" i="7"/>
  <c r="H19" i="7"/>
  <c r="G19" i="7"/>
  <c r="F19" i="7"/>
  <c r="E19" i="7"/>
  <c r="D19" i="7"/>
  <c r="C19" i="7"/>
  <c r="I18" i="7"/>
  <c r="H18" i="7"/>
  <c r="G18" i="7"/>
  <c r="F18" i="7"/>
  <c r="E18" i="7"/>
  <c r="D18" i="7"/>
  <c r="C18" i="7"/>
  <c r="J17" i="7"/>
  <c r="I17" i="7"/>
  <c r="H17" i="7"/>
  <c r="G17" i="7"/>
  <c r="F17" i="7"/>
  <c r="E17" i="7"/>
  <c r="D17" i="7"/>
  <c r="C17" i="7"/>
  <c r="K16" i="7"/>
  <c r="J16" i="7"/>
  <c r="I16" i="7"/>
  <c r="H16" i="7"/>
  <c r="G16" i="7"/>
  <c r="F16" i="7"/>
  <c r="E16" i="7"/>
  <c r="D16" i="7"/>
  <c r="C16" i="7"/>
  <c r="B8" i="6"/>
  <c r="B8" i="5"/>
  <c r="B17" i="5" s="1"/>
  <c r="C16" i="5"/>
  <c r="B8" i="4"/>
  <c r="C17" i="4" s="1"/>
  <c r="E17" i="4"/>
  <c r="E26" i="4" s="1"/>
  <c r="E16" i="4"/>
  <c r="E25" i="4"/>
  <c r="E15" i="4"/>
  <c r="E24" i="4"/>
  <c r="E14" i="4"/>
  <c r="E23" i="4"/>
  <c r="D17" i="4"/>
  <c r="D16" i="4"/>
  <c r="C16" i="4"/>
  <c r="H110" i="9" l="1"/>
  <c r="G111" i="9" s="1"/>
  <c r="F112" i="9" s="1"/>
  <c r="E113" i="9" s="1"/>
  <c r="H109" i="9"/>
  <c r="G70" i="9"/>
  <c r="F71" i="9" s="1"/>
  <c r="F70" i="9"/>
  <c r="E71" i="9" s="1"/>
  <c r="F49" i="9"/>
  <c r="E50" i="9" s="1"/>
  <c r="F50" i="9"/>
  <c r="F88" i="9"/>
  <c r="E89" i="9" s="1"/>
  <c r="D90" i="9" s="1"/>
  <c r="C91" i="9" s="1"/>
  <c r="B92" i="9" s="1"/>
  <c r="F47" i="9"/>
  <c r="F48" i="9"/>
  <c r="F69" i="9"/>
  <c r="F68" i="9"/>
  <c r="B9" i="6"/>
  <c r="K18" i="6" s="1"/>
  <c r="G22" i="6"/>
  <c r="F23" i="6"/>
  <c r="D24" i="6"/>
  <c r="H24" i="6"/>
  <c r="L21" i="6"/>
  <c r="L37" i="6" s="1"/>
  <c r="L53" i="6" s="1"/>
  <c r="K22" i="8"/>
  <c r="L22" i="8" s="1"/>
  <c r="D30" i="8"/>
  <c r="E30" i="8" s="1"/>
  <c r="F30" i="8" s="1"/>
  <c r="G30" i="8" s="1"/>
  <c r="H30" i="8" s="1"/>
  <c r="I30" i="8" s="1"/>
  <c r="J30" i="8" s="1"/>
  <c r="K30" i="8" s="1"/>
  <c r="L30" i="8" s="1"/>
  <c r="M30" i="8" s="1"/>
  <c r="H26" i="8"/>
  <c r="I26" i="8" s="1"/>
  <c r="J26" i="8" s="1"/>
  <c r="K26" i="8" s="1"/>
  <c r="L26" i="8" s="1"/>
  <c r="M26" i="8" s="1"/>
  <c r="E29" i="8"/>
  <c r="F29" i="8" s="1"/>
  <c r="G29" i="8" s="1"/>
  <c r="H29" i="8" s="1"/>
  <c r="I29" i="8" s="1"/>
  <c r="J29" i="8" s="1"/>
  <c r="K29" i="8" s="1"/>
  <c r="L29" i="8" s="1"/>
  <c r="M29" i="8" s="1"/>
  <c r="I25" i="8"/>
  <c r="J25" i="8" s="1"/>
  <c r="K25" i="8" s="1"/>
  <c r="L25" i="8" s="1"/>
  <c r="M25" i="8" s="1"/>
  <c r="G27" i="8"/>
  <c r="H27" i="8" s="1"/>
  <c r="I27" i="8" s="1"/>
  <c r="J27" i="8" s="1"/>
  <c r="K27" i="8" s="1"/>
  <c r="L27" i="8" s="1"/>
  <c r="M27" i="8" s="1"/>
  <c r="B10" i="8"/>
  <c r="D31" i="8"/>
  <c r="E31" i="8" s="1"/>
  <c r="F31" i="8" s="1"/>
  <c r="G31" i="8" s="1"/>
  <c r="H31" i="8" s="1"/>
  <c r="I31" i="8" s="1"/>
  <c r="J31" i="8" s="1"/>
  <c r="K31" i="8" s="1"/>
  <c r="L31" i="8" s="1"/>
  <c r="M31" i="8" s="1"/>
  <c r="F28" i="8"/>
  <c r="G28" i="8" s="1"/>
  <c r="H28" i="8" s="1"/>
  <c r="I28" i="8" s="1"/>
  <c r="J28" i="8" s="1"/>
  <c r="K28" i="8" s="1"/>
  <c r="L28" i="8" s="1"/>
  <c r="M28" i="8" s="1"/>
  <c r="J24" i="8"/>
  <c r="K23" i="8"/>
  <c r="L23" i="8" s="1"/>
  <c r="M23" i="8" s="1"/>
  <c r="C26" i="7"/>
  <c r="D26" i="7" s="1"/>
  <c r="E26" i="7" s="1"/>
  <c r="F26" i="7" s="1"/>
  <c r="G26" i="7" s="1"/>
  <c r="H26" i="7" s="1"/>
  <c r="I26" i="7" s="1"/>
  <c r="J26" i="7" s="1"/>
  <c r="K26" i="7" s="1"/>
  <c r="L26" i="7" s="1"/>
  <c r="L41" i="7" s="1"/>
  <c r="B10" i="7"/>
  <c r="B11" i="7" s="1"/>
  <c r="B17" i="4"/>
  <c r="B9" i="4"/>
  <c r="E14" i="5"/>
  <c r="E23" i="5" s="1"/>
  <c r="D16" i="5"/>
  <c r="B9" i="5"/>
  <c r="B10" i="5" s="1"/>
  <c r="E15" i="5"/>
  <c r="E24" i="5" s="1"/>
  <c r="D17" i="5"/>
  <c r="D15" i="4"/>
  <c r="D15" i="5"/>
  <c r="D24" i="5" s="1"/>
  <c r="C17" i="5"/>
  <c r="E16" i="5"/>
  <c r="E25" i="5" s="1"/>
  <c r="E17" i="5"/>
  <c r="E26" i="5" s="1"/>
  <c r="D25" i="7"/>
  <c r="E25" i="7" s="1"/>
  <c r="F25" i="7" s="1"/>
  <c r="G25" i="7" s="1"/>
  <c r="H25" i="7" s="1"/>
  <c r="I25" i="7" s="1"/>
  <c r="J25" i="7" s="1"/>
  <c r="K25" i="7" s="1"/>
  <c r="L25" i="7" s="1"/>
  <c r="L40" i="7" s="1"/>
  <c r="D24" i="7"/>
  <c r="E49" i="9" l="1"/>
  <c r="G110" i="9"/>
  <c r="F111" i="9" s="1"/>
  <c r="E112" i="9" s="1"/>
  <c r="D113" i="9" s="1"/>
  <c r="G109" i="9"/>
  <c r="E70" i="9"/>
  <c r="D71" i="9" s="1"/>
  <c r="D50" i="9"/>
  <c r="E69" i="9"/>
  <c r="E68" i="9"/>
  <c r="E48" i="9"/>
  <c r="D49" i="9" s="1"/>
  <c r="C50" i="9" s="1"/>
  <c r="E47" i="9"/>
  <c r="K22" i="6"/>
  <c r="L17" i="6"/>
  <c r="L33" i="6" s="1"/>
  <c r="L49" i="6" s="1"/>
  <c r="J20" i="6"/>
  <c r="F20" i="6"/>
  <c r="H23" i="6"/>
  <c r="I17" i="6"/>
  <c r="I21" i="6"/>
  <c r="L18" i="6"/>
  <c r="L34" i="6" s="1"/>
  <c r="L50" i="6" s="1"/>
  <c r="K24" i="6"/>
  <c r="G24" i="6"/>
  <c r="I23" i="6"/>
  <c r="E23" i="6"/>
  <c r="F22" i="6"/>
  <c r="F21" i="6"/>
  <c r="K19" i="6"/>
  <c r="H18" i="6"/>
  <c r="L16" i="6"/>
  <c r="L32" i="6" s="1"/>
  <c r="L48" i="6" s="1"/>
  <c r="E24" i="6"/>
  <c r="G23" i="6"/>
  <c r="D22" i="6"/>
  <c r="G20" i="6"/>
  <c r="J18" i="6"/>
  <c r="L15" i="6"/>
  <c r="L31" i="6" s="1"/>
  <c r="L47" i="6" s="1"/>
  <c r="C24" i="6"/>
  <c r="J22" i="6"/>
  <c r="J21" i="6"/>
  <c r="I20" i="6"/>
  <c r="G19" i="6"/>
  <c r="K16" i="6"/>
  <c r="L19" i="6"/>
  <c r="L35" i="6" s="1"/>
  <c r="L51" i="6" s="1"/>
  <c r="I24" i="6"/>
  <c r="C23" i="6"/>
  <c r="H21" i="6"/>
  <c r="J17" i="6"/>
  <c r="L24" i="6"/>
  <c r="L40" i="6" s="1"/>
  <c r="L14" i="6"/>
  <c r="L30" i="6" s="1"/>
  <c r="K23" i="6"/>
  <c r="H22" i="6"/>
  <c r="K20" i="6"/>
  <c r="I19" i="6"/>
  <c r="K15" i="6"/>
  <c r="J24" i="6"/>
  <c r="D23" i="6"/>
  <c r="E21" i="6"/>
  <c r="K17" i="6"/>
  <c r="J23" i="6"/>
  <c r="K21" i="6"/>
  <c r="H19" i="6"/>
  <c r="L22" i="6"/>
  <c r="L38" i="6" s="1"/>
  <c r="L54" i="6" s="1"/>
  <c r="F24" i="6"/>
  <c r="I22" i="6"/>
  <c r="H20" i="6"/>
  <c r="J16" i="6"/>
  <c r="G21" i="6"/>
  <c r="I18" i="6"/>
  <c r="L20" i="6"/>
  <c r="L36" i="6" s="1"/>
  <c r="L52" i="6" s="1"/>
  <c r="B24" i="6"/>
  <c r="E22" i="6"/>
  <c r="J19" i="6"/>
  <c r="L23" i="6"/>
  <c r="L39" i="6" s="1"/>
  <c r="L55" i="6" s="1"/>
  <c r="N31" i="8"/>
  <c r="M51" i="8"/>
  <c r="N29" i="8"/>
  <c r="M49" i="8"/>
  <c r="N26" i="8"/>
  <c r="M46" i="8"/>
  <c r="N23" i="8"/>
  <c r="M43" i="8"/>
  <c r="N27" i="8"/>
  <c r="M47" i="8"/>
  <c r="N30" i="8"/>
  <c r="M50" i="8"/>
  <c r="N28" i="8"/>
  <c r="M48" i="8"/>
  <c r="N25" i="8"/>
  <c r="M45" i="8"/>
  <c r="M22" i="8"/>
  <c r="L42" i="8"/>
  <c r="L21" i="8"/>
  <c r="M20" i="8" s="1"/>
  <c r="N20" i="8" s="1"/>
  <c r="L46" i="8"/>
  <c r="L48" i="8"/>
  <c r="L45" i="8"/>
  <c r="L47" i="8"/>
  <c r="L50" i="8"/>
  <c r="L51" i="8"/>
  <c r="L49" i="8"/>
  <c r="K24" i="8"/>
  <c r="L43" i="8"/>
  <c r="B11" i="8"/>
  <c r="D25" i="5"/>
  <c r="C25" i="5" s="1"/>
  <c r="C26" i="5"/>
  <c r="K41" i="7"/>
  <c r="B10" i="4"/>
  <c r="D24" i="4" s="1"/>
  <c r="D25" i="4"/>
  <c r="E23" i="7"/>
  <c r="E24" i="7"/>
  <c r="F24" i="7" s="1"/>
  <c r="G24" i="7" s="1"/>
  <c r="H24" i="7" s="1"/>
  <c r="I24" i="7" s="1"/>
  <c r="J24" i="7" s="1"/>
  <c r="K24" i="7" s="1"/>
  <c r="L24" i="7" s="1"/>
  <c r="L39" i="7" s="1"/>
  <c r="K40" i="7" s="1"/>
  <c r="F110" i="9" l="1"/>
  <c r="E111" i="9" s="1"/>
  <c r="D112" i="9" s="1"/>
  <c r="C113" i="9" s="1"/>
  <c r="F109" i="9"/>
  <c r="D70" i="9"/>
  <c r="C71" i="9" s="1"/>
  <c r="D48" i="9"/>
  <c r="C49" i="9" s="1"/>
  <c r="B50" i="9" s="1"/>
  <c r="D69" i="9"/>
  <c r="C70" i="9" s="1"/>
  <c r="B71" i="9" s="1"/>
  <c r="B11" i="6"/>
  <c r="C25" i="4"/>
  <c r="D26" i="4"/>
  <c r="C26" i="4" s="1"/>
  <c r="B26" i="5"/>
  <c r="O25" i="8"/>
  <c r="N45" i="8"/>
  <c r="O30" i="8"/>
  <c r="N50" i="8"/>
  <c r="O23" i="8"/>
  <c r="N43" i="8"/>
  <c r="O29" i="8"/>
  <c r="N49" i="8"/>
  <c r="O20" i="8"/>
  <c r="N40" i="8"/>
  <c r="O28" i="8"/>
  <c r="N48" i="8"/>
  <c r="O27" i="8"/>
  <c r="N47" i="8"/>
  <c r="O26" i="8"/>
  <c r="N46" i="8"/>
  <c r="O31" i="8"/>
  <c r="N51" i="8"/>
  <c r="N19" i="8"/>
  <c r="N39" i="8" s="1"/>
  <c r="M40" i="8"/>
  <c r="N22" i="8"/>
  <c r="M42" i="8"/>
  <c r="M21" i="8"/>
  <c r="L41" i="8"/>
  <c r="K42" i="8" s="1"/>
  <c r="L24" i="8"/>
  <c r="K51" i="8"/>
  <c r="K46" i="8"/>
  <c r="K50" i="8"/>
  <c r="K49" i="8"/>
  <c r="K48" i="8"/>
  <c r="K43" i="8"/>
  <c r="K47" i="8"/>
  <c r="J41" i="7"/>
  <c r="F22" i="7"/>
  <c r="F23" i="7"/>
  <c r="G23" i="7" s="1"/>
  <c r="H23" i="7" s="1"/>
  <c r="I23" i="7" s="1"/>
  <c r="J23" i="7" s="1"/>
  <c r="K23" i="7" s="1"/>
  <c r="L23" i="7" s="1"/>
  <c r="L38" i="7" s="1"/>
  <c r="K39" i="7" s="1"/>
  <c r="J40" i="7" s="1"/>
  <c r="E110" i="9" l="1"/>
  <c r="D111" i="9" s="1"/>
  <c r="C112" i="9" s="1"/>
  <c r="B113" i="9" s="1"/>
  <c r="K47" i="6"/>
  <c r="K72" i="6"/>
  <c r="K71" i="6"/>
  <c r="J72" i="6" s="1"/>
  <c r="K64" i="6"/>
  <c r="K66" i="6"/>
  <c r="K67" i="6"/>
  <c r="K69" i="6"/>
  <c r="K70" i="6"/>
  <c r="J71" i="6" s="1"/>
  <c r="I72" i="6" s="1"/>
  <c r="K68" i="6"/>
  <c r="K65" i="6"/>
  <c r="J66" i="6" s="1"/>
  <c r="K48" i="6"/>
  <c r="J48" i="6" s="1"/>
  <c r="K51" i="6"/>
  <c r="K38" i="6"/>
  <c r="K50" i="6"/>
  <c r="K56" i="6"/>
  <c r="I41" i="7"/>
  <c r="K36" i="6"/>
  <c r="K33" i="6"/>
  <c r="K32" i="6"/>
  <c r="K39" i="6"/>
  <c r="J39" i="6" s="1"/>
  <c r="K49" i="6"/>
  <c r="K31" i="6"/>
  <c r="K34" i="6"/>
  <c r="K52" i="6"/>
  <c r="K53" i="6"/>
  <c r="K35" i="6"/>
  <c r="K40" i="6"/>
  <c r="K54" i="6"/>
  <c r="K37" i="6"/>
  <c r="K55" i="6"/>
  <c r="B26" i="4"/>
  <c r="O19" i="8"/>
  <c r="O39" i="8" s="1"/>
  <c r="P26" i="8"/>
  <c r="O46" i="8"/>
  <c r="P28" i="8"/>
  <c r="O48" i="8"/>
  <c r="P29" i="8"/>
  <c r="O49" i="8"/>
  <c r="P30" i="8"/>
  <c r="O50" i="8"/>
  <c r="P31" i="8"/>
  <c r="O51" i="8"/>
  <c r="P27" i="8"/>
  <c r="O47" i="8"/>
  <c r="P20" i="8"/>
  <c r="O40" i="8"/>
  <c r="P23" i="8"/>
  <c r="O43" i="8"/>
  <c r="P25" i="8"/>
  <c r="O45" i="8"/>
  <c r="O18" i="8"/>
  <c r="O38" i="8" s="1"/>
  <c r="O22" i="8"/>
  <c r="N42" i="8"/>
  <c r="N21" i="8"/>
  <c r="M41" i="8"/>
  <c r="J51" i="8"/>
  <c r="L44" i="8"/>
  <c r="K45" i="8" s="1"/>
  <c r="J46" i="8" s="1"/>
  <c r="M24" i="8"/>
  <c r="J50" i="8"/>
  <c r="J49" i="8"/>
  <c r="J43" i="8"/>
  <c r="J48" i="8"/>
  <c r="J47" i="8"/>
  <c r="G21" i="7"/>
  <c r="G22" i="7"/>
  <c r="H22" i="7" s="1"/>
  <c r="I22" i="7" s="1"/>
  <c r="J22" i="7" s="1"/>
  <c r="K22" i="7" s="1"/>
  <c r="L22" i="7" s="1"/>
  <c r="L37" i="7" s="1"/>
  <c r="K38" i="7" s="1"/>
  <c r="J39" i="7" s="1"/>
  <c r="I40" i="7" s="1"/>
  <c r="J67" i="6" l="1"/>
  <c r="I67" i="6" s="1"/>
  <c r="J65" i="6"/>
  <c r="I66" i="6" s="1"/>
  <c r="J70" i="6"/>
  <c r="I71" i="6" s="1"/>
  <c r="H72" i="6" s="1"/>
  <c r="J68" i="6"/>
  <c r="J38" i="6"/>
  <c r="J69" i="6"/>
  <c r="H41" i="7"/>
  <c r="J56" i="6"/>
  <c r="J51" i="6"/>
  <c r="J50" i="6"/>
  <c r="J40" i="6"/>
  <c r="J36" i="6"/>
  <c r="J32" i="6"/>
  <c r="I39" i="6"/>
  <c r="P19" i="8"/>
  <c r="Q19" i="8" s="1"/>
  <c r="Q39" i="8" s="1"/>
  <c r="J33" i="6"/>
  <c r="J55" i="6"/>
  <c r="I40" i="6"/>
  <c r="J49" i="6"/>
  <c r="J37" i="6"/>
  <c r="I38" i="6" s="1"/>
  <c r="J34" i="6"/>
  <c r="I34" i="6" s="1"/>
  <c r="J54" i="6"/>
  <c r="J53" i="6"/>
  <c r="J52" i="6"/>
  <c r="J35" i="6"/>
  <c r="I36" i="6" s="1"/>
  <c r="Q25" i="8"/>
  <c r="Q45" i="8" s="1"/>
  <c r="P45" i="8"/>
  <c r="Q20" i="8"/>
  <c r="Q40" i="8" s="1"/>
  <c r="P40" i="8"/>
  <c r="Q31" i="8"/>
  <c r="Q51" i="8" s="1"/>
  <c r="P51" i="8"/>
  <c r="Q30" i="8"/>
  <c r="Q50" i="8" s="1"/>
  <c r="P50" i="8"/>
  <c r="Q28" i="8"/>
  <c r="Q48" i="8" s="1"/>
  <c r="P48" i="8"/>
  <c r="P17" i="8"/>
  <c r="P37" i="8" s="1"/>
  <c r="Q23" i="8"/>
  <c r="Q43" i="8" s="1"/>
  <c r="P43" i="8"/>
  <c r="Q27" i="8"/>
  <c r="Q47" i="8" s="1"/>
  <c r="P47" i="8"/>
  <c r="Q29" i="8"/>
  <c r="Q49" i="8" s="1"/>
  <c r="P49" i="8"/>
  <c r="Q26" i="8"/>
  <c r="Q46" i="8" s="1"/>
  <c r="P46" i="8"/>
  <c r="P18" i="8"/>
  <c r="P22" i="8"/>
  <c r="O42" i="8"/>
  <c r="O21" i="8"/>
  <c r="N41" i="8"/>
  <c r="N24" i="8"/>
  <c r="M44" i="8"/>
  <c r="I51" i="8"/>
  <c r="K44" i="8"/>
  <c r="J44" i="8" s="1"/>
  <c r="I50" i="8"/>
  <c r="I49" i="8"/>
  <c r="I48" i="8"/>
  <c r="I47" i="8"/>
  <c r="H20" i="7"/>
  <c r="H21" i="7"/>
  <c r="I21" i="7" s="1"/>
  <c r="J21" i="7" s="1"/>
  <c r="K21" i="7" s="1"/>
  <c r="L21" i="7" s="1"/>
  <c r="L36" i="7" s="1"/>
  <c r="K37" i="7" s="1"/>
  <c r="J38" i="7" s="1"/>
  <c r="I39" i="7" s="1"/>
  <c r="H40" i="7" s="1"/>
  <c r="I70" i="6" l="1"/>
  <c r="H71" i="6" s="1"/>
  <c r="G72" i="6" s="1"/>
  <c r="H67" i="6"/>
  <c r="I69" i="6"/>
  <c r="H70" i="6" s="1"/>
  <c r="G71" i="6" s="1"/>
  <c r="F72" i="6" s="1"/>
  <c r="I68" i="6"/>
  <c r="I33" i="6"/>
  <c r="H40" i="6"/>
  <c r="G41" i="7"/>
  <c r="I51" i="6"/>
  <c r="I56" i="6"/>
  <c r="I50" i="6"/>
  <c r="I49" i="6"/>
  <c r="P39" i="8"/>
  <c r="H39" i="6"/>
  <c r="I55" i="6"/>
  <c r="H34" i="6"/>
  <c r="I54" i="6"/>
  <c r="I37" i="6"/>
  <c r="H38" i="6" s="1"/>
  <c r="G39" i="6" s="1"/>
  <c r="G40" i="6"/>
  <c r="I53" i="6"/>
  <c r="I52" i="6"/>
  <c r="I35" i="6"/>
  <c r="H36" i="6" s="1"/>
  <c r="H51" i="8"/>
  <c r="Q16" i="8"/>
  <c r="Q36" i="8" s="1"/>
  <c r="Q17" i="8"/>
  <c r="Q37" i="8" s="1"/>
  <c r="Q22" i="8"/>
  <c r="Q42" i="8" s="1"/>
  <c r="P42" i="8"/>
  <c r="Q18" i="8"/>
  <c r="Q38" i="8" s="1"/>
  <c r="P38" i="8"/>
  <c r="P21" i="8"/>
  <c r="O41" i="8"/>
  <c r="O24" i="8"/>
  <c r="N44" i="8"/>
  <c r="J45" i="8"/>
  <c r="I46" i="8" s="1"/>
  <c r="H47" i="8" s="1"/>
  <c r="I44" i="8"/>
  <c r="H50" i="8"/>
  <c r="H49" i="8"/>
  <c r="H48" i="8"/>
  <c r="I19" i="7"/>
  <c r="I20" i="7"/>
  <c r="J20" i="7" s="1"/>
  <c r="K20" i="7" s="1"/>
  <c r="L20" i="7" s="1"/>
  <c r="L35" i="7" s="1"/>
  <c r="K36" i="7" s="1"/>
  <c r="J37" i="7" s="1"/>
  <c r="I38" i="7" s="1"/>
  <c r="H39" i="7" s="1"/>
  <c r="G40" i="7" s="1"/>
  <c r="F41" i="7" l="1"/>
  <c r="H69" i="6"/>
  <c r="G70" i="6" s="1"/>
  <c r="F71" i="6" s="1"/>
  <c r="E72" i="6" s="1"/>
  <c r="H68" i="6"/>
  <c r="H56" i="6"/>
  <c r="H50" i="6"/>
  <c r="H55" i="6"/>
  <c r="H51" i="6"/>
  <c r="F40" i="6"/>
  <c r="H54" i="6"/>
  <c r="H37" i="6"/>
  <c r="G38" i="6" s="1"/>
  <c r="F39" i="6" s="1"/>
  <c r="H53" i="6"/>
  <c r="H52" i="6"/>
  <c r="G51" i="8"/>
  <c r="H35" i="6"/>
  <c r="Q21" i="8"/>
  <c r="Q41" i="8" s="1"/>
  <c r="P41" i="8"/>
  <c r="P24" i="8"/>
  <c r="O44" i="8"/>
  <c r="I45" i="8"/>
  <c r="H46" i="8" s="1"/>
  <c r="G47" i="8" s="1"/>
  <c r="G50" i="8"/>
  <c r="G49" i="8"/>
  <c r="G48" i="8"/>
  <c r="J18" i="7"/>
  <c r="J19" i="7"/>
  <c r="K19" i="7" s="1"/>
  <c r="L19" i="7" s="1"/>
  <c r="L34" i="7" s="1"/>
  <c r="K35" i="7" s="1"/>
  <c r="J36" i="7" s="1"/>
  <c r="I37" i="7" s="1"/>
  <c r="H38" i="7" s="1"/>
  <c r="G39" i="7" s="1"/>
  <c r="F40" i="7" s="1"/>
  <c r="E41" i="7" l="1"/>
  <c r="G69" i="6"/>
  <c r="F70" i="6" s="1"/>
  <c r="E71" i="6" s="1"/>
  <c r="D72" i="6" s="1"/>
  <c r="G68" i="6"/>
  <c r="F69" i="6" s="1"/>
  <c r="E70" i="6" s="1"/>
  <c r="D71" i="6" s="1"/>
  <c r="C72" i="6" s="1"/>
  <c r="E40" i="6"/>
  <c r="G56" i="6"/>
  <c r="G55" i="6"/>
  <c r="G51" i="6"/>
  <c r="G54" i="6"/>
  <c r="G37" i="6"/>
  <c r="F38" i="6" s="1"/>
  <c r="E39" i="6" s="1"/>
  <c r="D40" i="6" s="1"/>
  <c r="F51" i="8"/>
  <c r="G36" i="6"/>
  <c r="G35" i="6"/>
  <c r="G53" i="6"/>
  <c r="G52" i="6"/>
  <c r="Q24" i="8"/>
  <c r="Q44" i="8" s="1"/>
  <c r="P44" i="8"/>
  <c r="H45" i="8"/>
  <c r="G46" i="8" s="1"/>
  <c r="F47" i="8" s="1"/>
  <c r="F50" i="8"/>
  <c r="F49" i="8"/>
  <c r="F48" i="8"/>
  <c r="K17" i="7"/>
  <c r="K18" i="7"/>
  <c r="L18" i="7" s="1"/>
  <c r="L33" i="7" s="1"/>
  <c r="K34" i="7" s="1"/>
  <c r="J35" i="7" s="1"/>
  <c r="I36" i="7" s="1"/>
  <c r="H37" i="7" s="1"/>
  <c r="G38" i="7" s="1"/>
  <c r="F39" i="7" s="1"/>
  <c r="E40" i="7" s="1"/>
  <c r="D41" i="7" l="1"/>
  <c r="F55" i="6"/>
  <c r="F56" i="6"/>
  <c r="E56" i="6" s="1"/>
  <c r="F54" i="6"/>
  <c r="E51" i="8"/>
  <c r="F37" i="6"/>
  <c r="E38" i="6" s="1"/>
  <c r="D39" i="6" s="1"/>
  <c r="C40" i="6" s="1"/>
  <c r="F36" i="6"/>
  <c r="E37" i="6" s="1"/>
  <c r="D38" i="6" s="1"/>
  <c r="C39" i="6" s="1"/>
  <c r="F53" i="6"/>
  <c r="F52" i="6"/>
  <c r="E49" i="8"/>
  <c r="E50" i="8"/>
  <c r="E48" i="8"/>
  <c r="L16" i="7"/>
  <c r="L31" i="7" s="1"/>
  <c r="L17" i="7"/>
  <c r="L32" i="7" s="1"/>
  <c r="K33" i="7" s="1"/>
  <c r="J34" i="7" s="1"/>
  <c r="I35" i="7" s="1"/>
  <c r="H36" i="7" s="1"/>
  <c r="G37" i="7" s="1"/>
  <c r="F38" i="7" s="1"/>
  <c r="E39" i="7" s="1"/>
  <c r="D40" i="7" s="1"/>
  <c r="C41" i="7" s="1"/>
  <c r="E55" i="6" l="1"/>
  <c r="D56" i="6" s="1"/>
  <c r="D51" i="8"/>
  <c r="E54" i="6"/>
  <c r="B40" i="6"/>
  <c r="E53" i="6"/>
  <c r="D49" i="8"/>
  <c r="D50" i="8"/>
  <c r="K32" i="7"/>
  <c r="J33" i="7" s="1"/>
  <c r="I34" i="7" s="1"/>
  <c r="H35" i="7" s="1"/>
  <c r="G36" i="7" s="1"/>
  <c r="F37" i="7" s="1"/>
  <c r="E38" i="7" s="1"/>
  <c r="D39" i="7" s="1"/>
  <c r="C40" i="7" s="1"/>
  <c r="B41" i="7" s="1"/>
  <c r="C51" i="8" l="1"/>
  <c r="D54" i="6"/>
  <c r="D55" i="6"/>
  <c r="C50" i="8"/>
  <c r="B51" i="8" l="1"/>
  <c r="C56" i="6"/>
  <c r="C55" i="6"/>
  <c r="B56" i="6" l="1"/>
  <c r="J64" i="6"/>
  <c r="I65" i="6" s="1"/>
  <c r="H66" i="6" s="1"/>
  <c r="G67" i="6" s="1"/>
  <c r="F68" i="6" s="1"/>
  <c r="E69" i="6" s="1"/>
  <c r="D70" i="6" s="1"/>
  <c r="C71" i="6" s="1"/>
  <c r="B7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I2" authorId="0" shapeId="0" xr:uid="{992DB02E-BAC4-46E5-A501-DBE403DB2BDD}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I2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F2" authorId="0" shapeId="0" xr:uid="{65443CAC-028A-491D-9FEA-3D454287BCF4}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F2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sharedStrings.xml><?xml version="1.0" encoding="utf-8"?>
<sst xmlns="http://schemas.openxmlformats.org/spreadsheetml/2006/main" count="174" uniqueCount="39">
  <si>
    <t>Lattice Parameters</t>
  </si>
  <si>
    <t>Option Parameters</t>
  </si>
  <si>
    <t>Initial Price</t>
  </si>
  <si>
    <t>Strike</t>
  </si>
  <si>
    <t>T (years)</t>
  </si>
  <si>
    <t>volatility</t>
  </si>
  <si>
    <t># Periods</t>
  </si>
  <si>
    <t>R</t>
  </si>
  <si>
    <t>u</t>
  </si>
  <si>
    <t>d</t>
  </si>
  <si>
    <t>q</t>
  </si>
  <si>
    <t>1-q</t>
  </si>
  <si>
    <t>Stock-Lattice</t>
  </si>
  <si>
    <t>t = 0</t>
  </si>
  <si>
    <t>t = 1</t>
  </si>
  <si>
    <t>t = 2</t>
  </si>
  <si>
    <t>t = 3</t>
  </si>
  <si>
    <t>Option-Lattice</t>
  </si>
  <si>
    <t>Futures Parameters</t>
  </si>
  <si>
    <t>Expiration</t>
  </si>
  <si>
    <t>Call / Put</t>
  </si>
  <si>
    <t>Type</t>
  </si>
  <si>
    <t>r</t>
  </si>
  <si>
    <t>Div-Yield</t>
  </si>
  <si>
    <t>t = 4</t>
  </si>
  <si>
    <t>t = 5</t>
  </si>
  <si>
    <t>t = 6</t>
  </si>
  <si>
    <t>t = 7</t>
  </si>
  <si>
    <t>t = 8</t>
  </si>
  <si>
    <t>t = 9</t>
  </si>
  <si>
    <t>t = 10</t>
  </si>
  <si>
    <t>Futures-Lattice</t>
  </si>
  <si>
    <t>Share</t>
  </si>
  <si>
    <t>European Option Payoff</t>
  </si>
  <si>
    <t xml:space="preserve"> </t>
  </si>
  <si>
    <t>American</t>
  </si>
  <si>
    <t>A</t>
  </si>
  <si>
    <t>E</t>
  </si>
  <si>
    <t>Chooser option: Put or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</si>
</sst>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General_)"/>
    <numFmt numFmtId="165" formatCode="0.0%"/>
    <numFmt numFmtId="166" formatCode="0.00000"/>
    <numFmt numFmtId="167" formatCode="0.0"/>
    <numFmt numFmtId="168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511703848384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4" fontId="3" fillId="0" borderId="0"/>
    <xf numFmtId="9" fontId="1" fillId="0" borderId="0" applyFont="0" applyFill="0" applyBorder="0" applyAlignment="0" applyProtection="0"/>
    <xf numFmtId="0" fontId="3" fillId="0" borderId="0"/>
  </cellStyleXfs>
  <cellXfs count="83">
    <xf numFmtId="0" fontId="0" fillId="0" borderId="0" xfId="0"/>
    <xf numFmtId="0" fontId="1" fillId="0" borderId="0" xfId="1"/>
    <xf numFmtId="0" fontId="2" fillId="0" borderId="0" xfId="1" applyFont="1"/>
    <xf numFmtId="0" fontId="3" fillId="3" borderId="5" xfId="1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0" fontId="4" fillId="3" borderId="6" xfId="1" applyFont="1" applyFill="1" applyBorder="1"/>
    <xf numFmtId="0" fontId="1" fillId="0" borderId="7" xfId="1" applyBorder="1" applyAlignment="1">
      <alignment horizontal="center"/>
    </xf>
    <xf numFmtId="164" fontId="3" fillId="3" borderId="8" xfId="2" applyFont="1" applyFill="1" applyBorder="1" applyAlignment="1" applyProtection="1">
      <alignment horizontal="center"/>
    </xf>
    <xf numFmtId="2" fontId="0" fillId="0" borderId="9" xfId="3" applyNumberFormat="1" applyFont="1" applyBorder="1" applyAlignment="1">
      <alignment horizontal="center"/>
    </xf>
    <xf numFmtId="2" fontId="2" fillId="0" borderId="0" xfId="1" applyNumberFormat="1" applyFont="1"/>
    <xf numFmtId="165" fontId="0" fillId="0" borderId="9" xfId="3" applyNumberFormat="1" applyFont="1" applyBorder="1" applyAlignment="1">
      <alignment horizontal="center"/>
    </xf>
    <xf numFmtId="0" fontId="1" fillId="0" borderId="8" xfId="1" applyBorder="1" applyAlignment="1">
      <alignment horizontal="center"/>
    </xf>
    <xf numFmtId="10" fontId="2" fillId="0" borderId="0" xfId="1" applyNumberFormat="1" applyFont="1"/>
    <xf numFmtId="164" fontId="3" fillId="4" borderId="3" xfId="2" applyFont="1" applyFill="1" applyBorder="1" applyAlignment="1" applyProtection="1">
      <alignment horizontal="center"/>
    </xf>
    <xf numFmtId="166" fontId="1" fillId="0" borderId="5" xfId="1" applyNumberFormat="1" applyBorder="1" applyAlignment="1">
      <alignment horizontal="center"/>
    </xf>
    <xf numFmtId="164" fontId="3" fillId="4" borderId="10" xfId="2" applyFont="1" applyFill="1" applyBorder="1" applyAlignment="1" applyProtection="1">
      <alignment horizontal="center"/>
    </xf>
    <xf numFmtId="166" fontId="1" fillId="0" borderId="8" xfId="1" applyNumberFormat="1" applyBorder="1" applyAlignment="1">
      <alignment horizontal="center"/>
    </xf>
    <xf numFmtId="0" fontId="1" fillId="0" borderId="0" xfId="1" applyAlignment="1">
      <alignment horizontal="right"/>
    </xf>
    <xf numFmtId="10" fontId="1" fillId="0" borderId="8" xfId="3" applyNumberFormat="1" applyBorder="1" applyAlignment="1">
      <alignment horizontal="center"/>
    </xf>
    <xf numFmtId="0" fontId="1" fillId="4" borderId="11" xfId="1" applyFont="1" applyFill="1" applyBorder="1" applyAlignment="1">
      <alignment horizontal="center"/>
    </xf>
    <xf numFmtId="10" fontId="1" fillId="0" borderId="12" xfId="3" applyNumberFormat="1" applyBorder="1" applyAlignment="1">
      <alignment horizontal="center"/>
    </xf>
    <xf numFmtId="1" fontId="3" fillId="0" borderId="0" xfId="2" applyNumberFormat="1" applyFont="1" applyProtection="1"/>
    <xf numFmtId="167" fontId="1" fillId="0" borderId="0" xfId="1" applyNumberFormat="1" applyFont="1" applyAlignment="1">
      <alignment horizontal="center"/>
    </xf>
    <xf numFmtId="167" fontId="1" fillId="0" borderId="15" xfId="1" applyNumberFormat="1" applyFont="1" applyBorder="1" applyAlignment="1">
      <alignment horizontal="center"/>
    </xf>
    <xf numFmtId="167" fontId="1" fillId="0" borderId="16" xfId="1" applyNumberFormat="1" applyFont="1" applyBorder="1" applyAlignment="1">
      <alignment horizontal="center"/>
    </xf>
    <xf numFmtId="168" fontId="1" fillId="0" borderId="17" xfId="1" applyNumberFormat="1" applyFont="1" applyBorder="1" applyAlignment="1">
      <alignment horizontal="center"/>
    </xf>
    <xf numFmtId="168" fontId="1" fillId="0" borderId="0" xfId="1" applyNumberFormat="1" applyFont="1" applyBorder="1" applyAlignment="1">
      <alignment horizontal="center"/>
    </xf>
    <xf numFmtId="168" fontId="1" fillId="0" borderId="18" xfId="1" applyNumberFormat="1" applyFont="1" applyBorder="1" applyAlignment="1">
      <alignment horizontal="center"/>
    </xf>
    <xf numFmtId="167" fontId="4" fillId="0" borderId="0" xfId="1" applyNumberFormat="1" applyFont="1" applyAlignment="1">
      <alignment horizontal="center"/>
    </xf>
    <xf numFmtId="167" fontId="1" fillId="0" borderId="17" xfId="1" applyNumberFormat="1" applyFont="1" applyBorder="1" applyAlignment="1">
      <alignment horizontal="center"/>
    </xf>
    <xf numFmtId="167" fontId="1" fillId="0" borderId="0" xfId="1" applyNumberFormat="1" applyFont="1" applyBorder="1" applyAlignment="1">
      <alignment horizontal="center"/>
    </xf>
    <xf numFmtId="167" fontId="1" fillId="0" borderId="18" xfId="1" applyNumberFormat="1" applyFont="1" applyBorder="1" applyAlignment="1">
      <alignment horizontal="center"/>
    </xf>
    <xf numFmtId="167" fontId="4" fillId="0" borderId="19" xfId="1" applyNumberFormat="1" applyFont="1" applyBorder="1" applyAlignment="1">
      <alignment horizontal="center"/>
    </xf>
    <xf numFmtId="167" fontId="4" fillId="0" borderId="20" xfId="1" applyNumberFormat="1" applyFont="1" applyBorder="1" applyAlignment="1">
      <alignment horizontal="center"/>
    </xf>
    <xf numFmtId="167" fontId="4" fillId="0" borderId="21" xfId="1" applyNumberFormat="1" applyFont="1" applyBorder="1" applyAlignment="1">
      <alignment horizontal="center"/>
    </xf>
    <xf numFmtId="2" fontId="1" fillId="0" borderId="17" xfId="1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2" fontId="1" fillId="0" borderId="18" xfId="1" applyNumberFormat="1" applyFont="1" applyBorder="1" applyAlignment="1">
      <alignment horizontal="center"/>
    </xf>
    <xf numFmtId="167" fontId="1" fillId="6" borderId="0" xfId="1" applyNumberFormat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22" xfId="1" applyBorder="1" applyAlignment="1">
      <alignment horizontal="center"/>
    </xf>
    <xf numFmtId="0" fontId="1" fillId="3" borderId="3" xfId="1" applyFont="1" applyFill="1" applyBorder="1"/>
    <xf numFmtId="0" fontId="1" fillId="0" borderId="5" xfId="1" applyBorder="1" applyAlignment="1">
      <alignment horizontal="center"/>
    </xf>
    <xf numFmtId="0" fontId="1" fillId="3" borderId="10" xfId="1" applyFont="1" applyFill="1" applyBorder="1"/>
    <xf numFmtId="0" fontId="1" fillId="3" borderId="11" xfId="1" applyFont="1" applyFill="1" applyBorder="1"/>
    <xf numFmtId="0" fontId="1" fillId="0" borderId="12" xfId="1" applyBorder="1"/>
    <xf numFmtId="10" fontId="0" fillId="0" borderId="9" xfId="3" applyNumberFormat="1" applyFont="1" applyBorder="1" applyAlignment="1">
      <alignment horizontal="center"/>
    </xf>
    <xf numFmtId="164" fontId="3" fillId="3" borderId="12" xfId="2" applyFont="1" applyFill="1" applyBorder="1" applyAlignment="1" applyProtection="1">
      <alignment horizontal="center"/>
    </xf>
    <xf numFmtId="10" fontId="0" fillId="0" borderId="12" xfId="3" applyNumberFormat="1" applyFont="1" applyBorder="1" applyAlignment="1">
      <alignment horizontal="center"/>
    </xf>
    <xf numFmtId="0" fontId="3" fillId="0" borderId="0" xfId="4"/>
    <xf numFmtId="0" fontId="4" fillId="3" borderId="3" xfId="1" applyFont="1" applyFill="1" applyBorder="1"/>
    <xf numFmtId="0" fontId="4" fillId="3" borderId="11" xfId="1" applyFont="1" applyFill="1" applyBorder="1"/>
    <xf numFmtId="0" fontId="1" fillId="0" borderId="12" xfId="1" applyBorder="1" applyAlignment="1">
      <alignment horizontal="center"/>
    </xf>
    <xf numFmtId="0" fontId="2" fillId="0" borderId="0" xfId="4" applyFont="1"/>
    <xf numFmtId="0" fontId="3" fillId="0" borderId="0" xfId="4" applyAlignment="1">
      <alignment horizontal="right"/>
    </xf>
    <xf numFmtId="2" fontId="3" fillId="0" borderId="0" xfId="4" applyNumberFormat="1" applyFont="1"/>
    <xf numFmtId="2" fontId="3" fillId="0" borderId="0" xfId="4" applyNumberFormat="1"/>
    <xf numFmtId="2" fontId="2" fillId="0" borderId="0" xfId="4" applyNumberFormat="1" applyFont="1"/>
    <xf numFmtId="0" fontId="2" fillId="0" borderId="0" xfId="4" quotePrefix="1" applyFont="1" applyAlignment="1">
      <alignment horizontal="left"/>
    </xf>
    <xf numFmtId="2" fontId="3" fillId="0" borderId="0" xfId="4" applyNumberFormat="1" applyFont="1" applyAlignment="1">
      <alignment horizontal="right"/>
    </xf>
    <xf numFmtId="167" fontId="1" fillId="0" borderId="25" xfId="1" applyNumberFormat="1" applyFont="1" applyBorder="1" applyAlignment="1">
      <alignment horizontal="center"/>
    </xf>
    <xf numFmtId="167" fontId="1" fillId="0" borderId="4" xfId="1" applyNumberFormat="1" applyFont="1" applyBorder="1" applyAlignment="1">
      <alignment horizontal="center"/>
    </xf>
    <xf numFmtId="167" fontId="1" fillId="0" borderId="10" xfId="1" applyNumberFormat="1" applyFont="1" applyBorder="1" applyAlignment="1">
      <alignment horizontal="center"/>
    </xf>
    <xf numFmtId="167" fontId="1" fillId="0" borderId="9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167" fontId="4" fillId="0" borderId="11" xfId="1" applyNumberFormat="1" applyFont="1" applyBorder="1" applyAlignment="1">
      <alignment horizontal="center"/>
    </xf>
    <xf numFmtId="167" fontId="4" fillId="0" borderId="26" xfId="1" applyNumberFormat="1" applyFont="1" applyBorder="1" applyAlignment="1">
      <alignment horizontal="center"/>
    </xf>
    <xf numFmtId="167" fontId="4" fillId="0" borderId="27" xfId="1" applyNumberFormat="1" applyFont="1" applyBorder="1" applyAlignment="1">
      <alignment horizontal="center"/>
    </xf>
    <xf numFmtId="0" fontId="1" fillId="0" borderId="0" xfId="1" applyBorder="1"/>
    <xf numFmtId="0" fontId="1" fillId="0" borderId="25" xfId="1" applyBorder="1"/>
    <xf numFmtId="0" fontId="1" fillId="0" borderId="4" xfId="1" applyBorder="1"/>
    <xf numFmtId="0" fontId="1" fillId="0" borderId="9" xfId="1" applyBorder="1"/>
    <xf numFmtId="20" fontId="1" fillId="0" borderId="10" xfId="1" applyNumberFormat="1" applyFont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167" fontId="4" fillId="5" borderId="13" xfId="1" applyNumberFormat="1" applyFont="1" applyFill="1" applyBorder="1" applyAlignment="1">
      <alignment horizontal="center"/>
    </xf>
    <xf numFmtId="167" fontId="4" fillId="5" borderId="14" xfId="1" applyNumberFormat="1" applyFont="1" applyFill="1" applyBorder="1" applyAlignment="1">
      <alignment horizontal="center"/>
    </xf>
    <xf numFmtId="167" fontId="4" fillId="5" borderId="3" xfId="1" applyNumberFormat="1" applyFont="1" applyFill="1" applyBorder="1" applyAlignment="1">
      <alignment horizontal="center"/>
    </xf>
    <xf numFmtId="167" fontId="4" fillId="5" borderId="25" xfId="1" applyNumberFormat="1" applyFont="1" applyFill="1" applyBorder="1" applyAlignment="1">
      <alignment horizontal="center"/>
    </xf>
    <xf numFmtId="167" fontId="4" fillId="5" borderId="23" xfId="1" applyNumberFormat="1" applyFont="1" applyFill="1" applyBorder="1" applyAlignment="1">
      <alignment horizontal="center"/>
    </xf>
    <xf numFmtId="167" fontId="4" fillId="5" borderId="24" xfId="1" applyNumberFormat="1" applyFont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4" xr:uid="{00000000-0005-0000-0000-000002000000}"/>
    <cellStyle name="Normal_Call" xfId="2" xr:uid="{00000000-0005-0000-0000-000003000000}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H28"/>
  <sheetViews>
    <sheetView showGridLines="0" zoomScaleNormal="100" workbookViewId="0">
      <selection activeCell="D6" sqref="D6"/>
    </sheetView>
  </sheetViews>
  <sheetFormatPr baseColWidth="10" defaultColWidth="9.140625" defaultRowHeight="12.75" x14ac:dyDescent="0.2"/>
  <cols>
    <col min="1" max="1" width="10.42578125" style="1" bestFit="1" customWidth="1"/>
    <col min="2" max="6" width="9.140625" style="1"/>
    <col min="7" max="7" width="10.28515625" style="1" bestFit="1" customWidth="1"/>
    <col min="8" max="8" width="9.140625" style="1"/>
    <col min="9" max="9" width="10.28515625" style="1" bestFit="1" customWidth="1"/>
    <col min="10" max="16384" width="9.140625" style="1"/>
  </cols>
  <sheetData>
    <row r="1" spans="1:8" ht="13.5" thickBot="1" x14ac:dyDescent="0.25">
      <c r="A1" s="73" t="s">
        <v>0</v>
      </c>
      <c r="B1" s="74"/>
      <c r="E1" s="2"/>
      <c r="G1" s="75" t="s">
        <v>1</v>
      </c>
      <c r="H1" s="76"/>
    </row>
    <row r="2" spans="1:8" ht="13.5" thickBot="1" x14ac:dyDescent="0.25">
      <c r="A2" s="3" t="s">
        <v>2</v>
      </c>
      <c r="B2" s="4">
        <v>100</v>
      </c>
      <c r="G2" s="5" t="s">
        <v>3</v>
      </c>
      <c r="H2" s="6">
        <v>100</v>
      </c>
    </row>
    <row r="3" spans="1:8" ht="15" x14ac:dyDescent="0.25">
      <c r="A3" s="7" t="s">
        <v>4</v>
      </c>
      <c r="B3" s="8">
        <v>0.25</v>
      </c>
      <c r="D3" s="9"/>
    </row>
    <row r="4" spans="1:8" ht="15" x14ac:dyDescent="0.25">
      <c r="A4" s="7" t="s">
        <v>5</v>
      </c>
      <c r="B4" s="10">
        <v>0.3</v>
      </c>
      <c r="D4" s="9"/>
    </row>
    <row r="5" spans="1:8" x14ac:dyDescent="0.2">
      <c r="A5" s="7" t="s">
        <v>6</v>
      </c>
      <c r="B5" s="11">
        <v>15</v>
      </c>
      <c r="D5" s="12"/>
    </row>
    <row r="6" spans="1:8" ht="15.75" thickBot="1" x14ac:dyDescent="0.3">
      <c r="A6" s="7" t="s">
        <v>7</v>
      </c>
      <c r="B6" s="8">
        <v>1.02</v>
      </c>
      <c r="D6" s="12"/>
    </row>
    <row r="7" spans="1:8" x14ac:dyDescent="0.2">
      <c r="A7" s="13" t="s">
        <v>8</v>
      </c>
      <c r="B7" s="14">
        <v>1.07</v>
      </c>
    </row>
    <row r="8" spans="1:8" x14ac:dyDescent="0.2">
      <c r="A8" s="15" t="s">
        <v>9</v>
      </c>
      <c r="B8" s="16">
        <f>1/B7</f>
        <v>0.93457943925233644</v>
      </c>
      <c r="G8" s="17"/>
    </row>
    <row r="9" spans="1:8" x14ac:dyDescent="0.2">
      <c r="A9" s="15" t="s">
        <v>10</v>
      </c>
      <c r="B9" s="18">
        <f>(B6 - B8) / (B7 - B8)</f>
        <v>0.6307798481711524</v>
      </c>
      <c r="G9" s="17"/>
    </row>
    <row r="10" spans="1:8" ht="13.5" thickBot="1" x14ac:dyDescent="0.25">
      <c r="A10" s="19" t="s">
        <v>11</v>
      </c>
      <c r="B10" s="20">
        <f>1 - B9</f>
        <v>0.3692201518288476</v>
      </c>
      <c r="D10" s="21"/>
      <c r="F10" s="17"/>
    </row>
    <row r="11" spans="1:8" x14ac:dyDescent="0.2">
      <c r="D11" s="21"/>
      <c r="F11" s="17"/>
      <c r="G11" s="22"/>
    </row>
    <row r="12" spans="1:8" ht="13.5" thickBot="1" x14ac:dyDescent="0.25">
      <c r="G12" s="22"/>
    </row>
    <row r="13" spans="1:8" ht="13.5" thickBot="1" x14ac:dyDescent="0.25">
      <c r="A13" s="22"/>
      <c r="B13" s="77" t="s">
        <v>12</v>
      </c>
      <c r="C13" s="78"/>
      <c r="D13" s="23"/>
      <c r="E13" s="24"/>
      <c r="F13" s="22"/>
      <c r="G13" s="22"/>
    </row>
    <row r="14" spans="1:8" x14ac:dyDescent="0.2">
      <c r="A14" s="22"/>
      <c r="B14" s="25"/>
      <c r="C14" s="26"/>
      <c r="D14" s="26"/>
      <c r="E14" s="27">
        <f>B2 * (B7 ^ (3)) * (B8 ^ (0))</f>
        <v>122.50430000000001</v>
      </c>
      <c r="F14" s="22"/>
      <c r="G14" s="22"/>
    </row>
    <row r="15" spans="1:8" x14ac:dyDescent="0.2">
      <c r="A15" s="22"/>
      <c r="B15" s="25"/>
      <c r="C15" s="26"/>
      <c r="D15" s="26">
        <f>B2 * (B7 ^ (2)) * (B8 ^ (0))</f>
        <v>114.49000000000001</v>
      </c>
      <c r="E15" s="27">
        <f>B2 * (B7 ^ (2)) * (B8 ^ (1))</f>
        <v>107.00000000000001</v>
      </c>
      <c r="F15" s="22"/>
      <c r="G15" s="22"/>
    </row>
    <row r="16" spans="1:8" x14ac:dyDescent="0.2">
      <c r="A16" s="22"/>
      <c r="B16" s="25"/>
      <c r="C16" s="26">
        <f>B2 * (B7 ^ (1)) * (B8 ^ (0))</f>
        <v>107</v>
      </c>
      <c r="D16" s="26">
        <f>B2 * (B7 ^ (1)) * (B8 ^ (1))</f>
        <v>100</v>
      </c>
      <c r="E16" s="27">
        <f>B2 * (B7 ^ (1)) * (B8 ^ (2))</f>
        <v>93.45794392523365</v>
      </c>
      <c r="F16" s="22"/>
      <c r="G16" s="22"/>
    </row>
    <row r="17" spans="1:7" x14ac:dyDescent="0.2">
      <c r="A17" s="22"/>
      <c r="B17" s="25">
        <f>B2 * (B7 ^ (0)) * (B8 ^ (0))</f>
        <v>100</v>
      </c>
      <c r="C17" s="26">
        <f>B2 * (B7 ^ (0)) * (B8 ^ (1))</f>
        <v>93.45794392523365</v>
      </c>
      <c r="D17" s="26">
        <f>B2 * (B7 ^ (0)) * (B8 ^ (2))</f>
        <v>87.343872827321164</v>
      </c>
      <c r="E17" s="27">
        <f>B2 * (B7 ^ (0)) * (B8 ^ (3))</f>
        <v>81.629787689085191</v>
      </c>
      <c r="F17" s="22"/>
      <c r="G17" s="28"/>
    </row>
    <row r="18" spans="1:7" x14ac:dyDescent="0.2">
      <c r="A18" s="22"/>
      <c r="B18" s="29"/>
      <c r="C18" s="30"/>
      <c r="D18" s="30"/>
      <c r="E18" s="31"/>
      <c r="F18" s="22"/>
    </row>
    <row r="19" spans="1:7" ht="13.5" thickBot="1" x14ac:dyDescent="0.25">
      <c r="A19" s="28"/>
      <c r="B19" s="32" t="s">
        <v>13</v>
      </c>
      <c r="C19" s="33" t="s">
        <v>14</v>
      </c>
      <c r="D19" s="33" t="s">
        <v>15</v>
      </c>
      <c r="E19" s="34" t="s">
        <v>16</v>
      </c>
      <c r="F19" s="28"/>
    </row>
    <row r="20" spans="1:7" x14ac:dyDescent="0.2">
      <c r="G20" s="22"/>
    </row>
    <row r="21" spans="1:7" ht="13.5" thickBot="1" x14ac:dyDescent="0.25">
      <c r="G21" s="22"/>
    </row>
    <row r="22" spans="1:7" ht="13.5" thickBot="1" x14ac:dyDescent="0.25">
      <c r="A22" s="22"/>
      <c r="B22" s="77" t="s">
        <v>17</v>
      </c>
      <c r="C22" s="78"/>
      <c r="D22" s="23"/>
      <c r="E22" s="24"/>
      <c r="F22" s="22"/>
      <c r="G22" s="22"/>
    </row>
    <row r="23" spans="1:7" x14ac:dyDescent="0.2">
      <c r="A23" s="22"/>
      <c r="B23" s="25"/>
      <c r="C23" s="26"/>
      <c r="D23" s="26"/>
      <c r="E23" s="27">
        <f>MAX($E$14 - $H$2, 0)</f>
        <v>22.504300000000015</v>
      </c>
      <c r="F23" s="22"/>
      <c r="G23" s="22"/>
    </row>
    <row r="24" spans="1:7" x14ac:dyDescent="0.2">
      <c r="A24" s="22"/>
      <c r="B24" s="25"/>
      <c r="C24" s="26"/>
      <c r="D24" s="26">
        <f xml:space="preserve"> ($B$9 *$E$23 + $B$10 *$E$24)/$B$6</f>
        <v>16.450784313725503</v>
      </c>
      <c r="E24" s="27">
        <f>MAX($E$15 - $H$2, 0)</f>
        <v>7.0000000000000142</v>
      </c>
      <c r="F24" s="22"/>
      <c r="G24" s="22"/>
    </row>
    <row r="25" spans="1:7" x14ac:dyDescent="0.2">
      <c r="A25" s="22"/>
      <c r="B25" s="25"/>
      <c r="C25" s="26">
        <f>($B$9 *$D$24 + $B$10 *$D$25)/$B$6</f>
        <v>11.740326908428129</v>
      </c>
      <c r="D25" s="26">
        <f xml:space="preserve"> ($B$9 *$E$24 + $B$10 *$E$25)/$B$6</f>
        <v>4.3288813109785051</v>
      </c>
      <c r="E25" s="27">
        <f>MAX($E$16 - $H$2, 0)</f>
        <v>0</v>
      </c>
      <c r="F25" s="22"/>
      <c r="G25" s="22"/>
    </row>
    <row r="26" spans="1:7" x14ac:dyDescent="0.2">
      <c r="A26" s="22"/>
      <c r="B26" s="25">
        <f xml:space="preserve"> ($B$9 *$C$25 + $B$10 *$C$26)/$B$6</f>
        <v>8.2293874778463536</v>
      </c>
      <c r="C26" s="26">
        <f xml:space="preserve"> ($B$9 *$D$25 + $B$10 *$D$26)/$B$6</f>
        <v>2.6770304863627064</v>
      </c>
      <c r="D26" s="26">
        <f xml:space="preserve"> ($B$9 *$E$25 + $B$10 *$E$26)/$B$6</f>
        <v>0</v>
      </c>
      <c r="E26" s="27">
        <f>MAX($E$17 - $H$2, 0)</f>
        <v>0</v>
      </c>
      <c r="F26" s="22"/>
      <c r="G26" s="28"/>
    </row>
    <row r="27" spans="1:7" x14ac:dyDescent="0.2">
      <c r="A27" s="22"/>
      <c r="B27" s="25"/>
      <c r="C27" s="26"/>
      <c r="D27" s="26"/>
      <c r="E27" s="27"/>
      <c r="F27" s="22"/>
    </row>
    <row r="28" spans="1:7" ht="13.5" thickBot="1" x14ac:dyDescent="0.25">
      <c r="A28" s="28"/>
      <c r="B28" s="32" t="s">
        <v>13</v>
      </c>
      <c r="C28" s="33" t="s">
        <v>14</v>
      </c>
      <c r="D28" s="33" t="s">
        <v>15</v>
      </c>
      <c r="E28" s="34" t="s">
        <v>16</v>
      </c>
      <c r="F28" s="28"/>
    </row>
  </sheetData>
  <dataConsolidate/>
  <mergeCells count="4">
    <mergeCell ref="A1:B1"/>
    <mergeCell ref="G1:H1"/>
    <mergeCell ref="B13:C13"/>
    <mergeCell ref="B22:C2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H28"/>
  <sheetViews>
    <sheetView showGridLines="0" zoomScaleNormal="100" workbookViewId="0">
      <selection activeCell="D26" sqref="D26"/>
    </sheetView>
  </sheetViews>
  <sheetFormatPr baseColWidth="10" defaultColWidth="9.140625" defaultRowHeight="12.75" x14ac:dyDescent="0.2"/>
  <cols>
    <col min="1" max="1" width="10.42578125" style="1" bestFit="1" customWidth="1"/>
    <col min="2" max="6" width="9.140625" style="1"/>
    <col min="7" max="7" width="10.28515625" style="1" bestFit="1" customWidth="1"/>
    <col min="8" max="8" width="9.140625" style="1"/>
    <col min="9" max="9" width="10.28515625" style="1" bestFit="1" customWidth="1"/>
    <col min="10" max="16384" width="9.140625" style="1"/>
  </cols>
  <sheetData>
    <row r="1" spans="1:8" ht="13.5" thickBot="1" x14ac:dyDescent="0.25">
      <c r="A1" s="73" t="s">
        <v>0</v>
      </c>
      <c r="B1" s="74"/>
      <c r="E1" s="2"/>
      <c r="G1" s="75" t="s">
        <v>1</v>
      </c>
      <c r="H1" s="76"/>
    </row>
    <row r="2" spans="1:8" ht="13.5" thickBot="1" x14ac:dyDescent="0.25">
      <c r="A2" s="3" t="s">
        <v>2</v>
      </c>
      <c r="B2" s="4">
        <v>100</v>
      </c>
      <c r="G2" s="5" t="s">
        <v>3</v>
      </c>
      <c r="H2" s="6">
        <v>110</v>
      </c>
    </row>
    <row r="3" spans="1:8" ht="15" x14ac:dyDescent="0.25">
      <c r="A3" s="7" t="s">
        <v>4</v>
      </c>
      <c r="B3" s="8">
        <v>0.25</v>
      </c>
      <c r="D3" s="9"/>
    </row>
    <row r="4" spans="1:8" ht="15" x14ac:dyDescent="0.25">
      <c r="A4" s="7" t="s">
        <v>5</v>
      </c>
      <c r="B4" s="10">
        <v>0.3</v>
      </c>
      <c r="D4" s="9"/>
    </row>
    <row r="5" spans="1:8" x14ac:dyDescent="0.2">
      <c r="A5" s="7" t="s">
        <v>6</v>
      </c>
      <c r="B5" s="11">
        <v>15</v>
      </c>
      <c r="D5" s="12"/>
    </row>
    <row r="6" spans="1:8" ht="15.75" thickBot="1" x14ac:dyDescent="0.3">
      <c r="A6" s="7" t="s">
        <v>7</v>
      </c>
      <c r="B6" s="8">
        <v>1.02</v>
      </c>
      <c r="D6" s="12"/>
    </row>
    <row r="7" spans="1:8" x14ac:dyDescent="0.2">
      <c r="A7" s="13" t="s">
        <v>8</v>
      </c>
      <c r="B7" s="14">
        <v>1.07</v>
      </c>
      <c r="G7" s="17"/>
    </row>
    <row r="8" spans="1:8" x14ac:dyDescent="0.2">
      <c r="A8" s="15" t="s">
        <v>9</v>
      </c>
      <c r="B8" s="16">
        <f>1/B7</f>
        <v>0.93457943925233644</v>
      </c>
      <c r="G8" s="17"/>
    </row>
    <row r="9" spans="1:8" x14ac:dyDescent="0.2">
      <c r="A9" s="15" t="s">
        <v>10</v>
      </c>
      <c r="B9" s="18">
        <f>(B6 - B8) / (B7 - B8)</f>
        <v>0.6307798481711524</v>
      </c>
    </row>
    <row r="10" spans="1:8" ht="13.5" thickBot="1" x14ac:dyDescent="0.25">
      <c r="A10" s="19" t="s">
        <v>11</v>
      </c>
      <c r="B10" s="20">
        <f>1 - B9</f>
        <v>0.3692201518288476</v>
      </c>
      <c r="D10" s="21"/>
      <c r="F10" s="17"/>
      <c r="G10" s="22"/>
    </row>
    <row r="11" spans="1:8" x14ac:dyDescent="0.2">
      <c r="D11" s="21"/>
      <c r="F11" s="17"/>
      <c r="G11" s="22"/>
    </row>
    <row r="12" spans="1:8" ht="13.5" thickBot="1" x14ac:dyDescent="0.25">
      <c r="G12" s="22"/>
    </row>
    <row r="13" spans="1:8" ht="13.5" thickBot="1" x14ac:dyDescent="0.25">
      <c r="A13" s="22"/>
      <c r="B13" s="77" t="s">
        <v>12</v>
      </c>
      <c r="C13" s="78"/>
      <c r="D13" s="23"/>
      <c r="E13" s="24"/>
      <c r="F13" s="22"/>
      <c r="G13" s="22"/>
    </row>
    <row r="14" spans="1:8" x14ac:dyDescent="0.2">
      <c r="A14" s="22"/>
      <c r="B14" s="35"/>
      <c r="C14" s="36"/>
      <c r="D14" s="36"/>
      <c r="E14" s="37">
        <f>B2 * (B7 ^ (3)) * (B8 ^ (0))</f>
        <v>122.50430000000001</v>
      </c>
      <c r="F14" s="22"/>
      <c r="G14" s="22"/>
    </row>
    <row r="15" spans="1:8" x14ac:dyDescent="0.2">
      <c r="A15" s="22"/>
      <c r="B15" s="35"/>
      <c r="C15" s="36"/>
      <c r="D15" s="36">
        <f>B2 * (B7 ^ (2)) * (B8 ^ (0))</f>
        <v>114.49000000000001</v>
      </c>
      <c r="E15" s="37">
        <f>B2 * (B7 ^ (2)) * (B8 ^ (1))</f>
        <v>107.00000000000001</v>
      </c>
      <c r="F15" s="22"/>
      <c r="G15" s="22"/>
    </row>
    <row r="16" spans="1:8" x14ac:dyDescent="0.2">
      <c r="A16" s="22"/>
      <c r="B16" s="35"/>
      <c r="C16" s="36">
        <f>B2 * (B7 ^ (1)) * (B8 ^ (0))</f>
        <v>107</v>
      </c>
      <c r="D16" s="36">
        <f>B2 * (B7 ^ (1)) * (B8 ^ (1))</f>
        <v>100</v>
      </c>
      <c r="E16" s="37">
        <f>B2 * (B7 ^ (1)) * (B8 ^ (2))</f>
        <v>93.45794392523365</v>
      </c>
      <c r="F16" s="22"/>
      <c r="G16" s="28"/>
    </row>
    <row r="17" spans="1:7" x14ac:dyDescent="0.2">
      <c r="A17" s="22"/>
      <c r="B17" s="35">
        <f>B2 * (B7 ^ (0)) * (B8 ^ (0))</f>
        <v>100</v>
      </c>
      <c r="C17" s="36">
        <f>B2 * (B7 ^ (0)) * (B8 ^ (1))</f>
        <v>93.45794392523365</v>
      </c>
      <c r="D17" s="36">
        <f>B2 * (B7 ^ (0)) * (B8 ^ (2))</f>
        <v>87.343872827321164</v>
      </c>
      <c r="E17" s="37">
        <f>B2 * (B7 ^ (0)) * (B8 ^ (3))</f>
        <v>81.629787689085191</v>
      </c>
      <c r="F17" s="22"/>
    </row>
    <row r="18" spans="1:7" x14ac:dyDescent="0.2">
      <c r="A18" s="22"/>
      <c r="B18" s="29"/>
      <c r="C18" s="30"/>
      <c r="D18" s="30"/>
      <c r="E18" s="31"/>
      <c r="F18" s="22"/>
    </row>
    <row r="19" spans="1:7" ht="13.5" thickBot="1" x14ac:dyDescent="0.25">
      <c r="A19" s="28"/>
      <c r="B19" s="32" t="s">
        <v>13</v>
      </c>
      <c r="C19" s="33" t="s">
        <v>14</v>
      </c>
      <c r="D19" s="33" t="s">
        <v>15</v>
      </c>
      <c r="E19" s="34" t="s">
        <v>16</v>
      </c>
      <c r="F19" s="28"/>
      <c r="G19" s="22"/>
    </row>
    <row r="20" spans="1:7" x14ac:dyDescent="0.2">
      <c r="G20" s="22"/>
    </row>
    <row r="21" spans="1:7" ht="13.5" thickBot="1" x14ac:dyDescent="0.25">
      <c r="G21" s="22"/>
    </row>
    <row r="22" spans="1:7" ht="13.5" thickBot="1" x14ac:dyDescent="0.25">
      <c r="A22" s="22"/>
      <c r="B22" s="77" t="s">
        <v>17</v>
      </c>
      <c r="C22" s="78"/>
      <c r="D22" s="23"/>
      <c r="E22" s="24"/>
      <c r="F22" s="22"/>
      <c r="G22" s="22"/>
    </row>
    <row r="23" spans="1:7" x14ac:dyDescent="0.2">
      <c r="A23" s="22"/>
      <c r="B23" s="29"/>
      <c r="C23" s="30"/>
      <c r="D23" s="30"/>
      <c r="E23" s="31">
        <f>MAX( $H$2 - $E$14, 0)</f>
        <v>0</v>
      </c>
      <c r="F23" s="22"/>
      <c r="G23" s="22"/>
    </row>
    <row r="24" spans="1:7" x14ac:dyDescent="0.2">
      <c r="A24" s="22"/>
      <c r="B24" s="29"/>
      <c r="C24" s="30"/>
      <c r="D24" s="30">
        <f>MAX(MAX($H$2 - $D$15, 0),  ($B$9 *$E$23 + $B$10 *$E$24)/$B$6)</f>
        <v>1.085941623026017</v>
      </c>
      <c r="E24" s="31">
        <f>MAX( $H$2 - $E$15, 0)</f>
        <v>2.9999999999999858</v>
      </c>
      <c r="F24" s="22"/>
      <c r="G24" s="22"/>
    </row>
    <row r="25" spans="1:7" x14ac:dyDescent="0.2">
      <c r="A25" s="22"/>
      <c r="B25" s="29"/>
      <c r="C25" s="30">
        <f>MAX(MAX($H$2 - $C$16, 0),  ($B$9 *$D$24 + $B$10 *$D$25)/$B$6)</f>
        <v>4.2913643239054533</v>
      </c>
      <c r="D25" s="30">
        <f>MAX(MAX($H$2 - $D$16, 0),  ($B$9 *$E$24 + $B$10 *$E$25)/$B$6)</f>
        <v>10</v>
      </c>
      <c r="E25" s="31">
        <f>MAX( $H$2 - $E$16, 0)</f>
        <v>16.54205607476635</v>
      </c>
      <c r="F25" s="22"/>
      <c r="G25" s="28"/>
    </row>
    <row r="26" spans="1:7" x14ac:dyDescent="0.2">
      <c r="A26" s="22"/>
      <c r="B26" s="29">
        <f>MAX(MAX($H$2 - $B$17, 0),  ($B$9 *$C$25 + $B$10 *$C$26)/$B$6)</f>
        <v>10</v>
      </c>
      <c r="C26" s="30">
        <f>MAX(MAX($H$2 - $C$17, 0),  ($B$9 *$D$25 + $B$10 *$D$26)/$B$6)</f>
        <v>16.54205607476635</v>
      </c>
      <c r="D26" s="38">
        <f>MAX(MAX($H$2 - $D$17, 0),  ($B$9 *$E$25 + $B$10 *$E$26)/$B$6)</f>
        <v>22.656127172678836</v>
      </c>
      <c r="E26" s="31">
        <f>MAX( $H$2 - $E$17, 0)</f>
        <v>28.370212310914809</v>
      </c>
      <c r="F26" s="22"/>
    </row>
    <row r="27" spans="1:7" x14ac:dyDescent="0.2">
      <c r="A27" s="22"/>
      <c r="B27" s="29"/>
      <c r="C27" s="30"/>
      <c r="D27" s="30"/>
      <c r="E27" s="31"/>
      <c r="F27" s="22"/>
    </row>
    <row r="28" spans="1:7" ht="13.5" thickBot="1" x14ac:dyDescent="0.25">
      <c r="A28" s="28"/>
      <c r="B28" s="32" t="s">
        <v>13</v>
      </c>
      <c r="C28" s="33" t="s">
        <v>14</v>
      </c>
      <c r="D28" s="33" t="s">
        <v>15</v>
      </c>
      <c r="E28" s="34" t="s">
        <v>16</v>
      </c>
      <c r="F28" s="28"/>
    </row>
  </sheetData>
  <dataConsolidate/>
  <mergeCells count="4">
    <mergeCell ref="A1:B1"/>
    <mergeCell ref="G1:H1"/>
    <mergeCell ref="B13:C13"/>
    <mergeCell ref="B22:C22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E10D-E3DA-4C0A-8FC8-134E660A9D8D}">
  <dimension ref="A1:AH115"/>
  <sheetViews>
    <sheetView showGridLines="0" topLeftCell="A71" zoomScale="85" zoomScaleNormal="85" workbookViewId="0">
      <selection activeCell="AG92" sqref="AG92"/>
    </sheetView>
  </sheetViews>
  <sheetFormatPr baseColWidth="10" defaultColWidth="9.140625" defaultRowHeight="12.75" x14ac:dyDescent="0.2"/>
  <cols>
    <col min="1" max="1" width="10.42578125" style="1" bestFit="1" customWidth="1"/>
    <col min="2" max="6" width="9.140625" style="1"/>
    <col min="7" max="7" width="10.28515625" style="1" bestFit="1" customWidth="1"/>
    <col min="8" max="8" width="9.140625" style="1"/>
    <col min="9" max="9" width="10.28515625" style="1" bestFit="1" customWidth="1"/>
    <col min="10" max="16384" width="9.140625" style="1"/>
  </cols>
  <sheetData>
    <row r="1" spans="1:17" ht="13.5" thickBot="1" x14ac:dyDescent="0.25">
      <c r="A1" s="73" t="s">
        <v>0</v>
      </c>
      <c r="B1" s="74"/>
      <c r="E1" s="73" t="s">
        <v>18</v>
      </c>
      <c r="F1" s="74"/>
      <c r="I1" s="73" t="s">
        <v>1</v>
      </c>
      <c r="J1" s="74"/>
    </row>
    <row r="2" spans="1:17" ht="13.5" thickBot="1" x14ac:dyDescent="0.25">
      <c r="A2" s="3" t="s">
        <v>2</v>
      </c>
      <c r="B2" s="4">
        <v>100</v>
      </c>
      <c r="E2" s="39" t="s">
        <v>19</v>
      </c>
      <c r="F2" s="40">
        <v>15</v>
      </c>
      <c r="I2" s="41" t="s">
        <v>20</v>
      </c>
      <c r="J2" s="42">
        <v>-1</v>
      </c>
    </row>
    <row r="3" spans="1:17" ht="15" x14ac:dyDescent="0.25">
      <c r="A3" s="7" t="s">
        <v>4</v>
      </c>
      <c r="B3" s="8">
        <v>0.25</v>
      </c>
      <c r="D3" s="9"/>
      <c r="I3" s="43" t="s">
        <v>3</v>
      </c>
      <c r="J3" s="11">
        <v>110</v>
      </c>
    </row>
    <row r="4" spans="1:17" ht="15" x14ac:dyDescent="0.25">
      <c r="A4" s="7" t="s">
        <v>5</v>
      </c>
      <c r="B4" s="10">
        <v>0.3</v>
      </c>
      <c r="D4" s="9"/>
      <c r="I4" s="43" t="s">
        <v>19</v>
      </c>
      <c r="J4" s="11">
        <v>15</v>
      </c>
    </row>
    <row r="5" spans="1:17" ht="13.5" thickBot="1" x14ac:dyDescent="0.25">
      <c r="A5" s="7" t="s">
        <v>6</v>
      </c>
      <c r="B5" s="11">
        <v>15</v>
      </c>
      <c r="D5" s="12"/>
      <c r="G5" s="17"/>
      <c r="H5" s="17"/>
      <c r="I5" s="44" t="s">
        <v>21</v>
      </c>
      <c r="J5" s="45" t="s">
        <v>35</v>
      </c>
    </row>
    <row r="6" spans="1:17" ht="15" x14ac:dyDescent="0.25">
      <c r="A6" s="7" t="s">
        <v>22</v>
      </c>
      <c r="B6" s="46">
        <v>0.02</v>
      </c>
      <c r="D6" s="12"/>
    </row>
    <row r="7" spans="1:17" ht="15.75" thickBot="1" x14ac:dyDescent="0.3">
      <c r="A7" s="47" t="s">
        <v>23</v>
      </c>
      <c r="B7" s="48">
        <v>0.01</v>
      </c>
    </row>
    <row r="8" spans="1:17" x14ac:dyDescent="0.2">
      <c r="A8" s="13" t="s">
        <v>8</v>
      </c>
      <c r="B8" s="14">
        <f>EXP(B4*SQRT(B3/B5))</f>
        <v>1.0394896104013376</v>
      </c>
      <c r="C8" s="1">
        <f>EXP(sigma*SQRT(T/n))</f>
        <v>1.0394896104013376</v>
      </c>
    </row>
    <row r="9" spans="1:17" x14ac:dyDescent="0.2">
      <c r="A9" s="15" t="s">
        <v>9</v>
      </c>
      <c r="B9" s="16">
        <f>1/B8</f>
        <v>0.96201057710803761</v>
      </c>
    </row>
    <row r="10" spans="1:17" x14ac:dyDescent="0.2">
      <c r="A10" s="15" t="s">
        <v>10</v>
      </c>
      <c r="B10" s="18">
        <f>(EXP((rate - divYield) * T/n) - d) / (u - d)</f>
        <v>0.49247005062451049</v>
      </c>
      <c r="D10" s="21"/>
      <c r="F10" s="17"/>
      <c r="G10" s="17"/>
    </row>
    <row r="11" spans="1:17" ht="13.5" thickBot="1" x14ac:dyDescent="0.25">
      <c r="A11" s="19" t="s">
        <v>11</v>
      </c>
      <c r="B11" s="20">
        <f>1 - q</f>
        <v>0.50752994937548945</v>
      </c>
      <c r="D11" s="21"/>
      <c r="F11" s="17"/>
      <c r="G11" s="17"/>
    </row>
    <row r="12" spans="1:17" ht="13.5" thickBot="1" x14ac:dyDescent="0.25"/>
    <row r="13" spans="1:17" x14ac:dyDescent="0.2">
      <c r="A13" s="22"/>
      <c r="B13" s="79" t="s">
        <v>12</v>
      </c>
      <c r="C13" s="8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9"/>
      <c r="Q13" s="70"/>
    </row>
    <row r="14" spans="1:17" x14ac:dyDescent="0.2">
      <c r="A14" s="22">
        <v>15</v>
      </c>
      <c r="B14" s="62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68"/>
      <c r="Q14" s="63">
        <f t="shared" ref="Q14:Q29" si="0">$B$2 * ($B$8 ^ ($A14)) * ($B$9 ^ (Q$31-$A14))</f>
        <v>178.77315075823688</v>
      </c>
    </row>
    <row r="15" spans="1:17" x14ac:dyDescent="0.2">
      <c r="A15" s="22">
        <v>14</v>
      </c>
      <c r="B15" s="62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>
        <f t="shared" ref="P15:P29" si="1">$B$2 * ($B$8 ^ ($A15)) * ($B$9 ^ (P$31-$A15))</f>
        <v>171.98166193235366</v>
      </c>
      <c r="Q15" s="63">
        <f t="shared" si="0"/>
        <v>165.44817784754298</v>
      </c>
    </row>
    <row r="16" spans="1:17" x14ac:dyDescent="0.2">
      <c r="A16" s="22">
        <v>13</v>
      </c>
      <c r="B16" s="62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>
        <f t="shared" ref="O16:O29" si="2">$B$2 * ($B$8 ^ ($A16)) * ($B$9 ^ (O$31-$A16))</f>
        <v>165.44817784754298</v>
      </c>
      <c r="P16" s="30">
        <f t="shared" si="1"/>
        <v>159.16289705258808</v>
      </c>
      <c r="Q16" s="63">
        <f t="shared" si="0"/>
        <v>153.11639044774742</v>
      </c>
    </row>
    <row r="17" spans="1:17" x14ac:dyDescent="0.2">
      <c r="A17" s="22">
        <v>12</v>
      </c>
      <c r="B17" s="62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>
        <f>$B$2 * ($B$8 ^ ($A17)) * ($B$9 ^ (N$31-$A17))</f>
        <v>159.16289705258805</v>
      </c>
      <c r="O17" s="30">
        <f t="shared" si="2"/>
        <v>153.11639044774742</v>
      </c>
      <c r="P17" s="30">
        <f t="shared" si="1"/>
        <v>147.29958713933709</v>
      </c>
      <c r="Q17" s="63">
        <f t="shared" si="0"/>
        <v>141.70376083168935</v>
      </c>
    </row>
    <row r="18" spans="1:17" x14ac:dyDescent="0.2">
      <c r="A18" s="22">
        <v>11</v>
      </c>
      <c r="B18" s="62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>
        <f t="shared" ref="J18:M29" si="3">$B$2 * ($B$8 ^ ($A18)) * ($B$9 ^ (M$31-$A18))</f>
        <v>153.11639044774745</v>
      </c>
      <c r="N18" s="30">
        <f t="shared" ref="N18:N29" si="4">$B$2 * ($B$8 ^ ($A18)) * ($B$9 ^ (N$31-$A18))</f>
        <v>147.29958713933715</v>
      </c>
      <c r="O18" s="30">
        <f t="shared" si="2"/>
        <v>141.70376083168941</v>
      </c>
      <c r="P18" s="30">
        <f t="shared" si="1"/>
        <v>136.32051673607285</v>
      </c>
      <c r="Q18" s="63">
        <f t="shared" si="0"/>
        <v>131.14177897693534</v>
      </c>
    </row>
    <row r="19" spans="1:17" x14ac:dyDescent="0.2">
      <c r="A19" s="22">
        <v>10</v>
      </c>
      <c r="B19" s="62"/>
      <c r="C19" s="30"/>
      <c r="D19" s="30"/>
      <c r="E19" s="30"/>
      <c r="F19" s="30"/>
      <c r="G19" s="30"/>
      <c r="H19" s="30"/>
      <c r="I19" s="30"/>
      <c r="J19" s="30"/>
      <c r="K19" s="30"/>
      <c r="L19" s="30">
        <f t="shared" si="3"/>
        <v>147.29958713933712</v>
      </c>
      <c r="M19" s="30">
        <f t="shared" si="3"/>
        <v>141.70376083168938</v>
      </c>
      <c r="N19" s="30">
        <f t="shared" si="4"/>
        <v>136.32051673607282</v>
      </c>
      <c r="O19" s="30">
        <f t="shared" si="2"/>
        <v>131.14177897693531</v>
      </c>
      <c r="P19" s="30">
        <f t="shared" si="1"/>
        <v>126.15977847657626</v>
      </c>
      <c r="Q19" s="63">
        <f t="shared" si="0"/>
        <v>121.36704130007331</v>
      </c>
    </row>
    <row r="20" spans="1:17" x14ac:dyDescent="0.2">
      <c r="A20" s="22">
        <v>9</v>
      </c>
      <c r="B20" s="62"/>
      <c r="C20" s="30"/>
      <c r="D20" s="30"/>
      <c r="E20" s="30"/>
      <c r="F20" s="30"/>
      <c r="G20" s="30"/>
      <c r="H20" s="30"/>
      <c r="I20" s="30"/>
      <c r="J20" s="30"/>
      <c r="K20" s="30">
        <f t="shared" si="3"/>
        <v>141.70376083168941</v>
      </c>
      <c r="L20" s="30">
        <f t="shared" si="3"/>
        <v>136.32051673607288</v>
      </c>
      <c r="M20" s="30">
        <f t="shared" si="3"/>
        <v>131.14177897693534</v>
      </c>
      <c r="N20" s="30">
        <f t="shared" si="4"/>
        <v>126.15977847657629</v>
      </c>
      <c r="O20" s="30">
        <f t="shared" si="2"/>
        <v>121.36704130007334</v>
      </c>
      <c r="P20" s="30">
        <f t="shared" si="1"/>
        <v>116.75637744297859</v>
      </c>
      <c r="Q20" s="63">
        <f t="shared" si="0"/>
        <v>112.3208700449637</v>
      </c>
    </row>
    <row r="21" spans="1:17" x14ac:dyDescent="0.2">
      <c r="A21" s="22">
        <v>8</v>
      </c>
      <c r="B21" s="62"/>
      <c r="C21" s="30"/>
      <c r="D21" s="30"/>
      <c r="E21" s="30"/>
      <c r="F21" s="30"/>
      <c r="G21" s="30"/>
      <c r="H21" s="30"/>
      <c r="I21" s="30"/>
      <c r="J21" s="30">
        <f t="shared" si="3"/>
        <v>136.32051673607288</v>
      </c>
      <c r="K21" s="30">
        <f t="shared" si="3"/>
        <v>131.14177897693537</v>
      </c>
      <c r="L21" s="30">
        <f t="shared" si="3"/>
        <v>126.15977847657631</v>
      </c>
      <c r="M21" s="30">
        <f t="shared" si="3"/>
        <v>121.36704130007335</v>
      </c>
      <c r="N21" s="30">
        <f t="shared" si="4"/>
        <v>116.7563774429786</v>
      </c>
      <c r="O21" s="30">
        <f t="shared" si="2"/>
        <v>112.32087004496371</v>
      </c>
      <c r="P21" s="30">
        <f t="shared" si="1"/>
        <v>108.05386501323242</v>
      </c>
      <c r="Q21" s="63">
        <f t="shared" si="0"/>
        <v>103.94896104013372</v>
      </c>
    </row>
    <row r="22" spans="1:17" x14ac:dyDescent="0.2">
      <c r="A22" s="22">
        <v>7</v>
      </c>
      <c r="B22" s="62"/>
      <c r="C22" s="30"/>
      <c r="D22" s="30"/>
      <c r="E22" s="30"/>
      <c r="F22" s="30"/>
      <c r="G22" s="30"/>
      <c r="H22" s="30"/>
      <c r="I22" s="30">
        <f t="shared" ref="I22:K22" si="5">$B$2 * ($B$8 ^ ($A22)) * ($B$9 ^ (I$31-$A22))</f>
        <v>131.14177897693537</v>
      </c>
      <c r="J22" s="30">
        <f t="shared" si="5"/>
        <v>126.15977847657631</v>
      </c>
      <c r="K22" s="30">
        <f t="shared" si="5"/>
        <v>121.36704130007335</v>
      </c>
      <c r="L22" s="30">
        <f t="shared" si="3"/>
        <v>116.7563774429786</v>
      </c>
      <c r="M22" s="30">
        <f t="shared" si="3"/>
        <v>112.32087004496371</v>
      </c>
      <c r="N22" s="30">
        <f t="shared" si="4"/>
        <v>108.05386501323244</v>
      </c>
      <c r="O22" s="30">
        <f t="shared" si="2"/>
        <v>103.94896104013372</v>
      </c>
      <c r="P22" s="30">
        <f t="shared" si="1"/>
        <v>99.999999999999957</v>
      </c>
      <c r="Q22" s="63">
        <f t="shared" si="0"/>
        <v>96.201057710803724</v>
      </c>
    </row>
    <row r="23" spans="1:17" x14ac:dyDescent="0.2">
      <c r="A23" s="22">
        <v>6</v>
      </c>
      <c r="B23" s="62"/>
      <c r="C23" s="30"/>
      <c r="D23" s="30"/>
      <c r="E23" s="30"/>
      <c r="F23" s="30"/>
      <c r="G23" s="30"/>
      <c r="H23" s="30">
        <f t="shared" ref="H23:K23" si="6">$B$2 * ($B$8 ^ ($A23)) * ($B$9 ^ (H$31-$A23))</f>
        <v>126.15977847657631</v>
      </c>
      <c r="I23" s="30">
        <f t="shared" si="6"/>
        <v>121.36704130007335</v>
      </c>
      <c r="J23" s="30">
        <f t="shared" si="6"/>
        <v>116.7563774429786</v>
      </c>
      <c r="K23" s="30">
        <f t="shared" si="6"/>
        <v>112.3208700449637</v>
      </c>
      <c r="L23" s="30">
        <f t="shared" si="3"/>
        <v>108.05386501323244</v>
      </c>
      <c r="M23" s="30">
        <f t="shared" si="3"/>
        <v>103.94896104013372</v>
      </c>
      <c r="N23" s="30">
        <f t="shared" si="4"/>
        <v>99.999999999999957</v>
      </c>
      <c r="O23" s="30">
        <f t="shared" si="2"/>
        <v>96.201057710803724</v>
      </c>
      <c r="P23" s="30">
        <f t="shared" si="1"/>
        <v>92.546435046773922</v>
      </c>
      <c r="Q23" s="63">
        <f t="shared" si="0"/>
        <v>89.030649388638494</v>
      </c>
    </row>
    <row r="24" spans="1:17" x14ac:dyDescent="0.2">
      <c r="A24" s="22">
        <v>5</v>
      </c>
      <c r="B24" s="62"/>
      <c r="C24" s="30"/>
      <c r="D24" s="30"/>
      <c r="E24" s="30"/>
      <c r="F24" s="30"/>
      <c r="G24" s="30">
        <f t="shared" ref="G24:K24" si="7">$B$2 * ($B$8 ^ ($A24)) * ($B$9 ^ (G$31-$A24))</f>
        <v>121.36704130007337</v>
      </c>
      <c r="H24" s="30">
        <f t="shared" si="7"/>
        <v>116.75637744297862</v>
      </c>
      <c r="I24" s="30">
        <f t="shared" si="7"/>
        <v>112.32087004496373</v>
      </c>
      <c r="J24" s="30">
        <f t="shared" si="7"/>
        <v>108.05386501323244</v>
      </c>
      <c r="K24" s="30">
        <f t="shared" si="7"/>
        <v>103.94896104013374</v>
      </c>
      <c r="L24" s="30">
        <f t="shared" si="3"/>
        <v>99.999999999999972</v>
      </c>
      <c r="M24" s="30">
        <f t="shared" si="3"/>
        <v>96.201057710803724</v>
      </c>
      <c r="N24" s="30">
        <f t="shared" si="4"/>
        <v>92.546435046773937</v>
      </c>
      <c r="O24" s="30">
        <f t="shared" si="2"/>
        <v>89.030649388638508</v>
      </c>
      <c r="P24" s="30">
        <f t="shared" si="1"/>
        <v>85.648426398667482</v>
      </c>
      <c r="Q24" s="63">
        <f t="shared" si="0"/>
        <v>82.394692108177381</v>
      </c>
    </row>
    <row r="25" spans="1:17" x14ac:dyDescent="0.2">
      <c r="A25" s="22">
        <v>4</v>
      </c>
      <c r="B25" s="62"/>
      <c r="C25" s="30"/>
      <c r="D25" s="30"/>
      <c r="E25" s="30"/>
      <c r="F25" s="30">
        <f t="shared" ref="F25:K25" si="8">$B$2 * ($B$8 ^ ($A25)) * ($B$9 ^ (F$31-$A25))</f>
        <v>116.75637744297862</v>
      </c>
      <c r="G25" s="30">
        <f t="shared" si="8"/>
        <v>112.32087004496373</v>
      </c>
      <c r="H25" s="30">
        <f t="shared" si="8"/>
        <v>108.05386501323244</v>
      </c>
      <c r="I25" s="30">
        <f t="shared" si="8"/>
        <v>103.94896104013374</v>
      </c>
      <c r="J25" s="30">
        <f t="shared" si="8"/>
        <v>99.999999999999972</v>
      </c>
      <c r="K25" s="30">
        <f t="shared" si="8"/>
        <v>96.201057710803738</v>
      </c>
      <c r="L25" s="30">
        <f t="shared" si="3"/>
        <v>92.546435046773937</v>
      </c>
      <c r="M25" s="30">
        <f t="shared" si="3"/>
        <v>89.030649388638508</v>
      </c>
      <c r="N25" s="30">
        <f t="shared" si="4"/>
        <v>85.648426398667482</v>
      </c>
      <c r="O25" s="30">
        <f t="shared" si="2"/>
        <v>82.394692108177395</v>
      </c>
      <c r="P25" s="30">
        <f t="shared" si="1"/>
        <v>79.264565305626803</v>
      </c>
      <c r="Q25" s="63">
        <f t="shared" si="0"/>
        <v>76.253350213883778</v>
      </c>
    </row>
    <row r="26" spans="1:17" x14ac:dyDescent="0.2">
      <c r="A26" s="22">
        <v>3</v>
      </c>
      <c r="B26" s="62"/>
      <c r="C26" s="30"/>
      <c r="D26" s="30"/>
      <c r="E26" s="30">
        <f t="shared" ref="E26:K26" si="9">$B$2 * ($B$8 ^ ($A26)) * ($B$9 ^ (E$31-$A26))</f>
        <v>112.32087004496374</v>
      </c>
      <c r="F26" s="30">
        <f t="shared" si="9"/>
        <v>108.05386501323247</v>
      </c>
      <c r="G26" s="30">
        <f t="shared" si="9"/>
        <v>103.94896104013375</v>
      </c>
      <c r="H26" s="30">
        <f t="shared" si="9"/>
        <v>99.999999999999986</v>
      </c>
      <c r="I26" s="30">
        <f t="shared" si="9"/>
        <v>96.201057710803752</v>
      </c>
      <c r="J26" s="30">
        <f t="shared" si="9"/>
        <v>92.546435046773951</v>
      </c>
      <c r="K26" s="30">
        <f t="shared" si="9"/>
        <v>89.030649388638523</v>
      </c>
      <c r="L26" s="30">
        <f t="shared" si="3"/>
        <v>85.648426398667496</v>
      </c>
      <c r="M26" s="30">
        <f t="shared" si="3"/>
        <v>82.394692108177409</v>
      </c>
      <c r="N26" s="30">
        <f t="shared" si="4"/>
        <v>79.264565305626817</v>
      </c>
      <c r="O26" s="30">
        <f t="shared" si="2"/>
        <v>76.253350213883778</v>
      </c>
      <c r="P26" s="30">
        <f t="shared" si="1"/>
        <v>73.356529445679641</v>
      </c>
      <c r="Q26" s="63">
        <f t="shared" si="0"/>
        <v>70.56975722668102</v>
      </c>
    </row>
    <row r="27" spans="1:17" x14ac:dyDescent="0.2">
      <c r="A27" s="22">
        <v>2</v>
      </c>
      <c r="B27" s="62"/>
      <c r="C27" s="30"/>
      <c r="D27" s="30">
        <f t="shared" ref="D27:K27" si="10">$B$2 * ($B$8 ^ ($A27)) * ($B$9 ^ (D$31-$A27))</f>
        <v>108.05386501323247</v>
      </c>
      <c r="E27" s="30">
        <f t="shared" si="10"/>
        <v>103.94896104013377</v>
      </c>
      <c r="F27" s="30">
        <f t="shared" si="10"/>
        <v>100</v>
      </c>
      <c r="G27" s="30">
        <f t="shared" si="10"/>
        <v>96.201057710803752</v>
      </c>
      <c r="H27" s="30">
        <f t="shared" si="10"/>
        <v>92.546435046773951</v>
      </c>
      <c r="I27" s="30">
        <f t="shared" si="10"/>
        <v>89.030649388638523</v>
      </c>
      <c r="J27" s="30">
        <f t="shared" si="10"/>
        <v>85.648426398667496</v>
      </c>
      <c r="K27" s="30">
        <f t="shared" si="10"/>
        <v>82.394692108177409</v>
      </c>
      <c r="L27" s="30">
        <f t="shared" si="3"/>
        <v>79.264565305626817</v>
      </c>
      <c r="M27" s="30">
        <f t="shared" si="3"/>
        <v>76.253350213883792</v>
      </c>
      <c r="N27" s="30">
        <f t="shared" si="4"/>
        <v>73.356529445679641</v>
      </c>
      <c r="O27" s="30">
        <f t="shared" si="2"/>
        <v>70.569757226681034</v>
      </c>
      <c r="P27" s="30">
        <f t="shared" si="1"/>
        <v>67.88885287601353</v>
      </c>
      <c r="Q27" s="63">
        <f t="shared" si="0"/>
        <v>65.309794534456429</v>
      </c>
    </row>
    <row r="28" spans="1:17" x14ac:dyDescent="0.2">
      <c r="A28" s="22">
        <v>1</v>
      </c>
      <c r="B28" s="62"/>
      <c r="C28" s="30">
        <f t="shared" ref="C28:K28" si="11">$B$2 * ($B$8 ^ ($A28)) * ($B$9 ^ (C$31-$A28))</f>
        <v>103.94896104013375</v>
      </c>
      <c r="D28" s="30">
        <f t="shared" si="11"/>
        <v>99.999999999999986</v>
      </c>
      <c r="E28" s="30">
        <f t="shared" si="11"/>
        <v>96.201057710803752</v>
      </c>
      <c r="F28" s="30">
        <f t="shared" si="11"/>
        <v>92.546435046773937</v>
      </c>
      <c r="G28" s="30">
        <f t="shared" si="11"/>
        <v>89.030649388638523</v>
      </c>
      <c r="H28" s="30">
        <f t="shared" si="11"/>
        <v>85.648426398667496</v>
      </c>
      <c r="I28" s="30">
        <f t="shared" si="11"/>
        <v>82.394692108177395</v>
      </c>
      <c r="J28" s="30">
        <f t="shared" si="11"/>
        <v>79.264565305626817</v>
      </c>
      <c r="K28" s="30">
        <f t="shared" si="11"/>
        <v>76.253350213883792</v>
      </c>
      <c r="L28" s="30">
        <f t="shared" si="3"/>
        <v>73.356529445679655</v>
      </c>
      <c r="M28" s="30">
        <f t="shared" si="3"/>
        <v>70.56975722668102</v>
      </c>
      <c r="N28" s="30">
        <f t="shared" si="4"/>
        <v>67.888852876013516</v>
      </c>
      <c r="O28" s="30">
        <f t="shared" si="2"/>
        <v>65.309794534456429</v>
      </c>
      <c r="P28" s="30">
        <f t="shared" si="1"/>
        <v>62.828713130899786</v>
      </c>
      <c r="Q28" s="63">
        <f t="shared" si="0"/>
        <v>60.441886578012237</v>
      </c>
    </row>
    <row r="29" spans="1:17" x14ac:dyDescent="0.2">
      <c r="A29" s="22">
        <v>0</v>
      </c>
      <c r="B29" s="62">
        <f t="shared" ref="B29:K29" si="12">$B$2 * ($B$8 ^ ($A29)) * ($B$9 ^ (B$31-$A29))</f>
        <v>100</v>
      </c>
      <c r="C29" s="30">
        <f t="shared" si="12"/>
        <v>96.201057710803767</v>
      </c>
      <c r="D29" s="30">
        <f t="shared" si="12"/>
        <v>92.546435046773951</v>
      </c>
      <c r="E29" s="30">
        <f t="shared" si="12"/>
        <v>89.030649388638523</v>
      </c>
      <c r="F29" s="30">
        <f t="shared" si="12"/>
        <v>85.64842639866751</v>
      </c>
      <c r="G29" s="30">
        <f t="shared" si="12"/>
        <v>82.394692108177409</v>
      </c>
      <c r="H29" s="30">
        <f t="shared" si="12"/>
        <v>79.264565305626817</v>
      </c>
      <c r="I29" s="30">
        <f t="shared" si="12"/>
        <v>76.253350213883792</v>
      </c>
      <c r="J29" s="30">
        <f t="shared" si="12"/>
        <v>73.356529445679655</v>
      </c>
      <c r="K29" s="30">
        <f t="shared" si="12"/>
        <v>70.569757226681034</v>
      </c>
      <c r="L29" s="30">
        <f t="shared" si="3"/>
        <v>67.88885287601353</v>
      </c>
      <c r="M29" s="30">
        <f t="shared" si="3"/>
        <v>65.309794534456429</v>
      </c>
      <c r="N29" s="30">
        <f t="shared" si="4"/>
        <v>62.828713130899793</v>
      </c>
      <c r="O29" s="30">
        <f t="shared" si="2"/>
        <v>60.441886578012252</v>
      </c>
      <c r="P29" s="30">
        <f t="shared" si="1"/>
        <v>58.145734188412113</v>
      </c>
      <c r="Q29" s="63">
        <f t="shared" si="0"/>
        <v>55.936811302964898</v>
      </c>
    </row>
    <row r="30" spans="1:17" x14ac:dyDescent="0.2">
      <c r="A30" s="22"/>
      <c r="B30" s="62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68"/>
      <c r="Q30" s="71"/>
    </row>
    <row r="31" spans="1:17" ht="13.5" thickBot="1" x14ac:dyDescent="0.25">
      <c r="A31" s="28"/>
      <c r="B31" s="65">
        <v>0</v>
      </c>
      <c r="C31" s="66">
        <v>1</v>
      </c>
      <c r="D31" s="66">
        <v>2</v>
      </c>
      <c r="E31" s="66">
        <v>3</v>
      </c>
      <c r="F31" s="66">
        <v>4</v>
      </c>
      <c r="G31" s="66">
        <v>5</v>
      </c>
      <c r="H31" s="66">
        <v>6</v>
      </c>
      <c r="I31" s="66">
        <v>7</v>
      </c>
      <c r="J31" s="66">
        <v>8</v>
      </c>
      <c r="K31" s="66">
        <v>9</v>
      </c>
      <c r="L31" s="66">
        <v>10</v>
      </c>
      <c r="M31" s="66">
        <v>11</v>
      </c>
      <c r="N31" s="66">
        <v>12</v>
      </c>
      <c r="O31" s="66">
        <v>13</v>
      </c>
      <c r="P31" s="66">
        <v>14</v>
      </c>
      <c r="Q31" s="67">
        <v>15</v>
      </c>
    </row>
    <row r="33" spans="1:17" ht="13.5" thickBot="1" x14ac:dyDescent="0.25"/>
    <row r="34" spans="1:17" hidden="1" x14ac:dyDescent="0.2">
      <c r="A34" s="22"/>
      <c r="B34" s="79" t="s">
        <v>31</v>
      </c>
      <c r="C34" s="8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9"/>
      <c r="Q34" s="70"/>
    </row>
    <row r="35" spans="1:17" hidden="1" x14ac:dyDescent="0.2">
      <c r="A35" s="22"/>
      <c r="B35" s="62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68"/>
      <c r="Q35" s="63">
        <f t="shared" ref="Q35:Q50" si="13">Q14</f>
        <v>178.77315075823688</v>
      </c>
    </row>
    <row r="36" spans="1:17" hidden="1" x14ac:dyDescent="0.2">
      <c r="A36" s="22"/>
      <c r="B36" s="62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>
        <f t="shared" ref="P36:P49" si="14">($B$10 *Q35 + $B$11 *Q36)</f>
        <v>172.01032793144265</v>
      </c>
      <c r="Q36" s="63">
        <f t="shared" si="13"/>
        <v>165.44817784754298</v>
      </c>
    </row>
    <row r="37" spans="1:17" hidden="1" x14ac:dyDescent="0.2">
      <c r="A37" s="22"/>
      <c r="B37" s="62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>
        <f t="shared" ref="O37:O50" si="15">($B$10 *P36 + $B$11 *P37)</f>
        <v>165.50333643274561</v>
      </c>
      <c r="P37" s="30">
        <f t="shared" si="14"/>
        <v>159.18942641281541</v>
      </c>
      <c r="Q37" s="63">
        <f t="shared" si="13"/>
        <v>153.11639044774742</v>
      </c>
    </row>
    <row r="38" spans="1:17" hidden="1" x14ac:dyDescent="0.2">
      <c r="A38" s="22"/>
      <c r="B38" s="6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>
        <f t="shared" ref="N38:N50" si="16">($B$10 *O37 + $B$11 *O38)</f>
        <v>159.24249839979277</v>
      </c>
      <c r="O38" s="30">
        <f t="shared" si="15"/>
        <v>153.16743775197469</v>
      </c>
      <c r="P38" s="30">
        <f t="shared" si="14"/>
        <v>147.32413911646825</v>
      </c>
      <c r="Q38" s="63">
        <f t="shared" si="13"/>
        <v>141.70376083168935</v>
      </c>
    </row>
    <row r="39" spans="1:17" hidden="1" x14ac:dyDescent="0.2">
      <c r="A39" s="22"/>
      <c r="B39" s="62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>
        <f t="shared" ref="L39:M50" si="17">($B$10 *N38 + $B$11 *N39)</f>
        <v>153.21850207480634</v>
      </c>
      <c r="N39" s="30">
        <f t="shared" si="16"/>
        <v>147.37325534842427</v>
      </c>
      <c r="O39" s="30">
        <f t="shared" si="15"/>
        <v>141.75100329193918</v>
      </c>
      <c r="P39" s="30">
        <f t="shared" si="14"/>
        <v>136.34323871564118</v>
      </c>
      <c r="Q39" s="63">
        <f t="shared" si="13"/>
        <v>131.14177897693534</v>
      </c>
    </row>
    <row r="40" spans="1:17" hidden="1" x14ac:dyDescent="0.2">
      <c r="A40" s="22"/>
      <c r="B40" s="72"/>
      <c r="C40" s="30"/>
      <c r="D40" s="30"/>
      <c r="E40" s="30"/>
      <c r="F40" s="30"/>
      <c r="G40" s="30"/>
      <c r="H40" s="30"/>
      <c r="I40" s="30"/>
      <c r="J40" s="30"/>
      <c r="K40" s="30"/>
      <c r="L40" s="30">
        <f t="shared" si="17"/>
        <v>147.42238795518659</v>
      </c>
      <c r="M40" s="30">
        <f t="shared" si="17"/>
        <v>141.79826150230065</v>
      </c>
      <c r="N40" s="30">
        <f t="shared" si="16"/>
        <v>136.38869403734577</v>
      </c>
      <c r="O40" s="30">
        <f t="shared" si="15"/>
        <v>131.18550018972491</v>
      </c>
      <c r="P40" s="30">
        <f t="shared" si="14"/>
        <v>126.18080685863886</v>
      </c>
      <c r="Q40" s="63">
        <f t="shared" si="13"/>
        <v>121.36704130007331</v>
      </c>
    </row>
    <row r="41" spans="1:17" hidden="1" x14ac:dyDescent="0.2">
      <c r="A41" s="22"/>
      <c r="B41" s="62"/>
      <c r="C41" s="30"/>
      <c r="D41" s="30"/>
      <c r="E41" s="30"/>
      <c r="F41" s="30"/>
      <c r="G41" s="30"/>
      <c r="H41" s="30"/>
      <c r="I41" s="30"/>
      <c r="J41" s="30"/>
      <c r="K41" s="30">
        <f t="shared" ref="K41" si="18">($B$10 *L40 + $B$11 *L41)</f>
        <v>141.84553546802462</v>
      </c>
      <c r="L41" s="30">
        <f t="shared" si="17"/>
        <v>136.43416451334988</v>
      </c>
      <c r="M41" s="30">
        <f t="shared" si="17"/>
        <v>131.22923597868134</v>
      </c>
      <c r="N41" s="30">
        <f t="shared" si="16"/>
        <v>126.22287413841551</v>
      </c>
      <c r="O41" s="30">
        <f t="shared" si="15"/>
        <v>121.40750372386933</v>
      </c>
      <c r="P41" s="30">
        <f t="shared" si="14"/>
        <v>116.77583846092551</v>
      </c>
      <c r="Q41" s="63">
        <f t="shared" si="13"/>
        <v>112.3208700449637</v>
      </c>
    </row>
    <row r="42" spans="1:17" hidden="1" x14ac:dyDescent="0.2">
      <c r="A42" s="22"/>
      <c r="B42" s="62"/>
      <c r="C42" s="30"/>
      <c r="D42" s="30"/>
      <c r="E42" s="30"/>
      <c r="F42" s="30"/>
      <c r="G42" s="30"/>
      <c r="H42" s="30"/>
      <c r="I42" s="30"/>
      <c r="J42" s="30">
        <f t="shared" ref="J42" si="19">($B$10 *K41 + $B$11 *K42)</f>
        <v>136.4796501487057</v>
      </c>
      <c r="K42" s="30">
        <f t="shared" ref="K42" si="20">($B$10 *L41 + $B$11 *L42)</f>
        <v>131.27298634866412</v>
      </c>
      <c r="L42" s="30">
        <f t="shared" si="17"/>
        <v>126.26495544295608</v>
      </c>
      <c r="M42" s="30">
        <f t="shared" si="17"/>
        <v>121.44797963738807</v>
      </c>
      <c r="N42" s="30">
        <f t="shared" si="16"/>
        <v>116.81477022867996</v>
      </c>
      <c r="O42" s="30">
        <f t="shared" si="15"/>
        <v>112.35831657572039</v>
      </c>
      <c r="P42" s="30">
        <f t="shared" si="14"/>
        <v>108.07187549156612</v>
      </c>
      <c r="Q42" s="63">
        <f t="shared" si="13"/>
        <v>103.94896104013372</v>
      </c>
    </row>
    <row r="43" spans="1:17" hidden="1" x14ac:dyDescent="0.2">
      <c r="A43" s="22"/>
      <c r="B43" s="62"/>
      <c r="C43" s="30"/>
      <c r="D43" s="30"/>
      <c r="E43" s="30"/>
      <c r="F43" s="30"/>
      <c r="G43" s="30"/>
      <c r="H43" s="30"/>
      <c r="I43" s="30">
        <f t="shared" ref="I43" si="21">($B$10 *J42 + $B$11 *J43)</f>
        <v>131.31675130453442</v>
      </c>
      <c r="J43" s="30">
        <f t="shared" ref="J43" si="22">($B$10 *K42 + $B$11 *K43)</f>
        <v>126.30705077693628</v>
      </c>
      <c r="K43" s="30">
        <f t="shared" ref="K43" si="23">($B$10 *L42 + $B$11 *L43)</f>
        <v>121.48846904512692</v>
      </c>
      <c r="L43" s="30">
        <f t="shared" si="17"/>
        <v>116.85371497585344</v>
      </c>
      <c r="M43" s="30">
        <f t="shared" si="17"/>
        <v>112.39577559073462</v>
      </c>
      <c r="N43" s="30">
        <f t="shared" si="16"/>
        <v>108.10790545472355</v>
      </c>
      <c r="O43" s="30">
        <f t="shared" si="15"/>
        <v>103.98361646939776</v>
      </c>
      <c r="P43" s="30">
        <f t="shared" si="14"/>
        <v>100.01666805563268</v>
      </c>
      <c r="Q43" s="63">
        <f t="shared" si="13"/>
        <v>96.201057710803724</v>
      </c>
    </row>
    <row r="44" spans="1:17" hidden="1" x14ac:dyDescent="0.2">
      <c r="A44" s="22"/>
      <c r="B44" s="62"/>
      <c r="C44" s="30"/>
      <c r="D44" s="30"/>
      <c r="E44" s="30"/>
      <c r="F44" s="30"/>
      <c r="G44" s="30"/>
      <c r="H44" s="30">
        <f t="shared" ref="H44" si="24">($B$10 *I43 + $B$11 *I44)</f>
        <v>126.34916014503335</v>
      </c>
      <c r="I44" s="30">
        <f t="shared" ref="I44" si="25">($B$10 *J43 + $B$11 *J44)</f>
        <v>121.52897195158465</v>
      </c>
      <c r="J44" s="30">
        <f t="shared" ref="J44" si="26">($B$10 *K43 + $B$11 *K44)</f>
        <v>116.89267270677315</v>
      </c>
      <c r="K44" s="30">
        <f t="shared" ref="K44" si="27">($B$10 *L43 + $B$11 *L44)</f>
        <v>112.43324709416848</v>
      </c>
      <c r="L44" s="30">
        <f t="shared" si="17"/>
        <v>108.14394742987058</v>
      </c>
      <c r="M44" s="30">
        <f t="shared" si="17"/>
        <v>104.01828345239704</v>
      </c>
      <c r="N44" s="30">
        <f t="shared" si="16"/>
        <v>100.05001250208355</v>
      </c>
      <c r="O44" s="30">
        <f t="shared" si="15"/>
        <v>96.233130075137751</v>
      </c>
      <c r="P44" s="30">
        <f t="shared" si="14"/>
        <v>92.56186073805361</v>
      </c>
      <c r="Q44" s="63">
        <f t="shared" si="13"/>
        <v>89.030649388638494</v>
      </c>
    </row>
    <row r="45" spans="1:17" hidden="1" x14ac:dyDescent="0.2">
      <c r="A45" s="22"/>
      <c r="B45" s="62"/>
      <c r="C45" s="30"/>
      <c r="D45" s="30"/>
      <c r="E45" s="30"/>
      <c r="F45" s="30"/>
      <c r="G45" s="30">
        <f t="shared" ref="G45" si="28">($B$10 *H44 + $B$11 *H45)</f>
        <v>121.56948836126165</v>
      </c>
      <c r="H45" s="30">
        <f t="shared" ref="H45" si="29">($B$10 *I44 + $B$11 *I45)</f>
        <v>116.93164342576773</v>
      </c>
      <c r="I45" s="30">
        <f t="shared" ref="I45" si="30">($B$10 *J44 + $B$11 *J45)</f>
        <v>112.47073109018547</v>
      </c>
      <c r="J45" s="30">
        <f t="shared" ref="J45" si="31">($B$10 *K44 + $B$11 *K45)</f>
        <v>108.18000142101189</v>
      </c>
      <c r="K45" s="30">
        <f t="shared" ref="K45" si="32">($B$10 *L44 + $B$11 *L45)</f>
        <v>104.0529619929835</v>
      </c>
      <c r="L45" s="30">
        <f t="shared" si="17"/>
        <v>100.08336806520256</v>
      </c>
      <c r="M45" s="30">
        <f t="shared" si="17"/>
        <v>96.265213132041879</v>
      </c>
      <c r="N45" s="30">
        <f t="shared" si="16"/>
        <v>92.592719834529987</v>
      </c>
      <c r="O45" s="30">
        <f t="shared" si="15"/>
        <v>89.060331218464853</v>
      </c>
      <c r="P45" s="30">
        <f t="shared" si="14"/>
        <v>85.662702326028153</v>
      </c>
      <c r="Q45" s="63">
        <f t="shared" si="13"/>
        <v>82.394692108177381</v>
      </c>
    </row>
    <row r="46" spans="1:17" hidden="1" x14ac:dyDescent="0.2">
      <c r="A46" s="22"/>
      <c r="B46" s="62"/>
      <c r="C46" s="30"/>
      <c r="D46" s="30"/>
      <c r="E46" s="30"/>
      <c r="F46" s="30">
        <f t="shared" ref="F46" si="33">($B$10 *G45 + $B$11 *G46)</f>
        <v>116.97062713716724</v>
      </c>
      <c r="G46" s="30">
        <f t="shared" ref="G46" si="34">($B$10 *H45 + $B$11 *H46)</f>
        <v>112.50822758295044</v>
      </c>
      <c r="H46" s="30">
        <f t="shared" ref="H46" si="35">($B$10 *I45 + $B$11 *I46)</f>
        <v>108.21606743215348</v>
      </c>
      <c r="I46" s="30">
        <f t="shared" ref="I46" si="36">($B$10 *J45 + $B$11 *J46)</f>
        <v>104.0876520950103</v>
      </c>
      <c r="J46" s="30">
        <f t="shared" ref="J46" si="37">($B$10 *K45 + $B$11 *K46)</f>
        <v>100.11673474869592</v>
      </c>
      <c r="K46" s="30">
        <f t="shared" ref="K46" si="38">($B$10 *L45 + $B$11 *L46)</f>
        <v>96.297306885080872</v>
      </c>
      <c r="L46" s="30">
        <f t="shared" si="17"/>
        <v>92.623589219086412</v>
      </c>
      <c r="M46" s="30">
        <f t="shared" si="17"/>
        <v>89.090022943883639</v>
      </c>
      <c r="N46" s="30">
        <f t="shared" si="16"/>
        <v>85.691261319704665</v>
      </c>
      <c r="O46" s="30">
        <f t="shared" si="15"/>
        <v>82.422161583538312</v>
      </c>
      <c r="P46" s="30">
        <f t="shared" si="14"/>
        <v>79.277777167468969</v>
      </c>
      <c r="Q46" s="63">
        <f t="shared" si="13"/>
        <v>76.253350213883778</v>
      </c>
    </row>
    <row r="47" spans="1:17" hidden="1" x14ac:dyDescent="0.2">
      <c r="A47" s="22"/>
      <c r="B47" s="62"/>
      <c r="C47" s="30"/>
      <c r="D47" s="30"/>
      <c r="E47" s="30">
        <f t="shared" ref="E47" si="39">($B$10 *F46 + $B$11 *F47)</f>
        <v>112.54573657662974</v>
      </c>
      <c r="F47" s="30">
        <f t="shared" ref="F47" si="40">($B$10 *G46 + $B$11 *G47)</f>
        <v>108.25214546730265</v>
      </c>
      <c r="G47" s="30">
        <f t="shared" ref="G47" si="41">($B$10 *H46 + $B$11 *H47)</f>
        <v>104.12235376233187</v>
      </c>
      <c r="H47" s="30">
        <f t="shared" ref="H47" si="42">($B$10 *I46 + $B$11 *I47)</f>
        <v>100.15011255627101</v>
      </c>
      <c r="I47" s="30">
        <f t="shared" ref="I47" si="43">($B$10 *J46 + $B$11 *J47)</f>
        <v>96.329411337820744</v>
      </c>
      <c r="J47" s="30">
        <f t="shared" ref="J47" si="44">($B$10 *K46 + $B$11 *K47)</f>
        <v>92.654468895152831</v>
      </c>
      <c r="K47" s="30">
        <f t="shared" ref="K47" si="45">($B$10 *L46 + $B$11 *L47)</f>
        <v>89.119724568193959</v>
      </c>
      <c r="L47" s="30">
        <f t="shared" si="17"/>
        <v>85.71982983463252</v>
      </c>
      <c r="M47" s="30">
        <f t="shared" si="17"/>
        <v>82.449640216917274</v>
      </c>
      <c r="N47" s="30">
        <f t="shared" si="16"/>
        <v>79.304207498001801</v>
      </c>
      <c r="O47" s="30">
        <f t="shared" si="15"/>
        <v>76.278772234056362</v>
      </c>
      <c r="P47" s="30">
        <f t="shared" si="14"/>
        <v>73.368756552817871</v>
      </c>
      <c r="Q47" s="63">
        <f t="shared" si="13"/>
        <v>70.56975722668102</v>
      </c>
    </row>
    <row r="48" spans="1:17" hidden="1" x14ac:dyDescent="0.2">
      <c r="A48" s="22"/>
      <c r="B48" s="62"/>
      <c r="C48" s="30"/>
      <c r="D48" s="30">
        <f t="shared" ref="D48" si="46">($B$10 *E47 + $B$11 *E48)</f>
        <v>108.28823553046811</v>
      </c>
      <c r="E48" s="30">
        <f t="shared" ref="E48" si="47">($B$10 *F47 + $B$11 *F48)</f>
        <v>104.15706699880396</v>
      </c>
      <c r="F48" s="30">
        <f t="shared" ref="F48" si="48">($B$10 *G47 + $B$11 *G48)</f>
        <v>100.18350149163651</v>
      </c>
      <c r="G48" s="30">
        <f t="shared" ref="G48" si="49">($B$10 *H47 + $B$11 *H48)</f>
        <v>96.361526493828649</v>
      </c>
      <c r="H48" s="30">
        <f t="shared" ref="H48" si="50">($B$10 *I47 + $B$11 *I48)</f>
        <v>92.685358866160371</v>
      </c>
      <c r="I48" s="30">
        <f t="shared" ref="I48" si="51">($B$10 *J47 + $B$11 *J48)</f>
        <v>89.149436094696</v>
      </c>
      <c r="J48" s="30">
        <f t="shared" ref="J48" si="52">($B$10 *K47 + $B$11 *K48)</f>
        <v>85.748407873986011</v>
      </c>
      <c r="K48" s="30">
        <f t="shared" ref="K48" si="53">($B$10 *L47 + $B$11 *L48)</f>
        <v>82.477128011367483</v>
      </c>
      <c r="L48" s="30">
        <f t="shared" si="17"/>
        <v>79.330646640113358</v>
      </c>
      <c r="M48" s="30">
        <f t="shared" si="17"/>
        <v>76.304202729648182</v>
      </c>
      <c r="N48" s="30">
        <f t="shared" si="16"/>
        <v>73.393216881497096</v>
      </c>
      <c r="O48" s="30">
        <f t="shared" si="15"/>
        <v>70.593284400067631</v>
      </c>
      <c r="P48" s="30">
        <f t="shared" si="14"/>
        <v>67.900168627779308</v>
      </c>
      <c r="Q48" s="63">
        <f t="shared" si="13"/>
        <v>65.309794534456429</v>
      </c>
    </row>
    <row r="49" spans="1:17" hidden="1" x14ac:dyDescent="0.2">
      <c r="A49" s="22"/>
      <c r="B49" s="62"/>
      <c r="C49" s="30">
        <f t="shared" ref="C49" si="54">($B$10 *D48 + $B$11 *D49)</f>
        <v>104.1917918082836</v>
      </c>
      <c r="D49" s="30">
        <f t="shared" ref="D49" si="55">($B$10 *E48 + $B$11 *E49)</f>
        <v>100.21690155850226</v>
      </c>
      <c r="E49" s="30">
        <f t="shared" ref="E49" si="56">($B$10 *F48 + $B$11 *F49)</f>
        <v>96.393652356672931</v>
      </c>
      <c r="F49" s="30">
        <f t="shared" ref="F49" si="57">($B$10 *G48 + $B$11 *G49)</f>
        <v>92.716259135541193</v>
      </c>
      <c r="G49" s="30">
        <f t="shared" ref="G49" si="58">($B$10 *H48 + $B$11 *H49)</f>
        <v>89.179157526691014</v>
      </c>
      <c r="H49" s="30">
        <f t="shared" ref="H49" si="59">($B$10 *I48 + $B$11 *I49)</f>
        <v>85.776995440940453</v>
      </c>
      <c r="I49" s="30">
        <f t="shared" ref="I49" si="60">($B$10 *J48 + $B$11 *J49)</f>
        <v>82.50462496994308</v>
      </c>
      <c r="J49" s="30">
        <f t="shared" ref="J49" si="61">($B$10 *K48 + $B$11 *K49)</f>
        <v>79.357094596741263</v>
      </c>
      <c r="K49" s="30">
        <f t="shared" ref="K49" si="62">($B$10 *L48 + $B$11 *L49)</f>
        <v>76.32964170348481</v>
      </c>
      <c r="L49" s="30">
        <f t="shared" si="17"/>
        <v>73.417685364978283</v>
      </c>
      <c r="M49" s="30">
        <f t="shared" si="17"/>
        <v>70.616819417152584</v>
      </c>
      <c r="N49" s="30">
        <f t="shared" si="16"/>
        <v>67.922805789972671</v>
      </c>
      <c r="O49" s="30">
        <f t="shared" si="15"/>
        <v>65.331568094693012</v>
      </c>
      <c r="P49" s="30">
        <f t="shared" si="14"/>
        <v>62.839185455757757</v>
      </c>
      <c r="Q49" s="63">
        <f t="shared" si="13"/>
        <v>60.441886578012237</v>
      </c>
    </row>
    <row r="50" spans="1:17" hidden="1" x14ac:dyDescent="0.2">
      <c r="A50" s="22"/>
      <c r="B50" s="62">
        <f t="shared" ref="B50" si="63">($B$10 *C49 + $B$11 *C50)</f>
        <v>100.25031276057939</v>
      </c>
      <c r="C50" s="30">
        <f t="shared" ref="C50" si="64">($B$10 *D49 + $B$11 *D50)</f>
        <v>96.425788929923129</v>
      </c>
      <c r="D50" s="30">
        <f t="shared" ref="D50" si="65">($B$10 *E49 + $B$11 *E50)</f>
        <v>92.747169706728698</v>
      </c>
      <c r="E50" s="30">
        <f t="shared" ref="E50" si="66">($B$10 *F49 + $B$11 *F50)</f>
        <v>89.208888867481406</v>
      </c>
      <c r="F50" s="30">
        <f t="shared" ref="F50" si="67">($B$10 *G49 + $B$11 *G50)</f>
        <v>85.805592538672258</v>
      </c>
      <c r="G50" s="30">
        <f t="shared" ref="G50" si="68">($B$10 *H49 + $B$11 *H50)</f>
        <v>82.532131095699327</v>
      </c>
      <c r="H50" s="30">
        <f t="shared" ref="H50" si="69">($B$10 *I49 + $B$11 *I50)</f>
        <v>79.383551370824208</v>
      </c>
      <c r="I50" s="30">
        <f t="shared" ref="I50" si="70">($B$10 *J49 + $B$11 *J50)</f>
        <v>76.355089158392815</v>
      </c>
      <c r="J50" s="30">
        <f t="shared" ref="J50" si="71">($B$10 *K49 + $B$11 *K50)</f>
        <v>73.442162005980123</v>
      </c>
      <c r="K50" s="30">
        <f t="shared" ref="K50" si="72">($B$10 *L49 + $B$11 *L50)</f>
        <v>70.640362280550875</v>
      </c>
      <c r="L50" s="30">
        <f t="shared" si="17"/>
        <v>67.945450499144499</v>
      </c>
      <c r="M50" s="30">
        <f t="shared" si="17"/>
        <v>65.353348913992789</v>
      </c>
      <c r="N50" s="30">
        <f t="shared" si="16"/>
        <v>62.860135342363471</v>
      </c>
      <c r="O50" s="30">
        <f t="shared" si="15"/>
        <v>60.462037231793957</v>
      </c>
      <c r="P50" s="30">
        <f>($B$10 *Q49 + $B$11 *Q50)</f>
        <v>58.155425951734685</v>
      </c>
      <c r="Q50" s="63">
        <f t="shared" si="13"/>
        <v>55.936811302964898</v>
      </c>
    </row>
    <row r="51" spans="1:17" hidden="1" x14ac:dyDescent="0.2">
      <c r="A51" s="22"/>
      <c r="B51" s="62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68"/>
      <c r="Q51" s="71"/>
    </row>
    <row r="52" spans="1:17" ht="13.5" hidden="1" thickBot="1" x14ac:dyDescent="0.25">
      <c r="A52" s="28"/>
      <c r="B52" s="65">
        <v>0</v>
      </c>
      <c r="C52" s="66">
        <v>1</v>
      </c>
      <c r="D52" s="66">
        <v>2</v>
      </c>
      <c r="E52" s="66">
        <v>3</v>
      </c>
      <c r="F52" s="66">
        <v>4</v>
      </c>
      <c r="G52" s="66">
        <v>5</v>
      </c>
      <c r="H52" s="66">
        <v>6</v>
      </c>
      <c r="I52" s="66">
        <v>7</v>
      </c>
      <c r="J52" s="66">
        <v>8</v>
      </c>
      <c r="K52" s="66">
        <v>9</v>
      </c>
      <c r="L52" s="66">
        <v>10</v>
      </c>
      <c r="M52" s="66">
        <v>11</v>
      </c>
      <c r="N52" s="66">
        <v>12</v>
      </c>
      <c r="O52" s="66">
        <v>13</v>
      </c>
      <c r="P52" s="66">
        <v>14</v>
      </c>
      <c r="Q52" s="67">
        <v>15</v>
      </c>
    </row>
    <row r="53" spans="1:17" hidden="1" x14ac:dyDescent="0.2"/>
    <row r="54" spans="1:17" ht="13.5" hidden="1" thickBot="1" x14ac:dyDescent="0.25"/>
    <row r="55" spans="1:17" x14ac:dyDescent="0.2">
      <c r="A55" s="22"/>
      <c r="B55" s="79" t="s">
        <v>17</v>
      </c>
      <c r="C55" s="80"/>
      <c r="D55" s="60" t="s">
        <v>37</v>
      </c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9"/>
      <c r="Q55" s="70"/>
    </row>
    <row r="56" spans="1:17" x14ac:dyDescent="0.2">
      <c r="A56" s="22"/>
      <c r="B56" s="62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68"/>
      <c r="Q56" s="63">
        <f t="shared" ref="Q56:Q71" si="73">MAX(CallPut*( Q35-K), 0)</f>
        <v>0</v>
      </c>
    </row>
    <row r="57" spans="1:17" x14ac:dyDescent="0.2">
      <c r="A57" s="22"/>
      <c r="B57" s="62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>
        <f t="shared" ref="P57:P71" si="74">EXP(-rate * T/n) * (q*Q56 + OneMinq *Q57)</f>
        <v>0</v>
      </c>
      <c r="Q57" s="63">
        <f t="shared" si="73"/>
        <v>0</v>
      </c>
    </row>
    <row r="58" spans="1:17" x14ac:dyDescent="0.2">
      <c r="A58" s="22"/>
      <c r="B58" s="62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>
        <f t="shared" ref="O58:O71" si="75">EXP(-rate * T/n) * (q*P57 + OneMinq *P58)</f>
        <v>0</v>
      </c>
      <c r="P58" s="30">
        <f t="shared" si="74"/>
        <v>0</v>
      </c>
      <c r="Q58" s="63">
        <f t="shared" si="73"/>
        <v>0</v>
      </c>
    </row>
    <row r="59" spans="1:17" x14ac:dyDescent="0.2">
      <c r="A59" s="22"/>
      <c r="B59" s="62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>
        <f t="shared" ref="N59:N71" si="76">EXP(-rate * T/n) * (q*O58 + OneMinq *O59)</f>
        <v>0</v>
      </c>
      <c r="O59" s="30">
        <f t="shared" si="75"/>
        <v>0</v>
      </c>
      <c r="P59" s="30">
        <f t="shared" si="74"/>
        <v>0</v>
      </c>
      <c r="Q59" s="63">
        <f t="shared" si="73"/>
        <v>0</v>
      </c>
    </row>
    <row r="60" spans="1:17" x14ac:dyDescent="0.2">
      <c r="A60" s="22"/>
      <c r="B60" s="62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>
        <f t="shared" ref="M60:M71" si="77">EXP(-rate * T/n) * (q*N59 + OneMinq *N60)</f>
        <v>0</v>
      </c>
      <c r="N60" s="30">
        <f t="shared" si="76"/>
        <v>0</v>
      </c>
      <c r="O60" s="30">
        <f t="shared" si="75"/>
        <v>0</v>
      </c>
      <c r="P60" s="30">
        <f t="shared" si="74"/>
        <v>0</v>
      </c>
      <c r="Q60" s="63">
        <f t="shared" si="73"/>
        <v>0</v>
      </c>
    </row>
    <row r="61" spans="1:17" x14ac:dyDescent="0.2">
      <c r="A61" s="22"/>
      <c r="B61" s="62"/>
      <c r="C61" s="30"/>
      <c r="D61" s="30"/>
      <c r="E61" s="30"/>
      <c r="F61" s="30"/>
      <c r="G61" s="30"/>
      <c r="H61" s="30"/>
      <c r="I61" s="30"/>
      <c r="J61" s="30"/>
      <c r="K61" s="30"/>
      <c r="L61" s="30">
        <f t="shared" ref="L61:L71" si="78">EXP(-rate * T/n) * (q*M60 + OneMinq *M61)</f>
        <v>0</v>
      </c>
      <c r="M61" s="30">
        <f t="shared" si="77"/>
        <v>0</v>
      </c>
      <c r="N61" s="30">
        <f t="shared" si="76"/>
        <v>0</v>
      </c>
      <c r="O61" s="30">
        <f t="shared" si="75"/>
        <v>0</v>
      </c>
      <c r="P61" s="30">
        <f t="shared" si="74"/>
        <v>0</v>
      </c>
      <c r="Q61" s="63">
        <f t="shared" si="73"/>
        <v>0</v>
      </c>
    </row>
    <row r="62" spans="1:17" x14ac:dyDescent="0.2">
      <c r="A62" s="22"/>
      <c r="B62" s="62"/>
      <c r="C62" s="30"/>
      <c r="D62" s="30"/>
      <c r="E62" s="30"/>
      <c r="F62" s="30"/>
      <c r="G62" s="30"/>
      <c r="H62" s="30"/>
      <c r="I62" s="30"/>
      <c r="J62" s="30"/>
      <c r="K62" s="30">
        <f t="shared" ref="K62:K71" si="79">EXP(-rate * T/n) * (q*L61 + OneMinq *L62)</f>
        <v>0</v>
      </c>
      <c r="L62" s="30">
        <f t="shared" si="78"/>
        <v>0</v>
      </c>
      <c r="M62" s="30">
        <f t="shared" si="77"/>
        <v>0</v>
      </c>
      <c r="N62" s="30">
        <f t="shared" si="76"/>
        <v>0</v>
      </c>
      <c r="O62" s="30">
        <f t="shared" si="75"/>
        <v>0</v>
      </c>
      <c r="P62" s="30">
        <f t="shared" si="74"/>
        <v>0</v>
      </c>
      <c r="Q62" s="63">
        <f t="shared" si="73"/>
        <v>0</v>
      </c>
    </row>
    <row r="63" spans="1:17" x14ac:dyDescent="0.2">
      <c r="A63" s="22"/>
      <c r="B63" s="62"/>
      <c r="C63" s="30"/>
      <c r="D63" s="30"/>
      <c r="E63" s="30"/>
      <c r="F63" s="30"/>
      <c r="G63" s="30"/>
      <c r="H63" s="30"/>
      <c r="I63" s="30"/>
      <c r="J63" s="30">
        <f t="shared" ref="J63:J71" si="80">EXP(-rate * T/n) * (q*K62 + OneMinq *K63)</f>
        <v>5.2365869727484859E-2</v>
      </c>
      <c r="K63" s="30">
        <f t="shared" si="79"/>
        <v>0.10321228922823066</v>
      </c>
      <c r="L63" s="30">
        <f t="shared" si="78"/>
        <v>0.20342976643316782</v>
      </c>
      <c r="M63" s="30">
        <f t="shared" si="77"/>
        <v>0.40095680640841685</v>
      </c>
      <c r="N63" s="30">
        <f t="shared" si="76"/>
        <v>0.79027943365433095</v>
      </c>
      <c r="O63" s="30">
        <f t="shared" si="75"/>
        <v>1.5576280868040646</v>
      </c>
      <c r="P63" s="30">
        <f t="shared" si="74"/>
        <v>3.0700599730678495</v>
      </c>
      <c r="Q63" s="63">
        <f t="shared" si="73"/>
        <v>6.0510389598662755</v>
      </c>
    </row>
    <row r="64" spans="1:17" x14ac:dyDescent="0.2">
      <c r="A64" s="22"/>
      <c r="B64" s="62"/>
      <c r="C64" s="30"/>
      <c r="D64" s="30"/>
      <c r="E64" s="30"/>
      <c r="F64" s="30"/>
      <c r="G64" s="30"/>
      <c r="H64" s="30"/>
      <c r="I64" s="30">
        <f t="shared" ref="I64:I71" si="81">EXP(-rate * T/n) * (q*J63 + OneMinq *J64)</f>
        <v>0.2668274495602958</v>
      </c>
      <c r="J64" s="30">
        <f t="shared" si="80"/>
        <v>0.47510060174752511</v>
      </c>
      <c r="K64" s="30">
        <f t="shared" si="79"/>
        <v>0.83626598633862625</v>
      </c>
      <c r="L64" s="30">
        <f t="shared" si="78"/>
        <v>1.4508734344918977</v>
      </c>
      <c r="M64" s="30">
        <f t="shared" si="77"/>
        <v>2.470589021151977</v>
      </c>
      <c r="N64" s="30">
        <f t="shared" si="76"/>
        <v>4.1026617994835366</v>
      </c>
      <c r="O64" s="30">
        <f t="shared" si="75"/>
        <v>6.5748718922128653</v>
      </c>
      <c r="P64" s="30">
        <f t="shared" si="74"/>
        <v>9.9800047216204604</v>
      </c>
      <c r="Q64" s="63">
        <f t="shared" si="73"/>
        <v>13.798942289196276</v>
      </c>
    </row>
    <row r="65" spans="1:34" x14ac:dyDescent="0.2">
      <c r="A65" s="22"/>
      <c r="B65" s="62"/>
      <c r="C65" s="30"/>
      <c r="D65" s="30"/>
      <c r="E65" s="30"/>
      <c r="F65" s="30"/>
      <c r="G65" s="30"/>
      <c r="H65" s="30">
        <f t="shared" ref="H65:H71" si="82">EXP(-rate * T/n) * (q*I64 + OneMinq *I65)</f>
        <v>0.77205976634821738</v>
      </c>
      <c r="I65" s="30">
        <f t="shared" si="81"/>
        <v>1.2628075164752561</v>
      </c>
      <c r="J65" s="30">
        <f t="shared" si="80"/>
        <v>2.0279703815508814</v>
      </c>
      <c r="K65" s="30">
        <f t="shared" si="79"/>
        <v>3.1856455638082743</v>
      </c>
      <c r="L65" s="30">
        <f t="shared" si="78"/>
        <v>4.8710345310082337</v>
      </c>
      <c r="M65" s="30">
        <f t="shared" si="77"/>
        <v>7.2034515086408089</v>
      </c>
      <c r="N65" s="30">
        <f t="shared" si="76"/>
        <v>10.216963553921515</v>
      </c>
      <c r="O65" s="30">
        <f t="shared" si="75"/>
        <v>13.757695070203702</v>
      </c>
      <c r="P65" s="30">
        <f t="shared" si="74"/>
        <v>17.432327517536947</v>
      </c>
      <c r="Q65" s="63">
        <f t="shared" si="73"/>
        <v>20.969350611361506</v>
      </c>
    </row>
    <row r="66" spans="1:34" x14ac:dyDescent="0.2">
      <c r="A66" s="22"/>
      <c r="B66" s="62"/>
      <c r="C66" s="30"/>
      <c r="D66" s="30"/>
      <c r="E66" s="30"/>
      <c r="F66" s="30"/>
      <c r="G66" s="30">
        <f t="shared" ref="G66:G71" si="83">EXP(-rate * T/n) * (q*H65 + OneMinq *H66)</f>
        <v>1.6717429893533822</v>
      </c>
      <c r="H66" s="30">
        <f t="shared" si="82"/>
        <v>2.5458281216166117</v>
      </c>
      <c r="I66" s="30">
        <f t="shared" si="81"/>
        <v>3.7924500677091855</v>
      </c>
      <c r="J66" s="30">
        <f t="shared" si="80"/>
        <v>5.5070636824855095</v>
      </c>
      <c r="K66" s="30">
        <f t="shared" si="79"/>
        <v>7.7632160410030053</v>
      </c>
      <c r="L66" s="30">
        <f t="shared" si="78"/>
        <v>10.574677603845208</v>
      </c>
      <c r="M66" s="30">
        <f t="shared" si="77"/>
        <v>13.852815904651294</v>
      </c>
      <c r="N66" s="30">
        <f t="shared" si="76"/>
        <v>17.38988158604414</v>
      </c>
      <c r="O66" s="30">
        <f t="shared" si="75"/>
        <v>20.925713654573304</v>
      </c>
      <c r="P66" s="30">
        <f t="shared" si="74"/>
        <v>24.329186593335731</v>
      </c>
      <c r="Q66" s="63">
        <f t="shared" si="73"/>
        <v>27.605307891822619</v>
      </c>
    </row>
    <row r="67" spans="1:34" x14ac:dyDescent="0.2">
      <c r="A67" s="22"/>
      <c r="B67" s="62"/>
      <c r="C67" s="30"/>
      <c r="D67" s="30"/>
      <c r="E67" s="30"/>
      <c r="F67" s="30">
        <f>EXP(-rate * T/n) * (q*G66 + OneMinq *G67)</f>
        <v>3.0188932797708916</v>
      </c>
      <c r="G67" s="30">
        <f t="shared" si="83"/>
        <v>4.3280527452037649</v>
      </c>
      <c r="H67" s="30">
        <f t="shared" si="82"/>
        <v>6.0602365826432631</v>
      </c>
      <c r="I67" s="30">
        <f t="shared" si="81"/>
        <v>8.2647121151118181</v>
      </c>
      <c r="J67" s="30">
        <f t="shared" si="80"/>
        <v>10.945962015998681</v>
      </c>
      <c r="K67" s="30">
        <f t="shared" si="79"/>
        <v>14.041456844522898</v>
      </c>
      <c r="L67" s="30">
        <f t="shared" si="78"/>
        <v>17.414590225222028</v>
      </c>
      <c r="M67" s="30">
        <f t="shared" si="77"/>
        <v>20.882115665096478</v>
      </c>
      <c r="N67" s="30">
        <f t="shared" si="76"/>
        <v>24.284442091933922</v>
      </c>
      <c r="O67" s="30">
        <f t="shared" si="75"/>
        <v>27.559459317897598</v>
      </c>
      <c r="P67" s="30">
        <f t="shared" si="74"/>
        <v>30.711983798187376</v>
      </c>
      <c r="Q67" s="63">
        <f t="shared" si="73"/>
        <v>33.746649786116222</v>
      </c>
    </row>
    <row r="68" spans="1:34" x14ac:dyDescent="0.2">
      <c r="A68" s="22"/>
      <c r="B68" s="62"/>
      <c r="C68" s="30"/>
      <c r="D68" s="30"/>
      <c r="E68" s="30">
        <f>EXP(-rate * T/n) * (q*F67 + OneMinq *F68)</f>
        <v>4.8121274205451314</v>
      </c>
      <c r="F68" s="30">
        <f>EXP(-rate * T/n) * (q*G67 + OneMinq *G68)</f>
        <v>6.5553120720537992</v>
      </c>
      <c r="G68" s="30">
        <f t="shared" si="83"/>
        <v>8.7207881844459916</v>
      </c>
      <c r="H68" s="30">
        <f t="shared" si="82"/>
        <v>11.30812199121269</v>
      </c>
      <c r="I68" s="30">
        <f t="shared" si="81"/>
        <v>14.268653128142237</v>
      </c>
      <c r="J68" s="30">
        <f t="shared" si="80"/>
        <v>17.502123138585368</v>
      </c>
      <c r="K68" s="30">
        <f t="shared" si="79"/>
        <v>20.871598222036443</v>
      </c>
      <c r="L68" s="30">
        <f t="shared" si="78"/>
        <v>24.239736918823503</v>
      </c>
      <c r="M68" s="30">
        <f t="shared" si="77"/>
        <v>27.513650448366814</v>
      </c>
      <c r="N68" s="30">
        <f t="shared" si="76"/>
        <v>30.665112052277738</v>
      </c>
      <c r="O68" s="30">
        <f t="shared" si="75"/>
        <v>33.698754439374198</v>
      </c>
      <c r="P68" s="30">
        <f t="shared" si="74"/>
        <v>36.619035067542718</v>
      </c>
      <c r="Q68" s="63">
        <f t="shared" si="73"/>
        <v>39.43024277331898</v>
      </c>
    </row>
    <row r="69" spans="1:34" x14ac:dyDescent="0.2">
      <c r="A69" s="22"/>
      <c r="B69" s="62"/>
      <c r="C69" s="30"/>
      <c r="D69" s="30">
        <f>EXP(-rate * T/n) * (q*E68 + OneMinq *E69)</f>
        <v>7.0067416869092778</v>
      </c>
      <c r="E69" s="30">
        <f>EXP(-rate * T/n) * (q*F68 + OneMinq *F69)</f>
        <v>9.140837950704892</v>
      </c>
      <c r="F69" s="30">
        <f>EXP(-rate * T/n) * (q*G68 + OneMinq *G69)</f>
        <v>11.65564819152938</v>
      </c>
      <c r="G69" s="30">
        <f t="shared" si="83"/>
        <v>14.511078736503647</v>
      </c>
      <c r="H69" s="30">
        <f t="shared" si="82"/>
        <v>17.628526494915853</v>
      </c>
      <c r="I69" s="30">
        <f t="shared" si="81"/>
        <v>20.900282504664464</v>
      </c>
      <c r="J69" s="30">
        <f t="shared" si="80"/>
        <v>24.211337624074922</v>
      </c>
      <c r="K69" s="30">
        <f t="shared" si="79"/>
        <v>27.467881253720382</v>
      </c>
      <c r="L69" s="30">
        <f t="shared" si="78"/>
        <v>30.618280343622818</v>
      </c>
      <c r="M69" s="30">
        <f t="shared" si="77"/>
        <v>33.650899479170313</v>
      </c>
      <c r="N69" s="30">
        <f t="shared" si="76"/>
        <v>36.570194632676341</v>
      </c>
      <c r="O69" s="30">
        <f t="shared" si="75"/>
        <v>39.380453211301308</v>
      </c>
      <c r="P69" s="30">
        <f t="shared" si="74"/>
        <v>42.085800433716287</v>
      </c>
      <c r="Q69" s="63">
        <f t="shared" si="73"/>
        <v>44.690205465543571</v>
      </c>
    </row>
    <row r="70" spans="1:34" x14ac:dyDescent="0.2">
      <c r="A70" s="22"/>
      <c r="B70" s="62"/>
      <c r="C70" s="30">
        <f>EXP(-rate * T/n) * (q*D69 + OneMinq *D70)</f>
        <v>9.5315808580178238</v>
      </c>
      <c r="D70" s="30">
        <f>EXP(-rate * T/n) * (q*E69 + OneMinq *E70)</f>
        <v>11.9877618167158</v>
      </c>
      <c r="E70" s="30">
        <f>EXP(-rate * T/n) * (q*F69 + OneMinq *F70)</f>
        <v>14.758083703759036</v>
      </c>
      <c r="F70" s="30">
        <f>EXP(-rate * T/n) * (q*G69 + OneMinq *G70)</f>
        <v>17.778155242142766</v>
      </c>
      <c r="G70" s="30">
        <f t="shared" si="83"/>
        <v>20.959966234076827</v>
      </c>
      <c r="H70" s="30">
        <f t="shared" si="82"/>
        <v>24.206320698493776</v>
      </c>
      <c r="I70" s="30">
        <f t="shared" si="81"/>
        <v>27.430159837851367</v>
      </c>
      <c r="J70" s="30">
        <f t="shared" si="80"/>
        <v>30.571488642607228</v>
      </c>
      <c r="K70" s="30">
        <f t="shared" si="79"/>
        <v>33.603084875767344</v>
      </c>
      <c r="L70" s="30">
        <f t="shared" si="78"/>
        <v>36.521394891184983</v>
      </c>
      <c r="M70" s="30">
        <f t="shared" si="77"/>
        <v>39.33070466712163</v>
      </c>
      <c r="N70" s="30">
        <f t="shared" si="76"/>
        <v>42.035138047403301</v>
      </c>
      <c r="O70" s="30">
        <f t="shared" si="75"/>
        <v>44.638662874816163</v>
      </c>
      <c r="P70" s="30">
        <f t="shared" si="74"/>
        <v>47.145096892481639</v>
      </c>
      <c r="Q70" s="63">
        <f t="shared" si="73"/>
        <v>49.558113421987763</v>
      </c>
    </row>
    <row r="71" spans="1:34" x14ac:dyDescent="0.2">
      <c r="A71" s="22"/>
      <c r="B71" s="36">
        <f>EXP(-rate * T/n) * (q*C70 + OneMinq *C71)</f>
        <v>12.305137604415611</v>
      </c>
      <c r="C71" s="30">
        <f>EXP(-rate * T/n) * (q*D70 + OneMinq *D71)</f>
        <v>15.004477868421239</v>
      </c>
      <c r="D71" s="30">
        <f>EXP(-rate * T/n) * (q*E70 + OneMinq *E71)</f>
        <v>17.941535346181741</v>
      </c>
      <c r="E71" s="30">
        <f>EXP(-rate * T/n) * (q*F70 + OneMinq *F71)</f>
        <v>21.042310191263972</v>
      </c>
      <c r="F71" s="30">
        <f>EXP(-rate * T/n) * (q*G70 + OneMinq *G71)</f>
        <v>24.223430492776885</v>
      </c>
      <c r="G71" s="30">
        <f t="shared" si="83"/>
        <v>27.405970229412002</v>
      </c>
      <c r="H71" s="30">
        <f t="shared" si="82"/>
        <v>30.528679371118915</v>
      </c>
      <c r="I71" s="30">
        <f t="shared" si="81"/>
        <v>33.555310599448823</v>
      </c>
      <c r="J71" s="30">
        <f t="shared" si="80"/>
        <v>36.472635813234575</v>
      </c>
      <c r="K71" s="30">
        <f t="shared" si="79"/>
        <v>39.280997110832359</v>
      </c>
      <c r="L71" s="30">
        <f t="shared" si="78"/>
        <v>41.984516961681273</v>
      </c>
      <c r="M71" s="30">
        <f t="shared" si="77"/>
        <v>44.587161886172304</v>
      </c>
      <c r="N71" s="30">
        <f t="shared" si="76"/>
        <v>47.092748355056528</v>
      </c>
      <c r="O71" s="30">
        <f t="shared" si="75"/>
        <v>49.504948465684144</v>
      </c>
      <c r="P71" s="30">
        <f t="shared" si="74"/>
        <v>51.827295403516658</v>
      </c>
      <c r="Q71" s="63">
        <f t="shared" si="73"/>
        <v>54.063188697035102</v>
      </c>
    </row>
    <row r="72" spans="1:34" x14ac:dyDescent="0.2">
      <c r="A72" s="22"/>
      <c r="B72" s="62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68"/>
      <c r="Q72" s="71"/>
    </row>
    <row r="73" spans="1:34" ht="13.5" thickBot="1" x14ac:dyDescent="0.25">
      <c r="A73" s="28"/>
      <c r="B73" s="65">
        <v>0</v>
      </c>
      <c r="C73" s="66">
        <v>1</v>
      </c>
      <c r="D73" s="66">
        <v>2</v>
      </c>
      <c r="E73" s="66">
        <v>3</v>
      </c>
      <c r="F73" s="66">
        <v>4</v>
      </c>
      <c r="G73" s="66">
        <v>5</v>
      </c>
      <c r="H73" s="66">
        <v>6</v>
      </c>
      <c r="I73" s="66">
        <v>7</v>
      </c>
      <c r="J73" s="66">
        <v>8</v>
      </c>
      <c r="K73" s="66">
        <v>9</v>
      </c>
      <c r="L73" s="66">
        <v>10</v>
      </c>
      <c r="M73" s="66">
        <v>11</v>
      </c>
      <c r="N73" s="66">
        <v>12</v>
      </c>
      <c r="O73" s="66">
        <v>13</v>
      </c>
      <c r="P73" s="66">
        <v>14</v>
      </c>
      <c r="Q73" s="67">
        <v>15</v>
      </c>
    </row>
    <row r="75" spans="1:34" ht="13.5" thickBot="1" x14ac:dyDescent="0.25"/>
    <row r="76" spans="1:34" x14ac:dyDescent="0.2">
      <c r="B76" s="79" t="s">
        <v>17</v>
      </c>
      <c r="C76" s="80"/>
      <c r="D76" s="60" t="s">
        <v>36</v>
      </c>
      <c r="E76" s="60"/>
      <c r="F76" s="60"/>
      <c r="G76" s="60"/>
      <c r="H76" s="60"/>
      <c r="I76" s="60"/>
      <c r="J76" s="60"/>
      <c r="K76" s="60"/>
      <c r="L76" s="60"/>
      <c r="M76" s="60"/>
      <c r="N76" s="69"/>
      <c r="O76" s="69"/>
      <c r="P76" s="69"/>
      <c r="Q76" s="70"/>
    </row>
    <row r="77" spans="1:34" x14ac:dyDescent="0.2">
      <c r="B77" s="62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68"/>
      <c r="O77" s="68"/>
      <c r="P77" s="68"/>
      <c r="Q77" s="63">
        <f t="shared" ref="Q77:Q92" si="84">MAX(CallPut*( Q14-K), 0)</f>
        <v>0</v>
      </c>
      <c r="AH77" s="1" t="str">
        <f t="shared" ref="AH77:AH92" si="85">IF(Q77=Q56,"ok","NOK")</f>
        <v>ok</v>
      </c>
    </row>
    <row r="78" spans="1:34" x14ac:dyDescent="0.2">
      <c r="B78" s="62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68"/>
      <c r="O78" s="68"/>
      <c r="P78" s="30">
        <f t="shared" ref="P78:P92" si="86">EXP(-rate* T/n) * MAX(q *Q77 + OneMinq *Q78, CallPut*(P15-K))</f>
        <v>0</v>
      </c>
      <c r="Q78" s="63">
        <f t="shared" si="84"/>
        <v>0</v>
      </c>
      <c r="AG78" s="1" t="str">
        <f t="shared" ref="AG78:AG91" si="87">IF(P78=P57,"ok","NOK")</f>
        <v>ok</v>
      </c>
      <c r="AH78" s="1" t="str">
        <f t="shared" si="85"/>
        <v>ok</v>
      </c>
    </row>
    <row r="79" spans="1:34" x14ac:dyDescent="0.2">
      <c r="B79" s="62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68"/>
      <c r="O79" s="30">
        <f t="shared" ref="O79:O92" si="88">EXP(-rate* T/n) * MAX(q *P78 + OneMinq *P79, CallPut*(O16-K))</f>
        <v>0</v>
      </c>
      <c r="P79" s="30">
        <f t="shared" si="86"/>
        <v>0</v>
      </c>
      <c r="Q79" s="63">
        <f t="shared" si="84"/>
        <v>0</v>
      </c>
      <c r="AF79" s="1" t="str">
        <f t="shared" ref="AF79:AF92" si="89">IF(O79=O58,"ok","NOK")</f>
        <v>ok</v>
      </c>
      <c r="AG79" s="1" t="str">
        <f t="shared" si="87"/>
        <v>ok</v>
      </c>
      <c r="AH79" s="1" t="str">
        <f t="shared" si="85"/>
        <v>ok</v>
      </c>
    </row>
    <row r="80" spans="1:34" x14ac:dyDescent="0.2">
      <c r="B80" s="62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>
        <f t="shared" ref="N80:N92" si="90">EXP(-rate* T/n) * MAX(q *O79 + OneMinq *O80, CallPut*(N17-K))</f>
        <v>0</v>
      </c>
      <c r="O80" s="30">
        <f t="shared" si="88"/>
        <v>0</v>
      </c>
      <c r="P80" s="30">
        <f t="shared" si="86"/>
        <v>0</v>
      </c>
      <c r="Q80" s="63">
        <f t="shared" si="84"/>
        <v>0</v>
      </c>
      <c r="AE80" s="1" t="str">
        <f t="shared" ref="AE80:AE92" si="91">IF(N80=N59,"ok","NOK")</f>
        <v>ok</v>
      </c>
      <c r="AF80" s="1" t="str">
        <f t="shared" si="89"/>
        <v>ok</v>
      </c>
      <c r="AG80" s="1" t="str">
        <f t="shared" si="87"/>
        <v>ok</v>
      </c>
      <c r="AH80" s="1" t="str">
        <f t="shared" si="85"/>
        <v>ok</v>
      </c>
    </row>
    <row r="81" spans="2:34" x14ac:dyDescent="0.2">
      <c r="B81" s="62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>
        <f t="shared" ref="M81:M92" si="92">EXP(-rate* T/n) * MAX(q *N80 + OneMinq *N81, CallPut*(M18-K))</f>
        <v>0</v>
      </c>
      <c r="N81" s="30">
        <f t="shared" si="90"/>
        <v>0</v>
      </c>
      <c r="O81" s="30">
        <f t="shared" si="88"/>
        <v>0</v>
      </c>
      <c r="P81" s="30">
        <f t="shared" si="86"/>
        <v>0</v>
      </c>
      <c r="Q81" s="63">
        <f t="shared" si="84"/>
        <v>0</v>
      </c>
      <c r="AD81" s="1" t="str">
        <f t="shared" ref="AD81:AD92" si="93">IF(M81=M60,"ok","NOK")</f>
        <v>ok</v>
      </c>
      <c r="AE81" s="1" t="str">
        <f t="shared" si="91"/>
        <v>ok</v>
      </c>
      <c r="AF81" s="1" t="str">
        <f t="shared" si="89"/>
        <v>ok</v>
      </c>
      <c r="AG81" s="1" t="str">
        <f t="shared" si="87"/>
        <v>ok</v>
      </c>
      <c r="AH81" s="1" t="str">
        <f t="shared" si="85"/>
        <v>ok</v>
      </c>
    </row>
    <row r="82" spans="2:34" x14ac:dyDescent="0.2">
      <c r="B82" s="62"/>
      <c r="C82" s="30"/>
      <c r="D82" s="30"/>
      <c r="E82" s="30"/>
      <c r="F82" s="30"/>
      <c r="G82" s="30"/>
      <c r="H82" s="30"/>
      <c r="I82" s="30"/>
      <c r="J82" s="30"/>
      <c r="K82" s="30"/>
      <c r="L82" s="30">
        <f t="shared" ref="L82:L92" si="94">EXP(-rate* T/n) * MAX(q *M81 + OneMinq *M82, CallPut*(L19-K))</f>
        <v>0</v>
      </c>
      <c r="M82" s="30">
        <f t="shared" si="92"/>
        <v>0</v>
      </c>
      <c r="N82" s="30">
        <f t="shared" si="90"/>
        <v>0</v>
      </c>
      <c r="O82" s="30">
        <f t="shared" si="88"/>
        <v>0</v>
      </c>
      <c r="P82" s="30">
        <f t="shared" si="86"/>
        <v>0</v>
      </c>
      <c r="Q82" s="63">
        <f t="shared" si="84"/>
        <v>0</v>
      </c>
      <c r="AC82" s="1" t="str">
        <f t="shared" ref="AC82:AC92" si="95">IF(L82=L61,"ok","NOK")</f>
        <v>ok</v>
      </c>
      <c r="AD82" s="1" t="str">
        <f t="shared" si="93"/>
        <v>ok</v>
      </c>
      <c r="AE82" s="1" t="str">
        <f t="shared" si="91"/>
        <v>ok</v>
      </c>
      <c r="AF82" s="1" t="str">
        <f t="shared" si="89"/>
        <v>ok</v>
      </c>
      <c r="AG82" s="1" t="str">
        <f t="shared" si="87"/>
        <v>ok</v>
      </c>
      <c r="AH82" s="1" t="str">
        <f t="shared" si="85"/>
        <v>ok</v>
      </c>
    </row>
    <row r="83" spans="2:34" x14ac:dyDescent="0.2">
      <c r="B83" s="62"/>
      <c r="C83" s="30"/>
      <c r="D83" s="30"/>
      <c r="E83" s="30"/>
      <c r="F83" s="30"/>
      <c r="G83" s="30"/>
      <c r="H83" s="30"/>
      <c r="I83" s="30"/>
      <c r="J83" s="30"/>
      <c r="K83" s="30">
        <f t="shared" ref="K83:K92" si="96">EXP(-rate* T/n) * MAX(q *L82 + OneMinq *L83, CallPut*(K20-K))</f>
        <v>0</v>
      </c>
      <c r="L83" s="30">
        <f t="shared" si="94"/>
        <v>0</v>
      </c>
      <c r="M83" s="30">
        <f t="shared" si="92"/>
        <v>0</v>
      </c>
      <c r="N83" s="30">
        <f t="shared" si="90"/>
        <v>0</v>
      </c>
      <c r="O83" s="30">
        <f t="shared" si="88"/>
        <v>0</v>
      </c>
      <c r="P83" s="30">
        <f t="shared" si="86"/>
        <v>0</v>
      </c>
      <c r="Q83" s="63">
        <f t="shared" si="84"/>
        <v>0</v>
      </c>
      <c r="AB83" s="1" t="str">
        <f t="shared" ref="AB83:AB92" si="97">IF(K83=K62,"ok","NOK")</f>
        <v>ok</v>
      </c>
      <c r="AC83" s="1" t="str">
        <f t="shared" si="95"/>
        <v>ok</v>
      </c>
      <c r="AD83" s="1" t="str">
        <f t="shared" si="93"/>
        <v>ok</v>
      </c>
      <c r="AE83" s="1" t="str">
        <f t="shared" si="91"/>
        <v>ok</v>
      </c>
      <c r="AF83" s="1" t="str">
        <f t="shared" si="89"/>
        <v>ok</v>
      </c>
      <c r="AG83" s="1" t="str">
        <f t="shared" si="87"/>
        <v>ok</v>
      </c>
      <c r="AH83" s="1" t="str">
        <f t="shared" si="85"/>
        <v>ok</v>
      </c>
    </row>
    <row r="84" spans="2:34" x14ac:dyDescent="0.2">
      <c r="B84" s="62"/>
      <c r="C84" s="30"/>
      <c r="D84" s="30"/>
      <c r="E84" s="30"/>
      <c r="F84" s="30"/>
      <c r="G84" s="30"/>
      <c r="H84" s="30"/>
      <c r="I84" s="30"/>
      <c r="J84" s="30">
        <f t="shared" ref="J84:J92" si="98">EXP(-rate* T/n) * MAX(q *K83 + OneMinq *K84, CallPut*(J21-K))</f>
        <v>5.2365869727484859E-2</v>
      </c>
      <c r="K84" s="30">
        <f t="shared" si="96"/>
        <v>0.10321228922823066</v>
      </c>
      <c r="L84" s="30">
        <f t="shared" si="94"/>
        <v>0.20342976643316782</v>
      </c>
      <c r="M84" s="30">
        <f t="shared" si="92"/>
        <v>0.40095680640841685</v>
      </c>
      <c r="N84" s="30">
        <f t="shared" si="90"/>
        <v>0.79027943365433095</v>
      </c>
      <c r="O84" s="30">
        <f t="shared" si="88"/>
        <v>1.5576280868040646</v>
      </c>
      <c r="P84" s="30">
        <f t="shared" si="86"/>
        <v>3.0700599730678495</v>
      </c>
      <c r="Q84" s="63">
        <f t="shared" si="84"/>
        <v>6.0510389598662755</v>
      </c>
      <c r="AA84" s="1" t="str">
        <f t="shared" ref="AA84:AA92" si="99">IF(J84=J63,"ok","NOK")</f>
        <v>ok</v>
      </c>
      <c r="AB84" s="1" t="str">
        <f t="shared" si="97"/>
        <v>ok</v>
      </c>
      <c r="AC84" s="1" t="str">
        <f t="shared" si="95"/>
        <v>ok</v>
      </c>
      <c r="AD84" s="1" t="str">
        <f t="shared" si="93"/>
        <v>ok</v>
      </c>
      <c r="AE84" s="1" t="str">
        <f t="shared" si="91"/>
        <v>ok</v>
      </c>
      <c r="AF84" s="1" t="str">
        <f t="shared" si="89"/>
        <v>ok</v>
      </c>
      <c r="AG84" s="1" t="str">
        <f t="shared" si="87"/>
        <v>ok</v>
      </c>
      <c r="AH84" s="1" t="str">
        <f t="shared" si="85"/>
        <v>ok</v>
      </c>
    </row>
    <row r="85" spans="2:34" x14ac:dyDescent="0.2">
      <c r="B85" s="62"/>
      <c r="C85" s="30"/>
      <c r="D85" s="30"/>
      <c r="E85" s="30"/>
      <c r="F85" s="30"/>
      <c r="G85" s="30"/>
      <c r="H85" s="30"/>
      <c r="I85" s="30">
        <f t="shared" ref="I85:I92" si="100">EXP(-rate* T/n) * MAX(q *J84 + OneMinq *J85, CallPut*(I22-K))</f>
        <v>0.26697164733168727</v>
      </c>
      <c r="J85" s="30">
        <f t="shared" si="98"/>
        <v>0.47538481324185106</v>
      </c>
      <c r="K85" s="30">
        <f t="shared" si="96"/>
        <v>0.83682616263488596</v>
      </c>
      <c r="L85" s="30">
        <f t="shared" si="94"/>
        <v>1.4519775329859976</v>
      </c>
      <c r="M85" s="30">
        <f t="shared" si="92"/>
        <v>2.4727651815729259</v>
      </c>
      <c r="N85" s="30">
        <f t="shared" si="90"/>
        <v>4.1069509767652832</v>
      </c>
      <c r="O85" s="30">
        <f t="shared" si="88"/>
        <v>6.5833257918321886</v>
      </c>
      <c r="P85" s="30">
        <f t="shared" si="86"/>
        <v>9.996667222160541</v>
      </c>
      <c r="Q85" s="63">
        <f t="shared" si="84"/>
        <v>13.798942289196276</v>
      </c>
      <c r="Z85" s="1" t="str">
        <f t="shared" ref="Z85:Z92" si="101">IF(I85=I64,"ok","NOK")</f>
        <v>NOK</v>
      </c>
      <c r="AA85" s="1" t="str">
        <f t="shared" si="99"/>
        <v>NOK</v>
      </c>
      <c r="AB85" s="1" t="str">
        <f t="shared" si="97"/>
        <v>NOK</v>
      </c>
      <c r="AC85" s="1" t="str">
        <f t="shared" si="95"/>
        <v>NOK</v>
      </c>
      <c r="AD85" s="1" t="str">
        <f t="shared" si="93"/>
        <v>NOK</v>
      </c>
      <c r="AE85" s="1" t="str">
        <f t="shared" si="91"/>
        <v>NOK</v>
      </c>
      <c r="AF85" s="1" t="str">
        <f t="shared" si="89"/>
        <v>NOK</v>
      </c>
      <c r="AG85" s="1" t="str">
        <f t="shared" si="87"/>
        <v>NOK</v>
      </c>
      <c r="AH85" s="1" t="str">
        <f t="shared" si="85"/>
        <v>ok</v>
      </c>
    </row>
    <row r="86" spans="2:34" x14ac:dyDescent="0.2">
      <c r="B86" s="62"/>
      <c r="C86" s="30"/>
      <c r="D86" s="30"/>
      <c r="E86" s="30"/>
      <c r="F86" s="30"/>
      <c r="G86" s="30"/>
      <c r="H86" s="30">
        <f t="shared" ref="H86:H92" si="102">EXP(-rate* T/n) * MAX(q *I85 + OneMinq *I86, CallPut*(H23-K))</f>
        <v>0.77287384806437598</v>
      </c>
      <c r="I86" s="30">
        <f t="shared" si="100"/>
        <v>1.2642721394775045</v>
      </c>
      <c r="J86" s="30">
        <f t="shared" si="98"/>
        <v>2.0305813518865721</v>
      </c>
      <c r="K86" s="30">
        <f t="shared" si="96"/>
        <v>3.1902481902308186</v>
      </c>
      <c r="L86" s="30">
        <f t="shared" si="94"/>
        <v>4.8790348971950852</v>
      </c>
      <c r="M86" s="30">
        <f t="shared" si="92"/>
        <v>7.2171085146873519</v>
      </c>
      <c r="N86" s="30">
        <f t="shared" si="90"/>
        <v>10.239719388925595</v>
      </c>
      <c r="O86" s="30">
        <f t="shared" si="88"/>
        <v>13.794343408289278</v>
      </c>
      <c r="P86" s="30">
        <f t="shared" si="86"/>
        <v>17.447748067776438</v>
      </c>
      <c r="Q86" s="63">
        <f t="shared" si="84"/>
        <v>20.969350611361506</v>
      </c>
      <c r="Y86" s="1" t="str">
        <f t="shared" ref="Y86:Y92" si="103">IF(H86=H65,"ok","NOK")</f>
        <v>NOK</v>
      </c>
      <c r="Z86" s="1" t="str">
        <f t="shared" si="101"/>
        <v>NOK</v>
      </c>
      <c r="AA86" s="1" t="str">
        <f t="shared" si="99"/>
        <v>NOK</v>
      </c>
      <c r="AB86" s="1" t="str">
        <f t="shared" si="97"/>
        <v>NOK</v>
      </c>
      <c r="AC86" s="1" t="str">
        <f t="shared" si="95"/>
        <v>NOK</v>
      </c>
      <c r="AD86" s="1" t="str">
        <f t="shared" si="93"/>
        <v>NOK</v>
      </c>
      <c r="AE86" s="1" t="str">
        <f t="shared" si="91"/>
        <v>NOK</v>
      </c>
      <c r="AF86" s="1" t="str">
        <f t="shared" si="89"/>
        <v>NOK</v>
      </c>
      <c r="AG86" s="1" t="str">
        <f t="shared" si="87"/>
        <v>NOK</v>
      </c>
      <c r="AH86" s="1" t="str">
        <f t="shared" si="85"/>
        <v>ok</v>
      </c>
    </row>
    <row r="87" spans="2:34" x14ac:dyDescent="0.2">
      <c r="B87" s="62"/>
      <c r="C87" s="30"/>
      <c r="D87" s="30"/>
      <c r="E87" s="30"/>
      <c r="F87" s="30"/>
      <c r="G87" s="30">
        <f t="shared" ref="G87:G92" si="104">EXP(-rate* T/n) * MAX(q *H86 + OneMinq *H87, CallPut*(G24-K))</f>
        <v>1.6743152896250069</v>
      </c>
      <c r="H87" s="30">
        <f t="shared" si="102"/>
        <v>2.5501081586600884</v>
      </c>
      <c r="I87" s="30">
        <f t="shared" si="100"/>
        <v>3.7994647887135611</v>
      </c>
      <c r="J87" s="30">
        <f t="shared" si="98"/>
        <v>5.5183560898559838</v>
      </c>
      <c r="K87" s="30">
        <f t="shared" si="96"/>
        <v>7.7810071417596873</v>
      </c>
      <c r="L87" s="30">
        <f t="shared" si="94"/>
        <v>10.601980606137198</v>
      </c>
      <c r="M87" s="30">
        <f t="shared" si="92"/>
        <v>13.893377921485905</v>
      </c>
      <c r="N87" s="30">
        <f t="shared" si="90"/>
        <v>17.447748067776423</v>
      </c>
      <c r="O87" s="30">
        <f t="shared" si="88"/>
        <v>20.962361992658863</v>
      </c>
      <c r="P87" s="30">
        <f t="shared" si="86"/>
        <v>24.343457762846967</v>
      </c>
      <c r="Q87" s="63">
        <f t="shared" si="84"/>
        <v>27.605307891822619</v>
      </c>
      <c r="X87" s="1" t="str">
        <f t="shared" ref="X87:X92" si="105">IF(G87=G66,"ok","NOK")</f>
        <v>NOK</v>
      </c>
      <c r="Y87" s="1" t="str">
        <f t="shared" si="103"/>
        <v>NOK</v>
      </c>
      <c r="Z87" s="1" t="str">
        <f t="shared" si="101"/>
        <v>NOK</v>
      </c>
      <c r="AA87" s="1" t="str">
        <f t="shared" si="99"/>
        <v>NOK</v>
      </c>
      <c r="AB87" s="1" t="str">
        <f t="shared" si="97"/>
        <v>NOK</v>
      </c>
      <c r="AC87" s="1" t="str">
        <f t="shared" si="95"/>
        <v>NOK</v>
      </c>
      <c r="AD87" s="1" t="str">
        <f t="shared" si="93"/>
        <v>NOK</v>
      </c>
      <c r="AE87" s="1" t="str">
        <f t="shared" si="91"/>
        <v>NOK</v>
      </c>
      <c r="AF87" s="1" t="str">
        <f t="shared" si="89"/>
        <v>NOK</v>
      </c>
      <c r="AG87" s="1" t="str">
        <f t="shared" si="87"/>
        <v>NOK</v>
      </c>
      <c r="AH87" s="1" t="str">
        <f t="shared" si="85"/>
        <v>ok</v>
      </c>
    </row>
    <row r="88" spans="2:34" x14ac:dyDescent="0.2">
      <c r="B88" s="62"/>
      <c r="C88" s="30"/>
      <c r="D88" s="30"/>
      <c r="E88" s="30"/>
      <c r="F88" s="30">
        <f>EXP(-rate* T/n) * MAX(q *G87 + OneMinq *G88, CallPut*(F25-K))</f>
        <v>3.024911026719133</v>
      </c>
      <c r="G88" s="30">
        <f t="shared" si="104"/>
        <v>4.3374176553122359</v>
      </c>
      <c r="H88" s="30">
        <f t="shared" si="102"/>
        <v>6.074541634423877</v>
      </c>
      <c r="I88" s="30">
        <f t="shared" si="100"/>
        <v>8.2861005689976164</v>
      </c>
      <c r="J88" s="30">
        <f t="shared" si="98"/>
        <v>10.977160986914351</v>
      </c>
      <c r="K88" s="30">
        <f t="shared" si="96"/>
        <v>14.08568632899652</v>
      </c>
      <c r="L88" s="30">
        <f t="shared" si="94"/>
        <v>17.475272987312305</v>
      </c>
      <c r="M88" s="30">
        <f t="shared" si="92"/>
        <v>20.962361992658863</v>
      </c>
      <c r="N88" s="30">
        <f t="shared" si="90"/>
        <v>24.343457762846967</v>
      </c>
      <c r="O88" s="30">
        <f t="shared" si="88"/>
        <v>27.596107655983158</v>
      </c>
      <c r="P88" s="30">
        <f t="shared" si="86"/>
        <v>30.725191256809513</v>
      </c>
      <c r="Q88" s="63">
        <f t="shared" si="84"/>
        <v>33.746649786116222</v>
      </c>
      <c r="W88" s="1" t="str">
        <f t="shared" ref="W88:W92" si="106">IF(F88=F67,"ok","NOK")</f>
        <v>NOK</v>
      </c>
      <c r="X88" s="1" t="str">
        <f t="shared" si="105"/>
        <v>NOK</v>
      </c>
      <c r="Y88" s="1" t="str">
        <f t="shared" si="103"/>
        <v>NOK</v>
      </c>
      <c r="Z88" s="1" t="str">
        <f t="shared" si="101"/>
        <v>NOK</v>
      </c>
      <c r="AA88" s="1" t="str">
        <f t="shared" si="99"/>
        <v>NOK</v>
      </c>
      <c r="AB88" s="1" t="str">
        <f t="shared" si="97"/>
        <v>NOK</v>
      </c>
      <c r="AC88" s="1" t="str">
        <f t="shared" si="95"/>
        <v>NOK</v>
      </c>
      <c r="AD88" s="1" t="str">
        <f t="shared" si="93"/>
        <v>NOK</v>
      </c>
      <c r="AE88" s="1" t="str">
        <f t="shared" si="91"/>
        <v>NOK</v>
      </c>
      <c r="AF88" s="1" t="str">
        <f t="shared" si="89"/>
        <v>NOK</v>
      </c>
      <c r="AG88" s="1" t="str">
        <f t="shared" si="87"/>
        <v>NOK</v>
      </c>
      <c r="AH88" s="1" t="str">
        <f t="shared" si="85"/>
        <v>ok</v>
      </c>
    </row>
    <row r="89" spans="2:34" x14ac:dyDescent="0.2">
      <c r="B89" s="62"/>
      <c r="C89" s="30"/>
      <c r="D89" s="30"/>
      <c r="E89" s="30">
        <f>EXP(-rate* T/n) * MAX(q *F88 + OneMinq *F89, CallPut*(E26-K))</f>
        <v>4.823915104738723</v>
      </c>
      <c r="F89" s="30">
        <f>EXP(-rate* T/n) * MAX(q *G88 + OneMinq *G89, CallPut*(F26-K))</f>
        <v>6.5727062257253568</v>
      </c>
      <c r="G89" s="30">
        <f t="shared" si="104"/>
        <v>8.7459847564901665</v>
      </c>
      <c r="H89" s="30">
        <f t="shared" si="102"/>
        <v>11.34390345149745</v>
      </c>
      <c r="I89" s="30">
        <f t="shared" si="100"/>
        <v>14.318424016519229</v>
      </c>
      <c r="J89" s="30">
        <f t="shared" si="98"/>
        <v>17.569947555045044</v>
      </c>
      <c r="K89" s="30">
        <f t="shared" si="96"/>
        <v>20.962361992658849</v>
      </c>
      <c r="L89" s="30">
        <f t="shared" si="94"/>
        <v>24.343457762846953</v>
      </c>
      <c r="M89" s="30">
        <f t="shared" si="92"/>
        <v>27.596107655983143</v>
      </c>
      <c r="N89" s="30">
        <f t="shared" si="90"/>
        <v>30.725191256809499</v>
      </c>
      <c r="O89" s="30">
        <f t="shared" si="88"/>
        <v>33.735402777459768</v>
      </c>
      <c r="P89" s="30">
        <f t="shared" si="86"/>
        <v>36.631258099657778</v>
      </c>
      <c r="Q89" s="63">
        <f t="shared" si="84"/>
        <v>39.43024277331898</v>
      </c>
      <c r="V89" s="1" t="str">
        <f t="shared" ref="V89:V92" si="107">IF(E89=E68,"ok","NOK")</f>
        <v>NOK</v>
      </c>
      <c r="W89" s="1" t="str">
        <f t="shared" si="106"/>
        <v>NOK</v>
      </c>
      <c r="X89" s="1" t="str">
        <f t="shared" si="105"/>
        <v>NOK</v>
      </c>
      <c r="Y89" s="1" t="str">
        <f t="shared" si="103"/>
        <v>NOK</v>
      </c>
      <c r="Z89" s="1" t="str">
        <f t="shared" si="101"/>
        <v>NOK</v>
      </c>
      <c r="AA89" s="1" t="str">
        <f t="shared" si="99"/>
        <v>NOK</v>
      </c>
      <c r="AB89" s="1" t="str">
        <f t="shared" si="97"/>
        <v>NOK</v>
      </c>
      <c r="AC89" s="1" t="str">
        <f t="shared" si="95"/>
        <v>NOK</v>
      </c>
      <c r="AD89" s="1" t="str">
        <f t="shared" si="93"/>
        <v>NOK</v>
      </c>
      <c r="AE89" s="1" t="str">
        <f t="shared" si="91"/>
        <v>NOK</v>
      </c>
      <c r="AF89" s="1" t="str">
        <f t="shared" si="89"/>
        <v>NOK</v>
      </c>
      <c r="AG89" s="1" t="str">
        <f t="shared" si="87"/>
        <v>NOK</v>
      </c>
      <c r="AH89" s="1" t="str">
        <f t="shared" si="85"/>
        <v>ok</v>
      </c>
    </row>
    <row r="90" spans="2:34" x14ac:dyDescent="0.2">
      <c r="B90" s="62"/>
      <c r="C90" s="30"/>
      <c r="D90" s="30">
        <f>EXP(-rate* T/n) * MAX(q *E89 + OneMinq *E90, CallPut*(D27-K))</f>
        <v>7.0273829003088073</v>
      </c>
      <c r="E90" s="30">
        <f>EXP(-rate* T/n) * MAX(q *F89 + OneMinq *F90, CallPut*(E27-K))</f>
        <v>9.170083542098185</v>
      </c>
      <c r="F90" s="30">
        <f>EXP(-rate* T/n) * MAX(q *G89 + OneMinq *G90, CallPut*(F27-K))</f>
        <v>11.696412764802245</v>
      </c>
      <c r="G90" s="30">
        <f t="shared" si="104"/>
        <v>14.566976140496566</v>
      </c>
      <c r="H90" s="30">
        <f t="shared" si="102"/>
        <v>17.703979661878584</v>
      </c>
      <c r="I90" s="30">
        <f t="shared" si="100"/>
        <v>21.000705445920961</v>
      </c>
      <c r="J90" s="30">
        <f t="shared" si="98"/>
        <v>24.343457762846953</v>
      </c>
      <c r="K90" s="30">
        <f t="shared" si="96"/>
        <v>27.596107655983143</v>
      </c>
      <c r="L90" s="30">
        <f t="shared" si="94"/>
        <v>30.725191256809499</v>
      </c>
      <c r="M90" s="30">
        <f t="shared" si="92"/>
        <v>33.735402777459754</v>
      </c>
      <c r="N90" s="30">
        <f t="shared" si="90"/>
        <v>36.631258099657778</v>
      </c>
      <c r="O90" s="30">
        <f t="shared" si="88"/>
        <v>39.417101549386857</v>
      </c>
      <c r="P90" s="30">
        <f t="shared" si="86"/>
        <v>42.09711241419339</v>
      </c>
      <c r="Q90" s="63">
        <f t="shared" si="84"/>
        <v>44.690205465543571</v>
      </c>
      <c r="U90" s="1" t="str">
        <f t="shared" ref="T90:AG92" si="108">IF(D90=D69,"ok","NOK")</f>
        <v>NOK</v>
      </c>
      <c r="V90" s="1" t="str">
        <f t="shared" si="107"/>
        <v>NOK</v>
      </c>
      <c r="W90" s="1" t="str">
        <f t="shared" si="106"/>
        <v>NOK</v>
      </c>
      <c r="X90" s="1" t="str">
        <f t="shared" si="105"/>
        <v>NOK</v>
      </c>
      <c r="Y90" s="1" t="str">
        <f t="shared" si="103"/>
        <v>NOK</v>
      </c>
      <c r="Z90" s="1" t="str">
        <f t="shared" si="101"/>
        <v>NOK</v>
      </c>
      <c r="AA90" s="1" t="str">
        <f t="shared" si="99"/>
        <v>NOK</v>
      </c>
      <c r="AB90" s="1" t="str">
        <f t="shared" si="97"/>
        <v>NOK</v>
      </c>
      <c r="AC90" s="1" t="str">
        <f t="shared" si="95"/>
        <v>NOK</v>
      </c>
      <c r="AD90" s="1" t="str">
        <f t="shared" si="93"/>
        <v>NOK</v>
      </c>
      <c r="AE90" s="1" t="str">
        <f t="shared" si="91"/>
        <v>NOK</v>
      </c>
      <c r="AF90" s="1" t="str">
        <f t="shared" si="89"/>
        <v>NOK</v>
      </c>
      <c r="AG90" s="1" t="str">
        <f t="shared" si="87"/>
        <v>NOK</v>
      </c>
      <c r="AH90" s="1" t="str">
        <f t="shared" si="85"/>
        <v>ok</v>
      </c>
    </row>
    <row r="91" spans="2:34" x14ac:dyDescent="0.2">
      <c r="B91" s="62"/>
      <c r="C91" s="30">
        <f>EXP(-rate* T/n) * MAX(q *D90 + OneMinq *D91, CallPut*(C28-K))</f>
        <v>9.564879278123712</v>
      </c>
      <c r="D91" s="30">
        <f>EXP(-rate* T/n) * MAX(q *E90 + OneMinq *E91, CallPut*(D28-K))</f>
        <v>12.033363740405301</v>
      </c>
      <c r="E91" s="30">
        <f>EXP(-rate* T/n) * MAX(q *F90 + OneMinq *F91, CallPut*(E28-K))</f>
        <v>14.81958657473022</v>
      </c>
      <c r="F91" s="30">
        <f>EXP(-rate* T/n) * MAX(q *G90 + OneMinq *G91, CallPut*(F28-K))</f>
        <v>17.859821445157994</v>
      </c>
      <c r="G91" s="30">
        <f t="shared" si="104"/>
        <v>21.06669024575908</v>
      </c>
      <c r="H91" s="30">
        <f t="shared" si="102"/>
        <v>24.343457762846953</v>
      </c>
      <c r="I91" s="30">
        <f t="shared" si="100"/>
        <v>27.596107655983158</v>
      </c>
      <c r="J91" s="30">
        <f t="shared" si="98"/>
        <v>30.725191256809499</v>
      </c>
      <c r="K91" s="30">
        <f t="shared" si="96"/>
        <v>33.735402777459754</v>
      </c>
      <c r="L91" s="30">
        <f t="shared" si="94"/>
        <v>36.631258099657764</v>
      </c>
      <c r="M91" s="30">
        <f t="shared" si="92"/>
        <v>39.417101549386871</v>
      </c>
      <c r="N91" s="30">
        <f t="shared" si="90"/>
        <v>42.097112414193404</v>
      </c>
      <c r="O91" s="30">
        <f t="shared" si="88"/>
        <v>44.67531121290174</v>
      </c>
      <c r="P91" s="30">
        <f t="shared" si="86"/>
        <v>47.15556572714641</v>
      </c>
      <c r="Q91" s="63">
        <f t="shared" si="84"/>
        <v>49.558113421987763</v>
      </c>
      <c r="T91" s="1" t="str">
        <f t="shared" si="108"/>
        <v>NOK</v>
      </c>
      <c r="U91" s="1" t="str">
        <f t="shared" si="108"/>
        <v>NOK</v>
      </c>
      <c r="V91" s="1" t="str">
        <f t="shared" si="107"/>
        <v>NOK</v>
      </c>
      <c r="W91" s="1" t="str">
        <f t="shared" si="106"/>
        <v>NOK</v>
      </c>
      <c r="X91" s="1" t="str">
        <f t="shared" si="105"/>
        <v>NOK</v>
      </c>
      <c r="Y91" s="1" t="str">
        <f t="shared" si="103"/>
        <v>NOK</v>
      </c>
      <c r="Z91" s="1" t="str">
        <f t="shared" si="101"/>
        <v>NOK</v>
      </c>
      <c r="AA91" s="1" t="str">
        <f t="shared" si="99"/>
        <v>NOK</v>
      </c>
      <c r="AB91" s="1" t="str">
        <f t="shared" si="97"/>
        <v>NOK</v>
      </c>
      <c r="AC91" s="1" t="str">
        <f t="shared" si="95"/>
        <v>NOK</v>
      </c>
      <c r="AD91" s="1" t="str">
        <f t="shared" si="93"/>
        <v>NOK</v>
      </c>
      <c r="AE91" s="1" t="str">
        <f t="shared" si="91"/>
        <v>NOK</v>
      </c>
      <c r="AF91" s="1" t="str">
        <f t="shared" si="89"/>
        <v>NOK</v>
      </c>
      <c r="AG91" s="1" t="str">
        <f t="shared" si="87"/>
        <v>NOK</v>
      </c>
      <c r="AH91" s="1" t="str">
        <f t="shared" si="85"/>
        <v>ok</v>
      </c>
    </row>
    <row r="92" spans="2:34" x14ac:dyDescent="0.2">
      <c r="B92" s="36">
        <f>EXP(-rate* T/n) * MAX(q *C91 + OneMinq *C92, CallPut*(B29-K))</f>
        <v>12.355839528938089</v>
      </c>
      <c r="C92" s="30">
        <f>EXP(-rate* T/n) * MAX(q *D91 + OneMinq *D92, CallPut*(C29-K))</f>
        <v>15.072100189799594</v>
      </c>
      <c r="D92" s="30">
        <f>EXP(-rate* T/n) * MAX(q *E91 + OneMinq *E92, CallPut*(D29-K))</f>
        <v>18.030569075712418</v>
      </c>
      <c r="E92" s="30">
        <f>EXP(-rate* T/n) * MAX(q *F91 + OneMinq *F92, CallPut*(E29-K))</f>
        <v>21.158116343155065</v>
      </c>
      <c r="F92" s="30">
        <f>EXP(-rate* T/n) * MAX(q *G91 + OneMinq *G92, CallPut*(F29-K))</f>
        <v>24.37243963270242</v>
      </c>
      <c r="G92" s="30">
        <f t="shared" si="104"/>
        <v>27.596107655983143</v>
      </c>
      <c r="H92" s="30">
        <f t="shared" si="102"/>
        <v>30.725191256809499</v>
      </c>
      <c r="I92" s="30">
        <f t="shared" si="100"/>
        <v>33.735402777459754</v>
      </c>
      <c r="J92" s="30">
        <f>EXP(-rate* T/n) * MAX(q *K91 + OneMinq *K92, CallPut*(J29-K))</f>
        <v>36.631258099657764</v>
      </c>
      <c r="K92" s="30">
        <f t="shared" si="96"/>
        <v>39.417101549386857</v>
      </c>
      <c r="L92" s="30">
        <f t="shared" si="94"/>
        <v>42.09711241419339</v>
      </c>
      <c r="M92" s="30">
        <f t="shared" si="92"/>
        <v>44.67531121290174</v>
      </c>
      <c r="N92" s="30">
        <f t="shared" si="90"/>
        <v>47.155565727146403</v>
      </c>
      <c r="O92" s="30">
        <f t="shared" si="88"/>
        <v>49.541596803769721</v>
      </c>
      <c r="P92" s="30">
        <f t="shared" si="86"/>
        <v>51.836983936789842</v>
      </c>
      <c r="Q92" s="63">
        <f t="shared" si="84"/>
        <v>54.063188697035102</v>
      </c>
      <c r="S92" s="1" t="str">
        <f>IF(B92=B71,"ok","NOK")</f>
        <v>NOK</v>
      </c>
      <c r="T92" s="1" t="str">
        <f t="shared" si="108"/>
        <v>NOK</v>
      </c>
      <c r="U92" s="1" t="str">
        <f t="shared" si="108"/>
        <v>NOK</v>
      </c>
      <c r="V92" s="1" t="str">
        <f t="shared" si="107"/>
        <v>NOK</v>
      </c>
      <c r="W92" s="1" t="str">
        <f t="shared" si="106"/>
        <v>NOK</v>
      </c>
      <c r="X92" s="1" t="str">
        <f t="shared" si="105"/>
        <v>NOK</v>
      </c>
      <c r="Y92" s="1" t="str">
        <f t="shared" si="103"/>
        <v>NOK</v>
      </c>
      <c r="Z92" s="1" t="str">
        <f t="shared" si="101"/>
        <v>NOK</v>
      </c>
      <c r="AA92" s="1" t="str">
        <f t="shared" si="99"/>
        <v>NOK</v>
      </c>
      <c r="AB92" s="1" t="str">
        <f t="shared" si="97"/>
        <v>NOK</v>
      </c>
      <c r="AC92" s="1" t="str">
        <f t="shared" si="95"/>
        <v>NOK</v>
      </c>
      <c r="AD92" s="1" t="str">
        <f t="shared" si="93"/>
        <v>NOK</v>
      </c>
      <c r="AE92" s="1" t="str">
        <f t="shared" si="91"/>
        <v>NOK</v>
      </c>
      <c r="AF92" s="1" t="str">
        <f t="shared" si="89"/>
        <v>NOK</v>
      </c>
      <c r="AG92" s="1" t="str">
        <f t="shared" si="108"/>
        <v>NOK</v>
      </c>
      <c r="AH92" s="1" t="str">
        <f>IF(Q92=Q71,"ok","NOK")</f>
        <v>ok</v>
      </c>
    </row>
    <row r="93" spans="2:34" x14ac:dyDescent="0.2">
      <c r="B93" s="62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68"/>
      <c r="O93" s="68"/>
      <c r="P93" s="68"/>
      <c r="Q93" s="71"/>
    </row>
    <row r="94" spans="2:34" ht="13.5" thickBot="1" x14ac:dyDescent="0.25">
      <c r="B94" s="65">
        <v>0</v>
      </c>
      <c r="C94" s="66">
        <v>1</v>
      </c>
      <c r="D94" s="66">
        <v>2</v>
      </c>
      <c r="E94" s="66">
        <v>3</v>
      </c>
      <c r="F94" s="66">
        <v>4</v>
      </c>
      <c r="G94" s="66">
        <v>5</v>
      </c>
      <c r="H94" s="66">
        <v>6</v>
      </c>
      <c r="I94" s="66">
        <v>7</v>
      </c>
      <c r="J94" s="66">
        <v>8</v>
      </c>
      <c r="K94" s="66">
        <v>9</v>
      </c>
      <c r="L94" s="66">
        <v>10</v>
      </c>
      <c r="M94" s="66">
        <v>11</v>
      </c>
      <c r="N94" s="66">
        <v>12</v>
      </c>
      <c r="O94" s="66">
        <v>13</v>
      </c>
      <c r="P94" s="66">
        <v>14</v>
      </c>
      <c r="Q94" s="67">
        <v>15</v>
      </c>
      <c r="S94" s="65">
        <v>0</v>
      </c>
      <c r="T94" s="66">
        <v>1</v>
      </c>
      <c r="U94" s="66">
        <v>2</v>
      </c>
      <c r="V94" s="66">
        <v>3</v>
      </c>
      <c r="W94" s="66">
        <v>4</v>
      </c>
      <c r="X94" s="66">
        <v>5</v>
      </c>
      <c r="Y94" s="66">
        <v>6</v>
      </c>
      <c r="Z94" s="66">
        <v>7</v>
      </c>
      <c r="AA94" s="66">
        <v>8</v>
      </c>
      <c r="AB94" s="66">
        <v>9</v>
      </c>
      <c r="AC94" s="66">
        <v>10</v>
      </c>
      <c r="AD94" s="66">
        <v>11</v>
      </c>
      <c r="AE94" s="66">
        <v>12</v>
      </c>
      <c r="AF94" s="66">
        <v>13</v>
      </c>
      <c r="AG94" s="66">
        <v>14</v>
      </c>
      <c r="AH94" s="67">
        <v>15</v>
      </c>
    </row>
    <row r="96" spans="2:34" ht="13.5" thickBot="1" x14ac:dyDescent="0.25"/>
    <row r="97" spans="2:17" x14ac:dyDescent="0.2">
      <c r="B97" s="79" t="s">
        <v>17</v>
      </c>
      <c r="C97" s="80"/>
      <c r="D97" s="60" t="s">
        <v>36</v>
      </c>
      <c r="E97" s="60"/>
      <c r="F97" s="60"/>
      <c r="G97" s="60"/>
      <c r="H97" s="60"/>
      <c r="I97" s="60"/>
      <c r="J97" s="60"/>
      <c r="K97" s="60"/>
      <c r="L97" s="60"/>
      <c r="M97" s="60"/>
      <c r="N97" s="69"/>
      <c r="O97" s="69"/>
      <c r="P97" s="69"/>
      <c r="Q97" s="70"/>
    </row>
    <row r="98" spans="2:17" x14ac:dyDescent="0.2">
      <c r="B98" s="62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68"/>
      <c r="O98" s="68"/>
      <c r="P98" s="68"/>
      <c r="Q98" s="63">
        <f>ABS(CallPut*( Q35-K))</f>
        <v>68.773150758236881</v>
      </c>
    </row>
    <row r="99" spans="2:17" x14ac:dyDescent="0.2">
      <c r="B99" s="62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68"/>
      <c r="O99" s="68"/>
      <c r="P99" s="30">
        <f>EXP(-rate* T/n) * ABS(q *Q98 + OneMinq *Q99)</f>
        <v>61.989661266767619</v>
      </c>
      <c r="Q99" s="63">
        <f>ABS(CallPut*( Q36-K))</f>
        <v>55.448177847542979</v>
      </c>
    </row>
    <row r="100" spans="2:17" x14ac:dyDescent="0.2">
      <c r="B100" s="62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68"/>
      <c r="O100" s="30">
        <f>EXP(-rate* T/n) * ABS(q *P99 + OneMinq *P100)</f>
        <v>55.466346539791445</v>
      </c>
      <c r="P100" s="30">
        <f>EXP(-rate* T/n) * ABS(q *Q99 + OneMinq *Q100)</f>
        <v>49.173032669786799</v>
      </c>
      <c r="Q100" s="63">
        <f>ABS(CallPut*( Q37-K))</f>
        <v>43.11639044774742</v>
      </c>
    </row>
    <row r="101" spans="2:17" x14ac:dyDescent="0.2">
      <c r="B101" s="62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>
        <f>EXP(-rate* T/n) * ABS(q *O100 + OneMinq *O101)</f>
        <v>49.19328051443717</v>
      </c>
      <c r="O101" s="30">
        <f>EXP(-rate* T/n) * ABS(q *P100 + OneMinq *P101)</f>
        <v>43.138669050772634</v>
      </c>
      <c r="P101" s="30">
        <f>EXP(-rate* T/n) * ABS(q *Q100 + OneMinq *Q101)</f>
        <v>37.311699810095668</v>
      </c>
      <c r="Q101" s="63">
        <f>ABS(CallPut*( Q38-K))</f>
        <v>31.703760831689351</v>
      </c>
    </row>
    <row r="102" spans="2:17" x14ac:dyDescent="0.2">
      <c r="B102" s="62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>
        <f>EXP(-rate* T/n) * ABS(q *N101 + OneMinq *N102)</f>
        <v>43.160915804751284</v>
      </c>
      <c r="N102" s="30">
        <f>EXP(-rate* T/n) * ABS(q *O101 + OneMinq *O102)</f>
        <v>37.335900773476226</v>
      </c>
      <c r="O102" s="30">
        <f>EXP(-rate* T/n) * ABS(q *P101 + OneMinq *P102)</f>
        <v>31.729843010622066</v>
      </c>
      <c r="P102" s="30">
        <f>EXP(-rate* T/n) * ABS(q *Q101 + OneMinq *Q102)</f>
        <v>26.334459099419991</v>
      </c>
      <c r="Q102" s="63">
        <f>ABS(CallPut*( Q39-K))</f>
        <v>21.141778976935342</v>
      </c>
    </row>
    <row r="103" spans="2:17" x14ac:dyDescent="0.2">
      <c r="B103" s="62"/>
      <c r="C103" s="30"/>
      <c r="D103" s="30"/>
      <c r="E103" s="30"/>
      <c r="F103" s="30"/>
      <c r="G103" s="30"/>
      <c r="H103" s="30"/>
      <c r="I103" s="30"/>
      <c r="J103" s="30"/>
      <c r="K103" s="30"/>
      <c r="L103" s="30">
        <f>EXP(-rate* T/n) * ABS(q *M102 + OneMinq *M103)</f>
        <v>37.360069255270211</v>
      </c>
      <c r="M103" s="30">
        <f>EXP(-rate* T/n) * ABS(q *N102 + OneMinq *N103)</f>
        <v>31.755892072860856</v>
      </c>
      <c r="N103" s="30">
        <f>EXP(-rate* T/n) * ABS(q *O102 + OneMinq *O103)</f>
        <v>26.362318533258485</v>
      </c>
      <c r="O103" s="30">
        <f>EXP(-rate* T/n) * ABS(q *P102 + OneMinq *P103)</f>
        <v>21.171381229774706</v>
      </c>
      <c r="P103" s="30">
        <f>EXP(-rate* T/n) * ABS(q *Q102 + OneMinq *Q103)</f>
        <v>16.175414155186495</v>
      </c>
      <c r="Q103" s="63">
        <f>ABS(CallPut*( Q40-K))</f>
        <v>11.367041300073311</v>
      </c>
    </row>
    <row r="104" spans="2:17" x14ac:dyDescent="0.2">
      <c r="B104" s="62"/>
      <c r="C104" s="30"/>
      <c r="D104" s="30"/>
      <c r="E104" s="30"/>
      <c r="F104" s="30"/>
      <c r="G104" s="30"/>
      <c r="H104" s="30"/>
      <c r="I104" s="30"/>
      <c r="J104" s="30"/>
      <c r="K104" s="30">
        <f>EXP(-rate* T/n) * ABS(q *L103 + OneMinq *L104)</f>
        <v>31.781908045720076</v>
      </c>
      <c r="L104" s="30">
        <f>EXP(-rate* T/n) * ABS(q *M103 + OneMinq *M104)</f>
        <v>26.390144266223487</v>
      </c>
      <c r="M104" s="30">
        <f>EXP(-rate* T/n) * ABS(q *N103 + OneMinq *N104)</f>
        <v>21.200949192757733</v>
      </c>
      <c r="N104" s="30">
        <f>EXP(-rate* T/n) * ABS(q *O103 + OneMinq *O104)</f>
        <v>16.206659373011046</v>
      </c>
      <c r="O104" s="30">
        <f>EXP(-rate* T/n) * ABS(q *P103 + OneMinq *P104)</f>
        <v>11.399901255824341</v>
      </c>
      <c r="P104" s="30">
        <f>EXP(-rate* T/n) * ABS(q *Q103 + OneMinq *Q104)</f>
        <v>6.7735802244988594</v>
      </c>
      <c r="Q104" s="63">
        <f>ABS(CallPut*( Q41-K))</f>
        <v>2.3208700449636979</v>
      </c>
    </row>
    <row r="105" spans="2:17" x14ac:dyDescent="0.2">
      <c r="B105" s="62"/>
      <c r="C105" s="30"/>
      <c r="D105" s="30"/>
      <c r="E105" s="30"/>
      <c r="F105" s="30"/>
      <c r="G105" s="30"/>
      <c r="H105" s="30"/>
      <c r="I105" s="30"/>
      <c r="J105" s="30">
        <f>EXP(-rate* T/n) * ABS(q *K104 + OneMinq *K105)</f>
        <v>26.522668065273585</v>
      </c>
      <c r="K105" s="30">
        <f>EXP(-rate* T/n) * ABS(q *L104 + OneMinq *L105)</f>
        <v>21.436907472046215</v>
      </c>
      <c r="L105" s="30">
        <f>EXP(-rate* T/n) * ABS(q *M104 + OneMinq *M105)</f>
        <v>16.644729294421865</v>
      </c>
      <c r="M105" s="30">
        <f>EXP(-rate* T/n) * ABS(q *N104 + OneMinq *N105)</f>
        <v>12.234639448815836</v>
      </c>
      <c r="N105" s="30">
        <f>EXP(-rate* T/n) * ABS(q *O104 + OneMinq *O105)</f>
        <v>8.3885177320095696</v>
      </c>
      <c r="O105" s="30">
        <f>EXP(-rate* T/n) * ABS(q *P104 + OneMinq *P105)</f>
        <v>5.4720010622319757</v>
      </c>
      <c r="P105" s="30">
        <f>EXP(-rate* T/n) * ABS(q *Q104 + OneMinq *Q105)</f>
        <v>4.2126380387651858</v>
      </c>
      <c r="Q105" s="63">
        <f>ABS(CallPut*( Q42-K))</f>
        <v>6.0510389598662755</v>
      </c>
    </row>
    <row r="106" spans="2:17" x14ac:dyDescent="0.2">
      <c r="B106" s="62"/>
      <c r="C106" s="30"/>
      <c r="D106" s="30"/>
      <c r="E106" s="30"/>
      <c r="F106" s="30"/>
      <c r="G106" s="30"/>
      <c r="H106" s="30"/>
      <c r="I106" s="30">
        <f>EXP(-rate* T/n) * ABS(q *J105 + OneMinq *J106)</f>
        <v>21.793637259076618</v>
      </c>
      <c r="J106" s="30">
        <f>EXP(-rate* T/n) * ABS(q *K105 + OneMinq *K106)</f>
        <v>17.219246552194683</v>
      </c>
      <c r="K106" s="30">
        <f>EXP(-rate* T/n) * ABS(q *L105 + OneMinq *L106)</f>
        <v>13.138047041341745</v>
      </c>
      <c r="L106" s="30">
        <f>EXP(-rate* T/n) * ABS(q *M105 + OneMinq *M106)</f>
        <v>9.7440485003066044</v>
      </c>
      <c r="M106" s="30">
        <f>EXP(-rate* T/n) * ABS(q *N105 + OneMinq *N106)</f>
        <v>7.3337613942164355</v>
      </c>
      <c r="N106" s="30">
        <f>EXP(-rate* T/n) * ABS(q *O105 + OneMinq *O106)</f>
        <v>6.3151202025039224</v>
      </c>
      <c r="O106" s="30">
        <f>EXP(-rate* T/n) * ABS(q *P105 + OneMinq *P106)</f>
        <v>7.1373698395001659</v>
      </c>
      <c r="P106" s="30">
        <f>EXP(-rate* T/n) * ABS(q *Q105 + OneMinq *Q106)</f>
        <v>9.9800047216204604</v>
      </c>
      <c r="Q106" s="63">
        <f>ABS(CallPut*( Q43-K))</f>
        <v>13.798942289196276</v>
      </c>
    </row>
    <row r="107" spans="2:17" x14ac:dyDescent="0.2">
      <c r="B107" s="62"/>
      <c r="C107" s="30"/>
      <c r="D107" s="30"/>
      <c r="E107" s="30"/>
      <c r="F107" s="30"/>
      <c r="G107" s="30"/>
      <c r="H107" s="30">
        <f>EXP(-rate* T/n) * ABS(q *I106 + OneMinq *I107)</f>
        <v>17.844305694999345</v>
      </c>
      <c r="I107" s="30">
        <f>EXP(-rate* T/n) * ABS(q *J106 + OneMinq *J107)</f>
        <v>14.023884014818314</v>
      </c>
      <c r="J107" s="30">
        <f>EXP(-rate* T/n) * ABS(q *K106 + OneMinq *K107)</f>
        <v>10.932549315694068</v>
      </c>
      <c r="K107" s="30">
        <f>EXP(-rate* T/n) * ABS(q *L106 + OneMinq *L107)</f>
        <v>8.7996765908482093</v>
      </c>
      <c r="L107" s="30">
        <f>EXP(-rate* T/n) * ABS(q *M106 + OneMinq *M107)</f>
        <v>7.8891073364180588</v>
      </c>
      <c r="M107" s="30">
        <f>EXP(-rate* T/n) * ABS(q *N106 + OneMinq *N107)</f>
        <v>8.4331567770231501</v>
      </c>
      <c r="N107" s="30">
        <f>EXP(-rate* T/n) * ABS(q *O106 + OneMinq *O107)</f>
        <v>10.493884624088674</v>
      </c>
      <c r="O107" s="30">
        <f>EXP(-rate* T/n) * ABS(q *P106 + OneMinq *P107)</f>
        <v>13.757695070203702</v>
      </c>
      <c r="P107" s="30">
        <f>EXP(-rate* T/n) * ABS(q *Q106 + OneMinq *Q107)</f>
        <v>17.432327517536947</v>
      </c>
      <c r="Q107" s="63">
        <f>ABS(CallPut*( Q44-K))</f>
        <v>20.969350611361506</v>
      </c>
    </row>
    <row r="108" spans="2:17" x14ac:dyDescent="0.2">
      <c r="B108" s="62"/>
      <c r="C108" s="30"/>
      <c r="D108" s="30"/>
      <c r="E108" s="30"/>
      <c r="F108" s="30"/>
      <c r="G108" s="30">
        <f>EXP(-rate* T/n) * ABS(q *H107 + OneMinq *H108)</f>
        <v>14.874473582342493</v>
      </c>
      <c r="H108" s="30">
        <f>EXP(-rate* T/n) * ABS(q *I107 + OneMinq *I108)</f>
        <v>12.002535899950109</v>
      </c>
      <c r="I108" s="30">
        <f>EXP(-rate* T/n) * ABS(q *J107 + OneMinq *J108)</f>
        <v>10.049051386381509</v>
      </c>
      <c r="J108" s="30">
        <f>EXP(-rate* T/n) * ABS(q *K107 + OneMinq *K108)</f>
        <v>9.1983704987445609</v>
      </c>
      <c r="K108" s="30">
        <f>EXP(-rate* T/n) * ABS(q *L107 + OneMinq *L108)</f>
        <v>9.5912762648529934</v>
      </c>
      <c r="L108" s="30">
        <f>EXP(-rate* T/n) * ABS(q *M107 + OneMinq *M108)</f>
        <v>11.249237227332966</v>
      </c>
      <c r="M108" s="30">
        <f>EXP(-rate* T/n) * ABS(q *N107 + OneMinq *N108)</f>
        <v>13.989145787226592</v>
      </c>
      <c r="N108" s="30">
        <f>EXP(-rate* T/n) * ABS(q *O107 + OneMinq *O108)</f>
        <v>17.38988158604414</v>
      </c>
      <c r="O108" s="30">
        <f>EXP(-rate* T/n) * ABS(q *P107 + OneMinq *P108)</f>
        <v>20.925713654573304</v>
      </c>
      <c r="P108" s="30">
        <f>EXP(-rate* T/n) * ABS(q *Q107 + OneMinq *Q108)</f>
        <v>24.329186593335731</v>
      </c>
      <c r="Q108" s="63">
        <f>ABS(CallPut*( Q45-K))</f>
        <v>27.605307891822619</v>
      </c>
    </row>
    <row r="109" spans="2:17" x14ac:dyDescent="0.2">
      <c r="B109" s="62"/>
      <c r="C109" s="30"/>
      <c r="D109" s="30"/>
      <c r="E109" s="30"/>
      <c r="F109" s="30">
        <f>EXP(-rate* T/n) * ABS(q *G108 + OneMinq *G109)</f>
        <v>12.982901531425577</v>
      </c>
      <c r="G109" s="30">
        <f>EXP(-rate* T/n) * ABS(q *H108 + OneMinq *H109)</f>
        <v>11.155986233875895</v>
      </c>
      <c r="H109" s="30">
        <f>EXP(-rate* T/n) * ABS(q *I108 + OneMinq *I109)</f>
        <v>10.341884375468716</v>
      </c>
      <c r="I109" s="30">
        <f>EXP(-rate* T/n) * ABS(q *J108 + OneMinq *J109)</f>
        <v>10.632821583305999</v>
      </c>
      <c r="J109" s="30">
        <f>EXP(-rate* T/n) * ABS(q *K108 + OneMinq *K109)</f>
        <v>12.031692849415553</v>
      </c>
      <c r="K109" s="30">
        <f>EXP(-rate* T/n) * ABS(q *L108 + OneMinq *L109)</f>
        <v>14.407598573231441</v>
      </c>
      <c r="L109" s="30">
        <f>EXP(-rate* T/n) * ABS(q *M108 + OneMinq *M109)</f>
        <v>17.481706233663623</v>
      </c>
      <c r="M109" s="30">
        <f>EXP(-rate* T/n) * ABS(q *N108 + OneMinq *N109)</f>
        <v>20.882115665096478</v>
      </c>
      <c r="N109" s="30">
        <f>EXP(-rate* T/n) * ABS(q *O108 + OneMinq *O109)</f>
        <v>24.284442091933922</v>
      </c>
      <c r="O109" s="30">
        <f>EXP(-rate* T/n) * ABS(q *P108 + OneMinq *P109)</f>
        <v>27.559459317897598</v>
      </c>
      <c r="P109" s="30">
        <f>EXP(-rate* T/n) * ABS(q *Q108 + OneMinq *Q109)</f>
        <v>30.711983798187376</v>
      </c>
      <c r="Q109" s="63">
        <f>ABS(CallPut*( Q46-K))</f>
        <v>33.746649786116222</v>
      </c>
    </row>
    <row r="110" spans="2:17" x14ac:dyDescent="0.2">
      <c r="B110" s="62"/>
      <c r="C110" s="30"/>
      <c r="D110" s="30"/>
      <c r="E110" s="30">
        <f>EXP(-rate* T/n) * ABS(q *F109 + OneMinq *F110)</f>
        <v>12.159828810178771</v>
      </c>
      <c r="F110" s="30">
        <f>EXP(-rate* T/n) * ABS(q *G109 + OneMinq *G110)</f>
        <v>11.369166676244262</v>
      </c>
      <c r="G110" s="30">
        <f>EXP(-rate* T/n) * ABS(q *H109 + OneMinq *H110)</f>
        <v>11.583489668010806</v>
      </c>
      <c r="H110" s="30">
        <f>EXP(-rate* T/n) * ABS(q *I109 + OneMinq *I110)</f>
        <v>12.795861920825418</v>
      </c>
      <c r="I110" s="30">
        <f>EXP(-rate* T/n) * ABS(q *J109 + OneMinq *J110)</f>
        <v>14.903123933843975</v>
      </c>
      <c r="J110" s="30">
        <f>EXP(-rate* T/n) * ABS(q *K109 + OneMinq *K110)</f>
        <v>17.699140896548702</v>
      </c>
      <c r="K110" s="30">
        <f>EXP(-rate* T/n) * ABS(q *L109 + OneMinq *L110)</f>
        <v>20.904639830406087</v>
      </c>
      <c r="L110" s="30">
        <f>EXP(-rate* T/n) * ABS(q *M109 + OneMinq *M110)</f>
        <v>24.239736918823503</v>
      </c>
      <c r="M110" s="30">
        <f>EXP(-rate* T/n) * ABS(q *N109 + OneMinq *N110)</f>
        <v>27.513650448366814</v>
      </c>
      <c r="N110" s="30">
        <f>EXP(-rate* T/n) * ABS(q *O109 + OneMinq *O110)</f>
        <v>30.665112052277738</v>
      </c>
      <c r="O110" s="30">
        <f>EXP(-rate* T/n) * ABS(q *P109 + OneMinq *P110)</f>
        <v>33.698754439374198</v>
      </c>
      <c r="P110" s="30">
        <f>EXP(-rate* T/n) * ABS(q *Q109 + OneMinq *Q110)</f>
        <v>36.619035067542718</v>
      </c>
      <c r="Q110" s="63">
        <f>ABS(CallPut*( Q47-K))</f>
        <v>39.43024277331898</v>
      </c>
    </row>
    <row r="111" spans="2:17" x14ac:dyDescent="0.2">
      <c r="B111" s="62"/>
      <c r="C111" s="30"/>
      <c r="D111" s="30">
        <f>EXP(-rate* T/n) * ABS(q *E110 + OneMinq *E111)</f>
        <v>12.309120501944323</v>
      </c>
      <c r="E111" s="30">
        <f>EXP(-rate* T/n) * ABS(q *F110 + OneMinq *F111)</f>
        <v>12.462067951016932</v>
      </c>
      <c r="F111" s="30">
        <f>EXP(-rate* T/n) * ABS(q *G110 + OneMinq *G111)</f>
        <v>13.530725794453874</v>
      </c>
      <c r="G111" s="30">
        <f>EXP(-rate* T/n) * ABS(q *H110 + OneMinq *H111)</f>
        <v>15.42906986001066</v>
      </c>
      <c r="H111" s="30">
        <f>EXP(-rate* T/n) * ABS(q *I110 + OneMinq *I111)</f>
        <v>17.994277941366033</v>
      </c>
      <c r="I111" s="30">
        <f>EXP(-rate* T/n) * ABS(q *J110 + OneMinq *J111)</f>
        <v>21.005528538288281</v>
      </c>
      <c r="J111" s="30">
        <f>EXP(-rate* T/n) * ABS(q *K110 + OneMinq *K111)</f>
        <v>24.227604203524486</v>
      </c>
      <c r="K111" s="30">
        <f>EXP(-rate* T/n) * ABS(q *L110 + OneMinq *L111)</f>
        <v>27.467881253720382</v>
      </c>
      <c r="L111" s="30">
        <f>EXP(-rate* T/n) * ABS(q *M110 + OneMinq *M111)</f>
        <v>30.618280343622818</v>
      </c>
      <c r="M111" s="30">
        <f>EXP(-rate* T/n) * ABS(q *N110 + OneMinq *N111)</f>
        <v>33.650899479170313</v>
      </c>
      <c r="N111" s="30">
        <f>EXP(-rate* T/n) * ABS(q *O110 + OneMinq *O111)</f>
        <v>36.570194632676341</v>
      </c>
      <c r="O111" s="30">
        <f>EXP(-rate* T/n) * ABS(q *P110 + OneMinq *P111)</f>
        <v>39.380453211301308</v>
      </c>
      <c r="P111" s="30">
        <f>EXP(-rate* T/n) * ABS(q *Q110 + OneMinq *Q111)</f>
        <v>42.085800433716287</v>
      </c>
      <c r="Q111" s="63">
        <f>ABS(CallPut*( Q48-K))</f>
        <v>44.690205465543571</v>
      </c>
    </row>
    <row r="112" spans="2:17" x14ac:dyDescent="0.2">
      <c r="B112" s="62"/>
      <c r="C112" s="30">
        <f>EXP(-rate* T/n) * ABS(q *D111 + OneMinq *D112)</f>
        <v>13.281995349213377</v>
      </c>
      <c r="D112" s="30">
        <f>EXP(-rate* T/n) * ABS(q *E111 + OneMinq *E112)</f>
        <v>14.234726898621625</v>
      </c>
      <c r="E112" s="30">
        <f>EXP(-rate* T/n) * ABS(q *F111 + OneMinq *F112)</f>
        <v>15.964136448972601</v>
      </c>
      <c r="F112" s="30">
        <f>EXP(-rate* T/n) * ABS(q *G111 + OneMinq *G112)</f>
        <v>18.335827293056884</v>
      </c>
      <c r="G112" s="30">
        <f>EXP(-rate* T/n) * ABS(q *H111 + OneMinq *H112)</f>
        <v>21.168377260158703</v>
      </c>
      <c r="H112" s="30">
        <f>EXP(-rate* T/n) * ABS(q *I111 + OneMinq *I112)</f>
        <v>24.262196957006541</v>
      </c>
      <c r="I112" s="30">
        <f>EXP(-rate* T/n) * ABS(q *J111 + OneMinq *J112)</f>
        <v>27.438167971233643</v>
      </c>
      <c r="J112" s="30">
        <f>EXP(-rate* T/n) * ABS(q *K111 + OneMinq *K112)</f>
        <v>30.571488642607228</v>
      </c>
      <c r="K112" s="30">
        <f>EXP(-rate* T/n) * ABS(q *L111 + OneMinq *L112)</f>
        <v>33.603084875767344</v>
      </c>
      <c r="L112" s="30">
        <f>EXP(-rate* T/n) * ABS(q *M111 + OneMinq *M112)</f>
        <v>36.521394891184983</v>
      </c>
      <c r="M112" s="30">
        <f>EXP(-rate* T/n) * ABS(q *N111 + OneMinq *N112)</f>
        <v>39.33070466712163</v>
      </c>
      <c r="N112" s="30">
        <f>EXP(-rate* T/n) * ABS(q *O111 + OneMinq *O112)</f>
        <v>42.035138047403301</v>
      </c>
      <c r="O112" s="30">
        <f>EXP(-rate* T/n) * ABS(q *P111 + OneMinq *P112)</f>
        <v>44.638662874816163</v>
      </c>
      <c r="P112" s="30">
        <f>EXP(-rate* T/n) * ABS(q *Q111 + OneMinq *Q112)</f>
        <v>47.145096892481639</v>
      </c>
      <c r="Q112" s="63">
        <f>ABS(CallPut*( Q49-K))</f>
        <v>49.558113421987763</v>
      </c>
    </row>
    <row r="113" spans="2:17" x14ac:dyDescent="0.2">
      <c r="B113" s="36">
        <f>EXP(-rate* T/n) * ABS(q *C112 + OneMinq *C113)</f>
        <v>14.909214737382172</v>
      </c>
      <c r="C113" s="30">
        <f>EXP(-rate* T/n) * ABS(q *D112 + OneMinq *D113)</f>
        <v>16.497943406672309</v>
      </c>
      <c r="D113" s="30">
        <f>EXP(-rate* T/n) * ABS(q *E112 + OneMinq *E113)</f>
        <v>18.704840912514733</v>
      </c>
      <c r="E113" s="30">
        <f>EXP(-rate* T/n) * ABS(q *F112 + OneMinq *F113)</f>
        <v>21.37650758720071</v>
      </c>
      <c r="F113" s="30">
        <f>EXP(-rate* T/n) * ABS(q *G112 + OneMinq *G113)</f>
        <v>24.341003910001177</v>
      </c>
      <c r="G113" s="30">
        <f>EXP(-rate* T/n) * ABS(q *H112 + OneMinq *H113)</f>
        <v>27.435478687679598</v>
      </c>
      <c r="H113" s="30">
        <f>EXP(-rate* T/n) * ABS(q *I112 + OneMinq *I113)</f>
        <v>30.532621822601552</v>
      </c>
      <c r="I113" s="30">
        <f>EXP(-rate* T/n) * ABS(q *J112 + OneMinq *J113)</f>
        <v>33.555310599448823</v>
      </c>
      <c r="J113" s="30">
        <f>EXP(-rate* T/n) * ABS(q *K112 + OneMinq *K113)</f>
        <v>36.472635813234575</v>
      </c>
      <c r="K113" s="30">
        <f>EXP(-rate* T/n) * ABS(q *L112 + OneMinq *L113)</f>
        <v>39.280997110832359</v>
      </c>
      <c r="L113" s="30">
        <f>EXP(-rate* T/n) * ABS(q *M112 + OneMinq *M113)</f>
        <v>41.984516961681273</v>
      </c>
      <c r="M113" s="30">
        <f>EXP(-rate* T/n) * ABS(q *N112 + OneMinq *N113)</f>
        <v>44.587161886172304</v>
      </c>
      <c r="N113" s="30">
        <f>EXP(-rate* T/n) * ABS(q *O112 + OneMinq *O113)</f>
        <v>47.092748355056528</v>
      </c>
      <c r="O113" s="30">
        <f>EXP(-rate* T/n) * ABS(q *P112 + OneMinq *P113)</f>
        <v>49.504948465684144</v>
      </c>
      <c r="P113" s="30">
        <f>EXP(-rate* T/n) * ABS(q *Q112 + OneMinq *Q113)</f>
        <v>51.827295403516658</v>
      </c>
      <c r="Q113" s="63">
        <f>ABS(CallPut*( Q50-K))</f>
        <v>54.063188697035102</v>
      </c>
    </row>
    <row r="114" spans="2:17" x14ac:dyDescent="0.2">
      <c r="B114" s="62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68"/>
      <c r="O114" s="68"/>
      <c r="P114" s="68"/>
      <c r="Q114" s="71"/>
    </row>
    <row r="115" spans="2:17" ht="13.5" thickBot="1" x14ac:dyDescent="0.25">
      <c r="B115" s="65">
        <v>0</v>
      </c>
      <c r="C115" s="66">
        <v>1</v>
      </c>
      <c r="D115" s="66">
        <v>2</v>
      </c>
      <c r="E115" s="66">
        <v>3</v>
      </c>
      <c r="F115" s="66">
        <v>4</v>
      </c>
      <c r="G115" s="66">
        <v>5</v>
      </c>
      <c r="H115" s="66">
        <v>6</v>
      </c>
      <c r="I115" s="66">
        <v>7</v>
      </c>
      <c r="J115" s="66">
        <v>8</v>
      </c>
      <c r="K115" s="66">
        <v>9</v>
      </c>
      <c r="L115" s="66">
        <v>10</v>
      </c>
      <c r="M115" s="66">
        <v>11</v>
      </c>
      <c r="N115" s="66">
        <v>12</v>
      </c>
      <c r="O115" s="66">
        <v>13</v>
      </c>
      <c r="P115" s="66">
        <v>14</v>
      </c>
      <c r="Q115" s="67">
        <v>15</v>
      </c>
    </row>
  </sheetData>
  <dataConsolidate/>
  <mergeCells count="8">
    <mergeCell ref="B97:C97"/>
    <mergeCell ref="B76:C76"/>
    <mergeCell ref="A1:B1"/>
    <mergeCell ref="E1:F1"/>
    <mergeCell ref="I1:J1"/>
    <mergeCell ref="B13:C13"/>
    <mergeCell ref="B34:C34"/>
    <mergeCell ref="B55:C55"/>
  </mergeCells>
  <dataValidations count="2">
    <dataValidation type="list" allowBlank="1" showInputMessage="1" showErrorMessage="1" sqref="J2" xr:uid="{B7CF9C86-0B28-4298-91B6-3E06D3547833}">
      <formula1>"1, -1"</formula1>
    </dataValidation>
    <dataValidation type="list" allowBlank="1" showInputMessage="1" showErrorMessage="1" sqref="J5 H5" xr:uid="{3175F9C7-CDEA-48A9-B68F-83B2EE41F167}">
      <formula1>"European, American"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74"/>
  <sheetViews>
    <sheetView showGridLines="0" tabSelected="1" topLeftCell="A32" zoomScaleNormal="100" workbookViewId="0">
      <selection activeCell="I65" sqref="I65"/>
    </sheetView>
  </sheetViews>
  <sheetFormatPr baseColWidth="10" defaultColWidth="9.140625" defaultRowHeight="12.75" x14ac:dyDescent="0.2"/>
  <cols>
    <col min="1" max="1" width="10.42578125" style="1" bestFit="1" customWidth="1"/>
    <col min="2" max="6" width="9.140625" style="1"/>
    <col min="7" max="7" width="10.28515625" style="1" bestFit="1" customWidth="1"/>
    <col min="8" max="8" width="9.140625" style="1"/>
    <col min="9" max="9" width="10.28515625" style="1" bestFit="1" customWidth="1"/>
    <col min="10" max="16384" width="9.140625" style="1"/>
  </cols>
  <sheetData>
    <row r="1" spans="1:14" ht="13.5" thickBot="1" x14ac:dyDescent="0.25">
      <c r="A1" s="73" t="s">
        <v>0</v>
      </c>
      <c r="B1" s="74"/>
      <c r="E1" s="73" t="s">
        <v>18</v>
      </c>
      <c r="F1" s="74"/>
      <c r="I1" s="73" t="s">
        <v>1</v>
      </c>
      <c r="J1" s="74"/>
    </row>
    <row r="2" spans="1:14" ht="13.5" thickBot="1" x14ac:dyDescent="0.25">
      <c r="A2" s="3" t="s">
        <v>2</v>
      </c>
      <c r="B2" s="4">
        <v>100</v>
      </c>
      <c r="E2" s="39" t="s">
        <v>19</v>
      </c>
      <c r="F2" s="40">
        <v>10</v>
      </c>
      <c r="I2" s="41" t="s">
        <v>20</v>
      </c>
      <c r="J2" s="42">
        <v>1</v>
      </c>
    </row>
    <row r="3" spans="1:14" ht="15" x14ac:dyDescent="0.25">
      <c r="A3" s="7" t="s">
        <v>4</v>
      </c>
      <c r="B3" s="8">
        <v>0.25</v>
      </c>
      <c r="D3" s="9"/>
      <c r="I3" s="43" t="s">
        <v>3</v>
      </c>
      <c r="J3" s="11">
        <v>110</v>
      </c>
    </row>
    <row r="4" spans="1:14" ht="15" x14ac:dyDescent="0.25">
      <c r="A4" s="7" t="s">
        <v>5</v>
      </c>
      <c r="B4" s="10">
        <v>0.3</v>
      </c>
      <c r="D4" s="9"/>
      <c r="I4" s="43" t="s">
        <v>19</v>
      </c>
      <c r="J4" s="11">
        <v>10</v>
      </c>
    </row>
    <row r="5" spans="1:14" ht="13.5" thickBot="1" x14ac:dyDescent="0.25">
      <c r="A5" s="7" t="s">
        <v>6</v>
      </c>
      <c r="B5" s="11">
        <v>15</v>
      </c>
      <c r="D5" s="12"/>
      <c r="G5" s="17"/>
      <c r="H5" s="17"/>
      <c r="I5" s="44" t="s">
        <v>21</v>
      </c>
      <c r="J5" s="45" t="s">
        <v>35</v>
      </c>
    </row>
    <row r="6" spans="1:14" ht="15" x14ac:dyDescent="0.25">
      <c r="A6" s="7" t="s">
        <v>22</v>
      </c>
      <c r="B6" s="46">
        <v>0.02</v>
      </c>
      <c r="D6" s="12"/>
    </row>
    <row r="7" spans="1:14" ht="15.75" thickBot="1" x14ac:dyDescent="0.3">
      <c r="A7" s="47" t="s">
        <v>23</v>
      </c>
      <c r="B7" s="48">
        <v>0.01</v>
      </c>
    </row>
    <row r="8" spans="1:14" x14ac:dyDescent="0.2">
      <c r="A8" s="13" t="s">
        <v>8</v>
      </c>
      <c r="B8" s="14">
        <f>EXP(B4*SQRT(B3/B5))</f>
        <v>1.0394896104013376</v>
      </c>
    </row>
    <row r="9" spans="1:14" x14ac:dyDescent="0.2">
      <c r="A9" s="15" t="s">
        <v>9</v>
      </c>
      <c r="B9" s="16">
        <f>1/B8</f>
        <v>0.96201057710803761</v>
      </c>
    </row>
    <row r="10" spans="1:14" x14ac:dyDescent="0.2">
      <c r="A10" s="15" t="s">
        <v>10</v>
      </c>
      <c r="B10" s="18">
        <f>(EXP((B6 - B7) * B3/B5) - B9) / (B8 - B9)</f>
        <v>0.49247005062451049</v>
      </c>
      <c r="D10" s="21"/>
      <c r="F10" s="17"/>
      <c r="G10" s="17"/>
    </row>
    <row r="11" spans="1:14" ht="13.5" thickBot="1" x14ac:dyDescent="0.25">
      <c r="A11" s="19" t="s">
        <v>11</v>
      </c>
      <c r="B11" s="20">
        <f>1 - B10</f>
        <v>0.50752994937548945</v>
      </c>
      <c r="D11" s="21"/>
      <c r="F11" s="17"/>
      <c r="G11" s="17"/>
    </row>
    <row r="12" spans="1:14" ht="13.5" thickBot="1" x14ac:dyDescent="0.25"/>
    <row r="13" spans="1:14" ht="13.5" thickBot="1" x14ac:dyDescent="0.25">
      <c r="A13" s="22"/>
      <c r="B13" s="77" t="s">
        <v>12</v>
      </c>
      <c r="C13" s="78"/>
      <c r="D13" s="23"/>
      <c r="E13" s="23"/>
      <c r="F13" s="23"/>
      <c r="G13" s="23"/>
      <c r="H13" s="23"/>
      <c r="I13" s="23"/>
      <c r="J13" s="23"/>
      <c r="K13" s="23"/>
      <c r="L13" s="24"/>
      <c r="M13" s="22"/>
      <c r="N13" s="22"/>
    </row>
    <row r="14" spans="1:14" x14ac:dyDescent="0.2">
      <c r="A14" s="22"/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1">
        <f>B2 * (B8 ^ (10)) * (B9 ^ (0))</f>
        <v>147.29958713933712</v>
      </c>
      <c r="M14" s="22"/>
      <c r="N14" s="22"/>
    </row>
    <row r="15" spans="1:14" x14ac:dyDescent="0.2">
      <c r="A15" s="22"/>
      <c r="B15" s="29"/>
      <c r="C15" s="30"/>
      <c r="D15" s="30"/>
      <c r="E15" s="30"/>
      <c r="F15" s="30"/>
      <c r="G15" s="30"/>
      <c r="H15" s="30"/>
      <c r="I15" s="30"/>
      <c r="J15" s="30"/>
      <c r="K15" s="30">
        <f>B2 * (B8 ^ (9)) * (B9 ^ (0))</f>
        <v>141.70376083168941</v>
      </c>
      <c r="L15" s="31">
        <f>B2 * (B8 ^ (9)) * (B9 ^ (1))</f>
        <v>136.32051673607288</v>
      </c>
      <c r="M15" s="22"/>
      <c r="N15" s="22"/>
    </row>
    <row r="16" spans="1:14" x14ac:dyDescent="0.2">
      <c r="A16" s="22"/>
      <c r="B16" s="29"/>
      <c r="C16" s="30"/>
      <c r="D16" s="30"/>
      <c r="E16" s="30"/>
      <c r="F16" s="30"/>
      <c r="G16" s="30"/>
      <c r="H16" s="30"/>
      <c r="I16" s="30"/>
      <c r="J16" s="30">
        <f>B2 * (B8 ^ (8)) * (B9 ^ (0))</f>
        <v>136.32051673607288</v>
      </c>
      <c r="K16" s="30">
        <f>B2 * (B8 ^ (8)) * (B9 ^ (1))</f>
        <v>131.14177897693537</v>
      </c>
      <c r="L16" s="31">
        <f>B2 * (B8 ^ (8)) * (B9 ^ (2))</f>
        <v>126.15977847657631</v>
      </c>
      <c r="M16" s="22"/>
      <c r="N16" s="22"/>
    </row>
    <row r="17" spans="1:14" x14ac:dyDescent="0.2">
      <c r="A17" s="22"/>
      <c r="B17" s="29"/>
      <c r="C17" s="30"/>
      <c r="D17" s="30"/>
      <c r="E17" s="30"/>
      <c r="F17" s="30"/>
      <c r="G17" s="30"/>
      <c r="H17" s="30"/>
      <c r="I17" s="30">
        <f>B2 * (B8 ^ (7)) * (B9 ^ (0))</f>
        <v>131.14177897693537</v>
      </c>
      <c r="J17" s="30">
        <f>B2 * (B8 ^ (7)) * (B9 ^ (1))</f>
        <v>126.15977847657631</v>
      </c>
      <c r="K17" s="30">
        <f>B2 * (B8 ^ (7)) * (B9 ^ (2))</f>
        <v>121.36704130007335</v>
      </c>
      <c r="L17" s="31">
        <f>B2 * (B8 ^ (7)) * (B9 ^ (3))</f>
        <v>116.7563774429786</v>
      </c>
      <c r="M17" s="22"/>
      <c r="N17" s="22"/>
    </row>
    <row r="18" spans="1:14" x14ac:dyDescent="0.2">
      <c r="A18" s="22"/>
      <c r="B18" s="29"/>
      <c r="C18" s="30"/>
      <c r="D18" s="30"/>
      <c r="E18" s="30"/>
      <c r="F18" s="30"/>
      <c r="G18" s="30"/>
      <c r="H18" s="30">
        <f>B2 * (B8 ^ (6)) * (B9 ^ (0))</f>
        <v>126.15977847657631</v>
      </c>
      <c r="I18" s="30">
        <f>B2 * (B8 ^ (6)) * (B9 ^ (1))</f>
        <v>121.36704130007335</v>
      </c>
      <c r="J18" s="30">
        <f>B2 * (B8 ^ (6)) * (B9 ^ (2))</f>
        <v>116.7563774429786</v>
      </c>
      <c r="K18" s="30">
        <f>B2 * (B8 ^ (6)) * (B9 ^ (3))</f>
        <v>112.3208700449637</v>
      </c>
      <c r="L18" s="31">
        <f>B2 * (B8 ^ (6)) * (B9 ^ (4))</f>
        <v>108.05386501323244</v>
      </c>
      <c r="M18" s="22"/>
      <c r="N18" s="22"/>
    </row>
    <row r="19" spans="1:14" x14ac:dyDescent="0.2">
      <c r="A19" s="22"/>
      <c r="B19" s="29"/>
      <c r="C19" s="30"/>
      <c r="D19" s="30"/>
      <c r="E19" s="30"/>
      <c r="F19" s="30"/>
      <c r="G19" s="30">
        <f>B2 * (B8 ^ (5)) * (B9 ^ (0))</f>
        <v>121.36704130007337</v>
      </c>
      <c r="H19" s="30">
        <f>B2 * (B8 ^ (5)) * (B9 ^ (1))</f>
        <v>116.75637744297862</v>
      </c>
      <c r="I19" s="30">
        <f>B2 * (B8 ^ (5)) * (B9 ^ (2))</f>
        <v>112.32087004496373</v>
      </c>
      <c r="J19" s="30">
        <f>B2 * (B8 ^ (5)) * (B9 ^ (3))</f>
        <v>108.05386501323244</v>
      </c>
      <c r="K19" s="30">
        <f>B2 * (B8 ^ (5)) * (B9 ^ (4))</f>
        <v>103.94896104013374</v>
      </c>
      <c r="L19" s="31">
        <f>B2 * (B8 ^ (5)) * (B9 ^ (5))</f>
        <v>99.999999999999972</v>
      </c>
      <c r="M19" s="22"/>
      <c r="N19" s="22"/>
    </row>
    <row r="20" spans="1:14" x14ac:dyDescent="0.2">
      <c r="A20" s="22"/>
      <c r="B20" s="29"/>
      <c r="C20" s="30"/>
      <c r="D20" s="30"/>
      <c r="E20" s="30"/>
      <c r="F20" s="30">
        <f>B2 * (B8 ^ (4)) * (B9 ^ (0))</f>
        <v>116.75637744297862</v>
      </c>
      <c r="G20" s="30">
        <f>B2 * (B8 ^ (4)) * (B9 ^ (1))</f>
        <v>112.32087004496373</v>
      </c>
      <c r="H20" s="30">
        <f>B2 * (B8 ^ (4)) * (B9 ^ (2))</f>
        <v>108.05386501323244</v>
      </c>
      <c r="I20" s="30">
        <f>B2 * (B8 ^ (4)) * (B9 ^ (3))</f>
        <v>103.94896104013374</v>
      </c>
      <c r="J20" s="30">
        <f>B2 * (B8 ^ (4)) * (B9 ^ (4))</f>
        <v>99.999999999999972</v>
      </c>
      <c r="K20" s="30">
        <f>B2 * (B8 ^ (4)) * (B9 ^ (5))</f>
        <v>96.201057710803738</v>
      </c>
      <c r="L20" s="31">
        <f>B2 * (B8 ^ (4)) * (B9 ^ (6))</f>
        <v>92.546435046773937</v>
      </c>
      <c r="M20" s="22"/>
      <c r="N20" s="22"/>
    </row>
    <row r="21" spans="1:14" x14ac:dyDescent="0.2">
      <c r="A21" s="22"/>
      <c r="B21" s="29"/>
      <c r="C21" s="30"/>
      <c r="D21" s="30"/>
      <c r="E21" s="30">
        <f>B2 * (B8 ^ (3)) * (B9 ^ (0))</f>
        <v>112.32087004496374</v>
      </c>
      <c r="F21" s="30">
        <f>B2 * (B8 ^ (3)) * (B9 ^ (1))</f>
        <v>108.05386501323247</v>
      </c>
      <c r="G21" s="30">
        <f>B2 * (B8 ^ (3)) * (B9 ^ (2))</f>
        <v>103.94896104013375</v>
      </c>
      <c r="H21" s="30">
        <f>B2 * (B8 ^ (3)) * (B9 ^ (3))</f>
        <v>99.999999999999986</v>
      </c>
      <c r="I21" s="30">
        <f>B2 * (B8 ^ (3)) * (B9 ^ (4))</f>
        <v>96.201057710803752</v>
      </c>
      <c r="J21" s="30">
        <f>B2 * (B8 ^ (3)) * (B9 ^ (5))</f>
        <v>92.546435046773951</v>
      </c>
      <c r="K21" s="30">
        <f>B2 * (B8 ^ (3)) * (B9 ^ (6))</f>
        <v>89.030649388638523</v>
      </c>
      <c r="L21" s="31">
        <f>B2 * (B8 ^ (3)) * (B9 ^ (7))</f>
        <v>85.648426398667496</v>
      </c>
      <c r="M21" s="22"/>
      <c r="N21" s="22"/>
    </row>
    <row r="22" spans="1:14" x14ac:dyDescent="0.2">
      <c r="A22" s="22"/>
      <c r="B22" s="29"/>
      <c r="C22" s="30"/>
      <c r="D22" s="30">
        <f>B2 * (B8 ^ (2)) * (B9 ^ (0))</f>
        <v>108.05386501323247</v>
      </c>
      <c r="E22" s="30">
        <f>B2 * (B8 ^ (2)) * (B9 ^ (1))</f>
        <v>103.94896104013377</v>
      </c>
      <c r="F22" s="30">
        <f>B2 * (B8 ^ (2)) * (B9 ^ (2))</f>
        <v>100</v>
      </c>
      <c r="G22" s="30">
        <f>B2 * (B8 ^ (2)) * (B9 ^ (3))</f>
        <v>96.201057710803752</v>
      </c>
      <c r="H22" s="30">
        <f>B2 * (B8 ^ (2)) * (B9 ^ (4))</f>
        <v>92.546435046773951</v>
      </c>
      <c r="I22" s="30">
        <f>B2 * (B8 ^ (2)) * (B9 ^ (5))</f>
        <v>89.030649388638523</v>
      </c>
      <c r="J22" s="30">
        <f>B2 * (B8 ^ (2)) * (B9 ^ (6))</f>
        <v>85.648426398667496</v>
      </c>
      <c r="K22" s="30">
        <f>B2 * (B8 ^ (2)) * (B9 ^ (7))</f>
        <v>82.394692108177409</v>
      </c>
      <c r="L22" s="31">
        <f>B2 * (B8 ^ (2)) * (B9 ^ (8))</f>
        <v>79.264565305626817</v>
      </c>
      <c r="M22" s="22"/>
      <c r="N22" s="22"/>
    </row>
    <row r="23" spans="1:14" x14ac:dyDescent="0.2">
      <c r="A23" s="22"/>
      <c r="B23" s="29"/>
      <c r="C23" s="30">
        <f>B2 * (B8 ^ (1)) * (B9 ^ (0))</f>
        <v>103.94896104013375</v>
      </c>
      <c r="D23" s="30">
        <f>B2 * (B8 ^ (1)) * (B9 ^ (1))</f>
        <v>99.999999999999986</v>
      </c>
      <c r="E23" s="30">
        <f>B2 * (B8 ^ (1)) * (B9 ^ (2))</f>
        <v>96.201057710803752</v>
      </c>
      <c r="F23" s="30">
        <f>B2 * (B8 ^ (1)) * (B9 ^ (3))</f>
        <v>92.546435046773937</v>
      </c>
      <c r="G23" s="30">
        <f>B2 * (B8 ^ (1)) * (B9 ^ (4))</f>
        <v>89.030649388638523</v>
      </c>
      <c r="H23" s="30">
        <f>B2 * (B8 ^ (1)) * (B9 ^ (5))</f>
        <v>85.648426398667496</v>
      </c>
      <c r="I23" s="30">
        <f>B2 * (B8 ^ (1)) * (B9 ^ (6))</f>
        <v>82.394692108177395</v>
      </c>
      <c r="J23" s="30">
        <f>B2 * (B8 ^ (1)) * (B9 ^ (7))</f>
        <v>79.264565305626817</v>
      </c>
      <c r="K23" s="30">
        <f>B2 * (B8 ^ (1)) * (B9 ^ (8))</f>
        <v>76.253350213883792</v>
      </c>
      <c r="L23" s="31">
        <f>B2 * (B8 ^ (1)) * (B9 ^ (9))</f>
        <v>73.356529445679655</v>
      </c>
      <c r="M23" s="22"/>
      <c r="N23" s="22"/>
    </row>
    <row r="24" spans="1:14" x14ac:dyDescent="0.2">
      <c r="A24" s="22"/>
      <c r="B24" s="29">
        <f>B2 * (B8 ^ (0)) * (B9 ^ (0))</f>
        <v>100</v>
      </c>
      <c r="C24" s="30">
        <f>B2 * (B8 ^ (0)) * (B9 ^ (1))</f>
        <v>96.201057710803767</v>
      </c>
      <c r="D24" s="30">
        <f>B2 * (B8 ^ (0)) * (B9 ^ (2))</f>
        <v>92.546435046773951</v>
      </c>
      <c r="E24" s="30">
        <f>B2 * (B8 ^ (0)) * (B9 ^ (3))</f>
        <v>89.030649388638523</v>
      </c>
      <c r="F24" s="30">
        <f>B2 * (B8 ^ (0)) * (B9 ^ (4))</f>
        <v>85.64842639866751</v>
      </c>
      <c r="G24" s="30">
        <f>B2 * (B8 ^ (0)) * (B9 ^ (5))</f>
        <v>82.394692108177409</v>
      </c>
      <c r="H24" s="30">
        <f>B2 * (B8 ^ (0)) * (B9 ^ (6))</f>
        <v>79.264565305626817</v>
      </c>
      <c r="I24" s="30">
        <f>B2 * (B8 ^ (0)) * (B9 ^ (7))</f>
        <v>76.253350213883792</v>
      </c>
      <c r="J24" s="30">
        <f>B2 * (B8 ^ (0)) * (B9 ^ (8))</f>
        <v>73.356529445679655</v>
      </c>
      <c r="K24" s="30">
        <f>B2 * (B8 ^ (0)) * (B9 ^ (9))</f>
        <v>70.569757226681034</v>
      </c>
      <c r="L24" s="31">
        <f>B2 * (B8 ^ (0)) * (B9 ^ (10))</f>
        <v>67.88885287601353</v>
      </c>
      <c r="M24" s="22"/>
      <c r="N24" s="22"/>
    </row>
    <row r="25" spans="1:14" x14ac:dyDescent="0.2">
      <c r="A25" s="22"/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1"/>
      <c r="M25" s="22"/>
      <c r="N25" s="22"/>
    </row>
    <row r="26" spans="1:14" ht="13.5" thickBot="1" x14ac:dyDescent="0.25">
      <c r="A26" s="28"/>
      <c r="B26" s="32" t="s">
        <v>13</v>
      </c>
      <c r="C26" s="33" t="s">
        <v>14</v>
      </c>
      <c r="D26" s="33" t="s">
        <v>15</v>
      </c>
      <c r="E26" s="33" t="s">
        <v>16</v>
      </c>
      <c r="F26" s="33" t="s">
        <v>24</v>
      </c>
      <c r="G26" s="33" t="s">
        <v>25</v>
      </c>
      <c r="H26" s="33" t="s">
        <v>26</v>
      </c>
      <c r="I26" s="33" t="s">
        <v>27</v>
      </c>
      <c r="J26" s="33" t="s">
        <v>28</v>
      </c>
      <c r="K26" s="33" t="s">
        <v>29</v>
      </c>
      <c r="L26" s="34" t="s">
        <v>30</v>
      </c>
      <c r="M26" s="28"/>
      <c r="N26" s="28"/>
    </row>
    <row r="28" spans="1:14" ht="13.5" thickBot="1" x14ac:dyDescent="0.25"/>
    <row r="29" spans="1:14" ht="13.5" thickBot="1" x14ac:dyDescent="0.25">
      <c r="A29" s="22"/>
      <c r="B29" s="77" t="s">
        <v>31</v>
      </c>
      <c r="C29" s="78"/>
      <c r="D29" s="23"/>
      <c r="E29" s="23"/>
      <c r="F29" s="23"/>
      <c r="G29" s="23"/>
      <c r="H29" s="23"/>
      <c r="I29" s="23"/>
      <c r="J29" s="23"/>
      <c r="K29" s="23"/>
      <c r="L29" s="24"/>
      <c r="M29" s="22"/>
      <c r="N29" s="22"/>
    </row>
    <row r="30" spans="1:14" x14ac:dyDescent="0.2">
      <c r="A30" s="22"/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1">
        <f>$L$14</f>
        <v>147.29958713933712</v>
      </c>
      <c r="M30" s="22"/>
      <c r="N30" s="22"/>
    </row>
    <row r="31" spans="1:14" x14ac:dyDescent="0.2">
      <c r="A31" s="22"/>
      <c r="B31" s="29"/>
      <c r="C31" s="30"/>
      <c r="D31" s="30"/>
      <c r="E31" s="30"/>
      <c r="F31" s="30"/>
      <c r="G31" s="30"/>
      <c r="H31" s="30"/>
      <c r="I31" s="30"/>
      <c r="J31" s="30"/>
      <c r="K31" s="30">
        <f>($B$10 *$L$30 + $B$11 *$L$31)</f>
        <v>141.72738009337849</v>
      </c>
      <c r="L31" s="31">
        <f>$L$15</f>
        <v>136.32051673607288</v>
      </c>
      <c r="M31" s="22"/>
      <c r="N31" s="22"/>
    </row>
    <row r="32" spans="1:14" x14ac:dyDescent="0.2">
      <c r="A32" s="22"/>
      <c r="B32" s="29"/>
      <c r="C32" s="30"/>
      <c r="D32" s="30"/>
      <c r="E32" s="30"/>
      <c r="F32" s="30"/>
      <c r="G32" s="30"/>
      <c r="H32" s="30"/>
      <c r="I32" s="30"/>
      <c r="J32" s="30">
        <f>($B$10 *$K$31 + $B$11 *$K$32)</f>
        <v>136.3659644825218</v>
      </c>
      <c r="K32" s="30">
        <f>($B$10 *$L$31 + $B$11 *$L$32)</f>
        <v>131.16363776161296</v>
      </c>
      <c r="L32" s="31">
        <f>$L$16</f>
        <v>126.15977847657631</v>
      </c>
      <c r="M32" s="22"/>
      <c r="N32" s="22"/>
    </row>
    <row r="33" spans="1:14" x14ac:dyDescent="0.2">
      <c r="A33" s="22"/>
      <c r="B33" s="29"/>
      <c r="C33" s="30"/>
      <c r="D33" s="30"/>
      <c r="E33" s="30"/>
      <c r="F33" s="30"/>
      <c r="G33" s="30"/>
      <c r="H33" s="30"/>
      <c r="I33" s="30">
        <f>($B$10 *$J$32 + $B$11 *$J$33)</f>
        <v>131.20736626187863</v>
      </c>
      <c r="J33" s="30">
        <f>($B$10 *$K$32 + $B$11 *$K$33)</f>
        <v>126.20183874572389</v>
      </c>
      <c r="K33" s="30">
        <f>($B$10 *$L$32 + $B$11 *$L$33)</f>
        <v>121.38727082603702</v>
      </c>
      <c r="L33" s="31">
        <f>$L$17</f>
        <v>116.7563774429786</v>
      </c>
      <c r="M33" s="22"/>
      <c r="N33" s="22"/>
    </row>
    <row r="34" spans="1:14" x14ac:dyDescent="0.2">
      <c r="A34" s="22"/>
      <c r="B34" s="29"/>
      <c r="C34" s="30"/>
      <c r="D34" s="30"/>
      <c r="E34" s="30"/>
      <c r="F34" s="30"/>
      <c r="G34" s="30"/>
      <c r="H34" s="30">
        <f>($B$10 *$I$33 + $B$11 *$I$34)</f>
        <v>126.24391303729814</v>
      </c>
      <c r="I34" s="30">
        <f>($B$10 *$J$33 + $B$11 *$J$34)</f>
        <v>121.42773999413234</v>
      </c>
      <c r="J34" s="30">
        <f>($B$10 *$K$33 + $B$11 *$K$34)</f>
        <v>116.79530272264577</v>
      </c>
      <c r="K34" s="30">
        <f>($B$10 *$L$33 + $B$11 *$L$34)</f>
        <v>112.33959175006996</v>
      </c>
      <c r="L34" s="31">
        <f>$L$18</f>
        <v>108.05386501323244</v>
      </c>
      <c r="M34" s="22"/>
      <c r="N34" s="22"/>
    </row>
    <row r="35" spans="1:14" x14ac:dyDescent="0.2">
      <c r="A35" s="22"/>
      <c r="B35" s="29"/>
      <c r="C35" s="30"/>
      <c r="D35" s="30"/>
      <c r="E35" s="30"/>
      <c r="F35" s="30"/>
      <c r="G35" s="30">
        <f>($B$10 *$H$34 + $B$11 *$H$35)</f>
        <v>121.46822265419888</v>
      </c>
      <c r="H35" s="30">
        <f>($B$10 *$I$34 + $B$11 *$I$35)</f>
        <v>116.83424097956893</v>
      </c>
      <c r="I35" s="30">
        <f>($B$10 *$J$34 + $B$11 *$J$35)</f>
        <v>112.37704452243526</v>
      </c>
      <c r="J35" s="30">
        <f>($B$10 *$K$34 + $B$11 *$K$35)</f>
        <v>108.0898889718964</v>
      </c>
      <c r="K35" s="30">
        <f>($B$10 *$L$34 + $B$11 *$L$35)</f>
        <v>103.96628731078954</v>
      </c>
      <c r="L35" s="31">
        <f>$L$19</f>
        <v>99.999999999999972</v>
      </c>
      <c r="M35" s="22"/>
      <c r="N35" s="22"/>
    </row>
    <row r="36" spans="1:14" x14ac:dyDescent="0.2">
      <c r="A36" s="22"/>
      <c r="B36" s="29"/>
      <c r="C36" s="30"/>
      <c r="D36" s="30"/>
      <c r="E36" s="30"/>
      <c r="F36" s="30">
        <f>($B$10 *$G$35 + $B$11 *$G$36)</f>
        <v>116.87319221807455</v>
      </c>
      <c r="G36" s="30">
        <f>($B$10 *$H$35 + $B$11 *$H$36)</f>
        <v>112.41450978113895</v>
      </c>
      <c r="H36" s="30">
        <f>($B$10 *$I$35 + $B$11 *$I$36)</f>
        <v>108.12592494054813</v>
      </c>
      <c r="I36" s="30">
        <f>($B$10 *$J$35 + $B$11 *$J$36)</f>
        <v>104.00094851643979</v>
      </c>
      <c r="J36" s="30">
        <f>($B$10 *$K$35 + $B$11 *$K$36)</f>
        <v>100.03333888950618</v>
      </c>
      <c r="K36" s="30">
        <f>($B$10 *$L$35 + $B$11 *$L$36)</f>
        <v>96.217092556622234</v>
      </c>
      <c r="L36" s="31">
        <f>$L$20</f>
        <v>92.546435046773937</v>
      </c>
      <c r="M36" s="22"/>
      <c r="N36" s="22"/>
    </row>
    <row r="37" spans="1:14" x14ac:dyDescent="0.2">
      <c r="A37" s="22"/>
      <c r="B37" s="29"/>
      <c r="C37" s="30"/>
      <c r="D37" s="30"/>
      <c r="E37" s="30">
        <f>($B$10 *$F$36 + $B$11 *$F$37)</f>
        <v>112.45198753034384</v>
      </c>
      <c r="F37" s="30">
        <f>($B$10 *$G$36 + $B$11 *$G$37)</f>
        <v>108.16197292319164</v>
      </c>
      <c r="G37" s="30">
        <f>($B$10 *$H$36 + $B$11 *$H$37)</f>
        <v>104.0356212777511</v>
      </c>
      <c r="H37" s="30">
        <f>($B$10 *$I$36 + $B$11 *$I$37)</f>
        <v>100.06668889382794</v>
      </c>
      <c r="I37" s="30">
        <f>($B$10 *$J$36 + $B$11 *$J$37)</f>
        <v>96.249170266795772</v>
      </c>
      <c r="J37" s="30">
        <f>($B$10 *$K$36 + $B$11 *$K$37)</f>
        <v>92.577289000496123</v>
      </c>
      <c r="K37" s="30">
        <f>($B$10 *$L$36 + $B$11 *$L$37)</f>
        <v>89.045489066808784</v>
      </c>
      <c r="L37" s="31">
        <f>$L$21</f>
        <v>85.648426398667496</v>
      </c>
      <c r="M37" s="22"/>
      <c r="N37" s="22"/>
    </row>
    <row r="38" spans="1:14" x14ac:dyDescent="0.2">
      <c r="A38" s="22"/>
      <c r="B38" s="29"/>
      <c r="C38" s="30"/>
      <c r="D38" s="30">
        <f>($B$10 *$E$37 + $B$11 *$E$38)</f>
        <v>108.19803292383224</v>
      </c>
      <c r="E38" s="30">
        <f>($B$10 *$F$37 + $B$11 *$F$38)</f>
        <v>104.070305598576</v>
      </c>
      <c r="F38" s="30">
        <f>($B$10 *$G$37 + $B$11 *$G$38)</f>
        <v>100.10005001667079</v>
      </c>
      <c r="G38" s="30">
        <f>($B$10 *$H$37 + $B$11 *$H$38)</f>
        <v>96.28125867132168</v>
      </c>
      <c r="H38" s="30">
        <f>($B$10 *$I$37 + $B$11 *$I$38)</f>
        <v>92.608153240583846</v>
      </c>
      <c r="I38" s="30">
        <f>($B$10 *$J$37 + $B$11 *$J$38)</f>
        <v>89.075175844019043</v>
      </c>
      <c r="J38" s="30">
        <f>($B$10 *$K$37 + $B$11 *$K$38)</f>
        <v>85.676980632908368</v>
      </c>
      <c r="K38" s="30">
        <f>($B$10 *$L$37 + $B$11 *$L$38)</f>
        <v>82.408425701296409</v>
      </c>
      <c r="L38" s="31">
        <f>$L$22</f>
        <v>79.264565305626817</v>
      </c>
      <c r="M38" s="22"/>
      <c r="N38" s="22"/>
    </row>
    <row r="39" spans="1:14" x14ac:dyDescent="0.2">
      <c r="A39" s="22"/>
      <c r="B39" s="29"/>
      <c r="C39" s="30">
        <f>($B$10 *$D$38 + $B$11 *$D$39)</f>
        <v>104.1050014827683</v>
      </c>
      <c r="D39" s="30">
        <f>($B$10 *$E$38 + $B$11 *$E$39)</f>
        <v>100.13342226174152</v>
      </c>
      <c r="E39" s="30">
        <f>($B$10 *$F$38 + $B$11 *$F$39)</f>
        <v>96.313357773765318</v>
      </c>
      <c r="F39" s="30">
        <f>($B$10 *$G$38 + $B$11 *$G$39)</f>
        <v>92.63902777046647</v>
      </c>
      <c r="G39" s="30">
        <f>($B$10 *$H$38 + $B$11 *$H$39)</f>
        <v>89.10487251847114</v>
      </c>
      <c r="H39" s="30">
        <f>($B$10 *$I$38 + $B$11 *$I$39)</f>
        <v>85.705544386813841</v>
      </c>
      <c r="I39" s="30">
        <f>($B$10 *$J$38 + $B$11 *$J$39)</f>
        <v>82.435899755284765</v>
      </c>
      <c r="J39" s="30">
        <f>($B$10 *$K$38 + $B$11 *$K$39)</f>
        <v>79.290991231471651</v>
      </c>
      <c r="K39" s="30">
        <f>($B$10 *$L$38 + $B$11 *$L$39)</f>
        <v>76.266060164719249</v>
      </c>
      <c r="L39" s="31">
        <f>$L$23</f>
        <v>73.356529445679655</v>
      </c>
      <c r="M39" s="22"/>
      <c r="N39" s="22"/>
    </row>
    <row r="40" spans="1:14" x14ac:dyDescent="0.2">
      <c r="A40" s="22"/>
      <c r="B40" s="35">
        <f>($B$10 *$C$39 + $B$11 *$C$40)</f>
        <v>100.16680563274815</v>
      </c>
      <c r="C40" s="30">
        <f>($B$10 *$D$39 + $B$11 *$D$40)</f>
        <v>96.345467577693228</v>
      </c>
      <c r="D40" s="30">
        <f>($B$10 *$E$39 + $B$11 *$E$40)</f>
        <v>92.669912593574523</v>
      </c>
      <c r="E40" s="30">
        <f>($B$10 *$F$39 + $B$11 *$F$40)</f>
        <v>89.134579093464737</v>
      </c>
      <c r="F40" s="30">
        <f>($B$10 *$G$39 + $B$11 *$G$40)</f>
        <v>85.734117663557655</v>
      </c>
      <c r="G40" s="30">
        <f>($B$10 *$H$39 + $B$11 *$H$40)</f>
        <v>82.463382968817641</v>
      </c>
      <c r="H40" s="30">
        <f>($B$10 *$I$39 + $B$11 *$I$40)</f>
        <v>79.317425967426686</v>
      </c>
      <c r="I40" s="30">
        <f>($B$10 *$J$39 + $B$11 *$J$40)</f>
        <v>76.291486422248312</v>
      </c>
      <c r="J40" s="30">
        <f>($B$10 *$K$39 + $B$11 *$K$40)</f>
        <v>73.380985697977138</v>
      </c>
      <c r="K40" s="30">
        <f>($B$10 *$L$39 + $B$11 *$L$40)</f>
        <v>70.581519833075447</v>
      </c>
      <c r="L40" s="31">
        <f>$L$24</f>
        <v>67.88885287601353</v>
      </c>
      <c r="M40" s="22"/>
      <c r="N40" s="22"/>
    </row>
    <row r="41" spans="1:14" x14ac:dyDescent="0.2">
      <c r="A41" s="22"/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22"/>
      <c r="N41" s="22"/>
    </row>
    <row r="42" spans="1:14" ht="13.5" thickBot="1" x14ac:dyDescent="0.25">
      <c r="A42" s="28"/>
      <c r="B42" s="32" t="s">
        <v>13</v>
      </c>
      <c r="C42" s="33" t="s">
        <v>14</v>
      </c>
      <c r="D42" s="33" t="s">
        <v>15</v>
      </c>
      <c r="E42" s="33" t="s">
        <v>16</v>
      </c>
      <c r="F42" s="33" t="s">
        <v>24</v>
      </c>
      <c r="G42" s="33" t="s">
        <v>25</v>
      </c>
      <c r="H42" s="33" t="s">
        <v>26</v>
      </c>
      <c r="I42" s="33" t="s">
        <v>27</v>
      </c>
      <c r="J42" s="33" t="s">
        <v>28</v>
      </c>
      <c r="K42" s="33" t="s">
        <v>29</v>
      </c>
      <c r="L42" s="34" t="s">
        <v>30</v>
      </c>
      <c r="M42" s="28"/>
      <c r="N42" s="28"/>
    </row>
    <row r="44" spans="1:14" ht="13.5" thickBot="1" x14ac:dyDescent="0.25"/>
    <row r="45" spans="1:14" ht="13.5" thickBot="1" x14ac:dyDescent="0.25">
      <c r="A45" s="22"/>
      <c r="B45" s="77" t="s">
        <v>17</v>
      </c>
      <c r="C45" s="78"/>
      <c r="D45" s="23" t="s">
        <v>37</v>
      </c>
      <c r="E45" s="23"/>
      <c r="F45" s="23"/>
      <c r="G45" s="23"/>
      <c r="H45" s="23"/>
      <c r="I45" s="23"/>
      <c r="J45" s="23"/>
      <c r="K45" s="23"/>
      <c r="L45" s="24"/>
      <c r="M45" s="22"/>
      <c r="N45" s="22"/>
    </row>
    <row r="46" spans="1:14" x14ac:dyDescent="0.2">
      <c r="A46" s="22"/>
      <c r="B46" s="29"/>
      <c r="C46" s="30"/>
      <c r="D46" s="30"/>
      <c r="E46" s="30"/>
      <c r="F46" s="30"/>
      <c r="G46" s="30"/>
      <c r="H46" s="30"/>
      <c r="I46" s="30"/>
      <c r="J46" s="30"/>
      <c r="K46" s="30"/>
      <c r="L46" s="31">
        <f>MAX($J$2*( L30-$J$3), 0)</f>
        <v>37.29958713933712</v>
      </c>
      <c r="M46" s="22"/>
      <c r="N46" s="22"/>
    </row>
    <row r="47" spans="1:14" x14ac:dyDescent="0.2">
      <c r="A47" s="22"/>
      <c r="B47" s="29"/>
      <c r="C47" s="30"/>
      <c r="D47" s="30"/>
      <c r="E47" s="30"/>
      <c r="F47" s="30"/>
      <c r="G47" s="30"/>
      <c r="H47" s="30"/>
      <c r="I47" s="30"/>
      <c r="J47" s="30"/>
      <c r="K47" s="30">
        <f>EXP(-$B$6 * $B$3/$B$5) * ($B$10 *$L$46 + $B$11 *$L$47)</f>
        <v>31.71680606245042</v>
      </c>
      <c r="L47" s="31">
        <f t="shared" ref="L47:L55" si="0">MAX($J$2*( L31-$J$3), 0)</f>
        <v>26.320516736072875</v>
      </c>
      <c r="M47" s="22"/>
      <c r="N47" s="22"/>
    </row>
    <row r="48" spans="1:14" x14ac:dyDescent="0.2">
      <c r="A48" s="22"/>
      <c r="B48" s="29"/>
      <c r="C48" s="30"/>
      <c r="D48" s="30"/>
      <c r="E48" s="30"/>
      <c r="F48" s="30"/>
      <c r="G48" s="30"/>
      <c r="H48" s="30"/>
      <c r="I48" s="30"/>
      <c r="J48" s="30">
        <f>EXP(-$B$6 * $B$3/$B$5) * ($B$10 *$K$47 + $B$11 *$K$48)</f>
        <v>26.34839303066822</v>
      </c>
      <c r="K48" s="30">
        <f>EXP(-$B$6 * $B$3/$B$5) * ($B$10 *$L$47 + $B$11 *$L$48)</f>
        <v>21.15658439131947</v>
      </c>
      <c r="L48" s="31">
        <f t="shared" si="0"/>
        <v>16.159778476576307</v>
      </c>
      <c r="M48" s="22"/>
      <c r="N48" s="22"/>
    </row>
    <row r="49" spans="1:14" x14ac:dyDescent="0.2">
      <c r="A49" s="22"/>
      <c r="B49" s="29"/>
      <c r="C49" s="30"/>
      <c r="D49" s="30"/>
      <c r="E49" s="30"/>
      <c r="F49" s="30"/>
      <c r="G49" s="30"/>
      <c r="H49" s="30"/>
      <c r="I49" s="30">
        <f>EXP(-$B$6 * $B$3/$B$5) * ($B$10 *$J$48 + $B$11 *$J$49)</f>
        <v>21.186169495766244</v>
      </c>
      <c r="J49" s="30">
        <f>EXP(-$B$6 * $B$3/$B$5) * ($B$10 *$K$48 + $B$11 *$K$49)</f>
        <v>16.191041119502085</v>
      </c>
      <c r="K49" s="30">
        <f>EXP(-$B$6 * $B$3/$B$5) * ($B$10 *$L$48 + $B$11 *$L$49)</f>
        <v>11.383475701650898</v>
      </c>
      <c r="L49" s="31">
        <f t="shared" si="0"/>
        <v>6.7563774429786037</v>
      </c>
      <c r="M49" s="22"/>
      <c r="N49" s="22"/>
    </row>
    <row r="50" spans="1:14" x14ac:dyDescent="0.2">
      <c r="A50" s="22"/>
      <c r="B50" s="29"/>
      <c r="C50" s="30"/>
      <c r="D50" s="30"/>
      <c r="E50" s="30"/>
      <c r="F50" s="30"/>
      <c r="G50" s="30"/>
      <c r="H50" s="30">
        <f>EXP(-$B$6 * $B$3/$B$5) * ($B$10 *$I$49 + $B$11 *$I$50)</f>
        <v>16.351224636443231</v>
      </c>
      <c r="I50" s="30">
        <f>EXP(-$B$6 * $B$3/$B$5) * ($B$10 *$J$49 + $B$11 *$J$50)</f>
        <v>11.670487616201905</v>
      </c>
      <c r="J50" s="30">
        <f>EXP(-$B$6 * $B$3/$B$5) * ($B$10 *$K$49 + $B$11 *$K$50)</f>
        <v>7.2917383337518356</v>
      </c>
      <c r="K50" s="30">
        <f>EXP(-$B$6 * $B$3/$B$5) * ($B$10 *$L$49 + $B$11 *$L$50)</f>
        <v>3.3262046216983947</v>
      </c>
      <c r="L50" s="31">
        <f t="shared" si="0"/>
        <v>0</v>
      </c>
      <c r="M50" s="22"/>
      <c r="N50" s="22"/>
    </row>
    <row r="51" spans="1:14" x14ac:dyDescent="0.2">
      <c r="A51" s="22"/>
      <c r="B51" s="29"/>
      <c r="C51" s="30"/>
      <c r="D51" s="30"/>
      <c r="E51" s="30"/>
      <c r="F51" s="30"/>
      <c r="G51" s="30">
        <f>EXP(-$B$6 * $B$3/$B$5) * ($B$10 *$H$50 + $B$11 *$H$51)</f>
        <v>12.10274299925128</v>
      </c>
      <c r="H51" s="30">
        <f>EXP(-$B$6 * $B$3/$B$5) * ($B$10 *$I$50 + $B$11 *$I$51)</f>
        <v>7.9882763566442625</v>
      </c>
      <c r="I51" s="30">
        <f>EXP(-$B$6 * $B$3/$B$5) * ($B$10 *$J$50 + $B$11 *$J$51)</f>
        <v>4.4205744604220429</v>
      </c>
      <c r="J51" s="30">
        <f>EXP(-$B$6 * $B$3/$B$5) * ($B$10 *$K$50 + $B$11 *$K$51)</f>
        <v>1.6375102307088201</v>
      </c>
      <c r="K51" s="30">
        <f>EXP(-$B$6 * $B$3/$B$5) * ($B$10 *$L$50 + $B$11 *$L$51)</f>
        <v>0</v>
      </c>
      <c r="L51" s="31">
        <f t="shared" si="0"/>
        <v>0</v>
      </c>
      <c r="M51" s="22"/>
      <c r="N51" s="22"/>
    </row>
    <row r="52" spans="1:14" x14ac:dyDescent="0.2">
      <c r="A52" s="22"/>
      <c r="B52" s="29"/>
      <c r="C52" s="30"/>
      <c r="D52" s="30"/>
      <c r="E52" s="30"/>
      <c r="F52" s="30">
        <f>EXP(-$B$6 * $B$3/$B$5) * ($B$10 *$G$51 + $B$11 *$G$52)</f>
        <v>8.6190291501239358</v>
      </c>
      <c r="G52" s="30">
        <f>EXP(-$B$6 * $B$3/$B$5) * ($B$10 *$H$51 + $B$11 *$H$52)</f>
        <v>5.2443489974675144</v>
      </c>
      <c r="H52" s="30">
        <f>EXP(-$B$6 * $B$3/$B$5) * ($B$10 *$I$51 + $B$11 *$I$52)</f>
        <v>2.5852869274817354</v>
      </c>
      <c r="I52" s="30">
        <f>EXP(-$B$6 * $B$3/$B$5) * ($B$10 *$J$51 + $B$11 *$J$52)</f>
        <v>0.80615598276298528</v>
      </c>
      <c r="J52" s="30">
        <f>EXP(-$B$6 * $B$3/$B$5) * ($B$10 *$K$51 + $B$11 *$K$52)</f>
        <v>0</v>
      </c>
      <c r="K52" s="30">
        <f>EXP(-$B$6 * $B$3/$B$5) * ($B$10 *$L$51 + $B$11 *$L$52)</f>
        <v>0</v>
      </c>
      <c r="L52" s="31">
        <f t="shared" si="0"/>
        <v>0</v>
      </c>
      <c r="M52" s="22"/>
      <c r="N52" s="22"/>
    </row>
    <row r="53" spans="1:14" x14ac:dyDescent="0.2">
      <c r="A53" s="22"/>
      <c r="B53" s="29"/>
      <c r="C53" s="30"/>
      <c r="D53" s="30"/>
      <c r="E53" s="30">
        <f>EXP(-$B$6 * $B$3/$B$5) * ($B$10 *$F$52 + $B$11 *$F$53)</f>
        <v>5.9325736855333755</v>
      </c>
      <c r="F53" s="30">
        <f>EXP(-$B$6 * $B$3/$B$5) * ($B$10 *$G$52 + $B$11 *$G$53)</f>
        <v>3.329730235433507</v>
      </c>
      <c r="G53" s="30">
        <f>EXP(-$B$6 * $B$3/$B$5) * ($B$10 *$H$52 + $B$11 *$H$53)</f>
        <v>1.4741110650962053</v>
      </c>
      <c r="H53" s="30">
        <f>EXP(-$B$6 * $B$3/$B$5) * ($B$10 *$I$52 + $B$11 *$I$53)</f>
        <v>0.39687536380352351</v>
      </c>
      <c r="I53" s="30">
        <f>EXP(-$B$6 * $B$3/$B$5) * ($B$10 *$J$52 + $B$11 *$J$53)</f>
        <v>0</v>
      </c>
      <c r="J53" s="30">
        <f>EXP(-$B$6 * $B$3/$B$5) * ($B$10 *$K$52 + $B$11 *$K$53)</f>
        <v>0</v>
      </c>
      <c r="K53" s="30">
        <f>EXP(-$B$6 * $B$3/$B$5) * ($B$10 *$L$52 + $B$11 *$L$53)</f>
        <v>0</v>
      </c>
      <c r="L53" s="31">
        <f t="shared" si="0"/>
        <v>0</v>
      </c>
      <c r="M53" s="22"/>
      <c r="N53" s="22"/>
    </row>
    <row r="54" spans="1:14" x14ac:dyDescent="0.2">
      <c r="A54" s="22"/>
      <c r="B54" s="29"/>
      <c r="C54" s="30"/>
      <c r="D54" s="30">
        <f>EXP(-$B$6 * $B$3/$B$5) * ($B$10 *$E$53 + $B$11 *$E$54)</f>
        <v>3.9646574335910638</v>
      </c>
      <c r="E54" s="30">
        <f>EXP(-$B$6 * $B$3/$B$5) * ($B$10 *$F$53 + $B$11 *$F$54)</f>
        <v>2.0577393400901141</v>
      </c>
      <c r="F54" s="30">
        <f>EXP(-$B$6 * $B$3/$B$5) * ($B$10 *$G$53 + $B$11 *$G$54)</f>
        <v>0.82484383520667937</v>
      </c>
      <c r="G54" s="30">
        <f>EXP(-$B$6 * $B$3/$B$5) * ($B$10 *$H$53 + $B$11 *$H$54)</f>
        <v>0.19538409161752515</v>
      </c>
      <c r="H54" s="30">
        <f>EXP(-$B$6 * $B$3/$B$5) * ($B$10 *$I$53 + $B$11 *$I$54)</f>
        <v>0</v>
      </c>
      <c r="I54" s="30">
        <f>EXP(-$B$6 * $B$3/$B$5) * ($B$10 *$J$53 + $B$11 *$J$54)</f>
        <v>0</v>
      </c>
      <c r="J54" s="30">
        <f>EXP(-$B$6 * $B$3/$B$5) * ($B$10 *$K$53 + $B$11 *$K$54)</f>
        <v>0</v>
      </c>
      <c r="K54" s="30">
        <f>EXP(-$B$6 * $B$3/$B$5) * ($B$10 *$L$53 + $B$11 *$L$54)</f>
        <v>0</v>
      </c>
      <c r="L54" s="31">
        <f t="shared" si="0"/>
        <v>0</v>
      </c>
      <c r="M54" s="22"/>
      <c r="N54" s="22"/>
    </row>
    <row r="55" spans="1:14" x14ac:dyDescent="0.2">
      <c r="A55" s="22"/>
      <c r="B55" s="29"/>
      <c r="C55" s="30">
        <f>EXP(-$B$6 * $B$3/$B$5) * ($B$10 *$D$54 + $B$11 *$D$55)</f>
        <v>2.5828921142479988</v>
      </c>
      <c r="D55" s="30">
        <f>EXP(-$B$6 * $B$3/$B$5) * ($B$10 *$E$54 + $B$11 *$E$55)</f>
        <v>1.2438244788182085</v>
      </c>
      <c r="E55" s="30">
        <f>EXP(-$B$6 * $B$3/$B$5) * ($B$10 *$F$54 + $B$11 *$F$55)</f>
        <v>0.45487790303745368</v>
      </c>
      <c r="F55" s="30">
        <f>EXP(-$B$6 * $B$3/$B$5) * ($B$10 *$G$54 + $B$11 *$G$55)</f>
        <v>9.6188745230616754E-2</v>
      </c>
      <c r="G55" s="30">
        <f>EXP(-$B$6 * $B$3/$B$5) * ($B$10 *$H$54 + $B$11 *$H$55)</f>
        <v>0</v>
      </c>
      <c r="H55" s="30">
        <f>EXP(-$B$6 * $B$3/$B$5) * ($B$10 *$I$54 + $B$11 *$I$55)</f>
        <v>0</v>
      </c>
      <c r="I55" s="30">
        <f>EXP(-$B$6 * $B$3/$B$5) * ($B$10 *$J$54 + $B$11 *$J$55)</f>
        <v>0</v>
      </c>
      <c r="J55" s="30">
        <f>EXP(-$B$6 * $B$3/$B$5) * ($B$10 *$K$54 + $B$11 *$K$55)</f>
        <v>0</v>
      </c>
      <c r="K55" s="30">
        <f>EXP(-$B$6 * $B$3/$B$5) * ($B$10 *$L$54 + $B$11 *$L$55)</f>
        <v>0</v>
      </c>
      <c r="L55" s="31">
        <f t="shared" si="0"/>
        <v>0</v>
      </c>
      <c r="M55" s="22"/>
      <c r="N55" s="22"/>
    </row>
    <row r="56" spans="1:14" x14ac:dyDescent="0.2">
      <c r="A56" s="22"/>
      <c r="B56" s="25">
        <f>EXP(-$B$6 * $B$3/$B$5) * ($B$10 *$C$55 + $B$11 *$C$56)</f>
        <v>1.6460813419389992</v>
      </c>
      <c r="C56" s="30">
        <f>EXP(-$B$6 * $B$3/$B$5) * ($B$10 *$D$55 + $B$11 *$D$56)</f>
        <v>0.73814977299052453</v>
      </c>
      <c r="D56" s="30">
        <f>EXP(-$B$6 * $B$3/$B$5) * ($B$10 *$E$55 + $B$11 *$E$56)</f>
        <v>0.24796479504506178</v>
      </c>
      <c r="E56" s="30">
        <f>EXP(-$B$6 * $B$3/$B$5) * ($B$10 *$F$55 + $B$11 *$F$56)</f>
        <v>4.7354288839197414E-2</v>
      </c>
      <c r="F56" s="30">
        <f>EXP(-$B$6 * $B$3/$B$5) * ($B$10 *$G$55 + $B$11 *$G$56)</f>
        <v>0</v>
      </c>
      <c r="G56" s="30">
        <f>EXP(-$B$6 * $B$3/$B$5) * ($B$10 *$H$55 + $B$11 *$H$56)</f>
        <v>0</v>
      </c>
      <c r="H56" s="30">
        <f>EXP(-$B$6 * $B$3/$B$5) * ($B$10 *$I$55 + $B$11 *$I$56)</f>
        <v>0</v>
      </c>
      <c r="I56" s="30">
        <f>EXP(-$B$6 * $B$3/$B$5) * ($B$10 *$J$55 + $B$11 *$J$56)</f>
        <v>0</v>
      </c>
      <c r="J56" s="30">
        <f>EXP(-$B$6 * $B$3/$B$5) * ($B$10 *$K$55 + $B$11 *$K$56)</f>
        <v>0</v>
      </c>
      <c r="K56" s="30">
        <f>EXP(-$B$6 * $B$3/$B$5) * ($B$10 *$L$55 + $B$11 *$L$56)</f>
        <v>0</v>
      </c>
      <c r="L56" s="31">
        <f>MAX($J$2*( L40-$J$3), 0)</f>
        <v>0</v>
      </c>
      <c r="M56" s="22"/>
      <c r="N56" s="22"/>
    </row>
    <row r="57" spans="1:14" x14ac:dyDescent="0.2">
      <c r="A57" s="22"/>
      <c r="B57" s="29"/>
      <c r="C57" s="30"/>
      <c r="D57" s="30"/>
      <c r="E57" s="30"/>
      <c r="F57" s="30"/>
      <c r="G57" s="30"/>
      <c r="H57" s="30"/>
      <c r="I57" s="30"/>
      <c r="J57" s="30"/>
      <c r="K57" s="30"/>
      <c r="L57" s="31"/>
      <c r="M57" s="22"/>
      <c r="N57" s="22"/>
    </row>
    <row r="58" spans="1:14" ht="13.5" thickBot="1" x14ac:dyDescent="0.25">
      <c r="A58" s="28"/>
      <c r="B58" s="32" t="s">
        <v>13</v>
      </c>
      <c r="C58" s="33" t="s">
        <v>14</v>
      </c>
      <c r="D58" s="33" t="s">
        <v>15</v>
      </c>
      <c r="E58" s="33" t="s">
        <v>16</v>
      </c>
      <c r="F58" s="33" t="s">
        <v>24</v>
      </c>
      <c r="G58" s="33" t="s">
        <v>25</v>
      </c>
      <c r="H58" s="33" t="s">
        <v>26</v>
      </c>
      <c r="I58" s="33" t="s">
        <v>27</v>
      </c>
      <c r="J58" s="33" t="s">
        <v>28</v>
      </c>
      <c r="K58" s="33" t="s">
        <v>29</v>
      </c>
      <c r="L58" s="34" t="s">
        <v>30</v>
      </c>
      <c r="M58" s="28"/>
      <c r="N58" s="28"/>
    </row>
    <row r="60" spans="1:14" ht="13.5" thickBot="1" x14ac:dyDescent="0.25"/>
    <row r="61" spans="1:14" ht="13.5" thickBot="1" x14ac:dyDescent="0.25">
      <c r="B61" s="81" t="s">
        <v>17</v>
      </c>
      <c r="C61" s="82"/>
      <c r="E61" s="60"/>
      <c r="F61" s="60"/>
      <c r="G61" s="60"/>
      <c r="H61" s="60"/>
      <c r="I61" s="60"/>
      <c r="J61" s="60"/>
      <c r="K61" s="60"/>
      <c r="L61" s="61"/>
    </row>
    <row r="62" spans="1:14" x14ac:dyDescent="0.2">
      <c r="B62" s="62"/>
      <c r="C62" s="30"/>
      <c r="D62" s="60" t="s">
        <v>38</v>
      </c>
      <c r="E62" s="30"/>
      <c r="F62" s="30"/>
      <c r="G62" s="30"/>
      <c r="H62" s="30"/>
      <c r="I62" s="30"/>
      <c r="J62" s="30"/>
      <c r="K62" s="30"/>
      <c r="L62" s="63">
        <f>MAX($J$2*ABS( L30-$J$3),0)</f>
        <v>37.29958713933712</v>
      </c>
    </row>
    <row r="63" spans="1:14" x14ac:dyDescent="0.2">
      <c r="B63" s="62"/>
      <c r="C63" s="30"/>
      <c r="D63" s="30"/>
      <c r="E63" s="30"/>
      <c r="F63" s="30"/>
      <c r="G63" s="30"/>
      <c r="H63" s="30"/>
      <c r="I63" s="30"/>
      <c r="J63" s="30"/>
      <c r="K63" s="30">
        <f>EXP(-$B$6 * $B$3/$B$5) * ($B$10 *$L62 + $B$11 *$L63)</f>
        <v>31.71680606245042</v>
      </c>
      <c r="L63" s="63">
        <f t="shared" ref="L63:L72" si="1">MAX($J$2*ABS( L31-$J$3),0)</f>
        <v>26.320516736072875</v>
      </c>
    </row>
    <row r="64" spans="1:14" x14ac:dyDescent="0.2">
      <c r="B64" s="62"/>
      <c r="C64" s="30"/>
      <c r="D64" s="30"/>
      <c r="E64" s="30"/>
      <c r="F64" s="30"/>
      <c r="G64" s="30"/>
      <c r="H64" s="30"/>
      <c r="I64" s="30"/>
      <c r="J64" s="30">
        <f>EXP(-$B$6 * $B$3/$B$5) * ($B$10 *K63 + $B$11 *K64)</f>
        <v>26.34839303066822</v>
      </c>
      <c r="K64" s="30">
        <f t="shared" ref="K64:K72" si="2">EXP(-$B$6 * $B$3/$B$5) * ($B$10 *$L63 + $B$11 *$L64)</f>
        <v>21.15658439131947</v>
      </c>
      <c r="L64" s="63">
        <f t="shared" si="1"/>
        <v>16.159778476576307</v>
      </c>
    </row>
    <row r="65" spans="2:12" x14ac:dyDescent="0.2">
      <c r="B65" s="62"/>
      <c r="C65" s="30"/>
      <c r="D65" s="30"/>
      <c r="E65" s="30"/>
      <c r="F65" s="30"/>
      <c r="G65" s="30"/>
      <c r="H65" s="30"/>
      <c r="I65" s="30">
        <f t="shared" ref="I65:I72" si="3">EXP(-$B$6 * $B$3/$B$5) * ($B$10 *J64 + $B$11 *J65)</f>
        <v>21.186169495766244</v>
      </c>
      <c r="J65" s="30">
        <f t="shared" ref="J65:J72" si="4">EXP(-$B$6 * $B$3/$B$5) * ($B$10 *K64 + $B$11 *K65)</f>
        <v>16.191041119502085</v>
      </c>
      <c r="K65" s="30">
        <f t="shared" si="2"/>
        <v>11.383475701650898</v>
      </c>
      <c r="L65" s="63">
        <f t="shared" si="1"/>
        <v>6.7563774429786037</v>
      </c>
    </row>
    <row r="66" spans="2:12" x14ac:dyDescent="0.2">
      <c r="B66" s="62"/>
      <c r="C66" s="30"/>
      <c r="D66" s="30"/>
      <c r="E66" s="30"/>
      <c r="F66" s="30"/>
      <c r="G66" s="30"/>
      <c r="H66" s="30">
        <f t="shared" ref="H66:H72" si="5">EXP(-$B$6 * $B$3/$B$5) * ($B$10 *I65 + $B$11 *I66)</f>
        <v>16.480180353686084</v>
      </c>
      <c r="I66" s="30">
        <f t="shared" si="3"/>
        <v>11.924657266299734</v>
      </c>
      <c r="J66" s="30">
        <f t="shared" si="4"/>
        <v>7.7927026369412165</v>
      </c>
      <c r="K66" s="30">
        <f t="shared" si="2"/>
        <v>4.3135972272806358</v>
      </c>
      <c r="L66" s="63">
        <f t="shared" si="1"/>
        <v>1.9461349867675608</v>
      </c>
    </row>
    <row r="67" spans="2:12" x14ac:dyDescent="0.2">
      <c r="B67" s="62"/>
      <c r="C67" s="30"/>
      <c r="D67" s="30"/>
      <c r="E67" s="30"/>
      <c r="F67" s="30"/>
      <c r="G67" s="30">
        <f t="shared" ref="G67:G72" si="6">EXP(-$B$6 * $B$3/$B$5) * ($B$10 *H66 + $B$11 *H67)</f>
        <v>12.756361129485549</v>
      </c>
      <c r="H67" s="30">
        <f t="shared" si="5"/>
        <v>9.1514179828438316</v>
      </c>
      <c r="I67" s="30">
        <f t="shared" si="3"/>
        <v>6.4664802548050666</v>
      </c>
      <c r="J67" s="30">
        <f t="shared" si="4"/>
        <v>5.1838585065439684</v>
      </c>
      <c r="K67" s="30">
        <f t="shared" si="2"/>
        <v>6.0317017868164093</v>
      </c>
      <c r="L67" s="63">
        <f t="shared" si="1"/>
        <v>10.000000000000028</v>
      </c>
    </row>
    <row r="68" spans="2:12" x14ac:dyDescent="0.2">
      <c r="B68" s="62"/>
      <c r="C68" s="30"/>
      <c r="D68" s="30"/>
      <c r="E68" s="30"/>
      <c r="F68" s="30">
        <f t="shared" ref="F68:F72" si="7">EXP(-$B$6 * $B$3/$B$5) * ($B$10 *G67 + $B$11 *G68)</f>
        <v>10.378598729384679</v>
      </c>
      <c r="G68" s="30">
        <f t="shared" si="6"/>
        <v>8.0782090451410884</v>
      </c>
      <c r="H68" s="30">
        <f t="shared" si="5"/>
        <v>7.0421518127737492</v>
      </c>
      <c r="I68" s="30">
        <f t="shared" si="3"/>
        <v>7.6053673961287478</v>
      </c>
      <c r="J68" s="30">
        <f t="shared" si="4"/>
        <v>9.96001888407495</v>
      </c>
      <c r="K68" s="30">
        <f t="shared" si="2"/>
        <v>13.778313906528641</v>
      </c>
      <c r="L68" s="63">
        <f t="shared" si="1"/>
        <v>17.453564953226063</v>
      </c>
    </row>
    <row r="69" spans="2:12" x14ac:dyDescent="0.2">
      <c r="B69" s="62"/>
      <c r="C69" s="30"/>
      <c r="D69" s="30"/>
      <c r="E69" s="30">
        <f t="shared" ref="E69:E72" si="8">EXP(-$B$6 * $B$3/$B$5) * ($B$10 *F68 + $B$11 *F69)</f>
        <v>9.4188744752939311</v>
      </c>
      <c r="F69" s="30">
        <f t="shared" si="7"/>
        <v>8.4938151671263995</v>
      </c>
      <c r="G69" s="30">
        <f t="shared" si="6"/>
        <v>8.9026685004966328</v>
      </c>
      <c r="H69" s="30">
        <f t="shared" si="5"/>
        <v>10.71382624465776</v>
      </c>
      <c r="I69" s="30">
        <f t="shared" si="3"/>
        <v>13.737085776594631</v>
      </c>
      <c r="J69" s="30">
        <f t="shared" si="4"/>
        <v>17.411099729690847</v>
      </c>
      <c r="K69" s="30">
        <f t="shared" si="2"/>
        <v>20.947527260223641</v>
      </c>
      <c r="L69" s="63">
        <f t="shared" si="1"/>
        <v>24.351573601332504</v>
      </c>
    </row>
    <row r="70" spans="2:12" x14ac:dyDescent="0.2">
      <c r="B70" s="62"/>
      <c r="C70" s="30"/>
      <c r="D70" s="30">
        <f t="shared" ref="D70:D72" si="9">EXP(-$B$6 * $B$3/$B$5) * ($B$10 *E69 + $B$11 *E70)</f>
        <v>9.7264830991161233</v>
      </c>
      <c r="E70" s="30">
        <f t="shared" si="8"/>
        <v>10.031353257399202</v>
      </c>
      <c r="F70" s="30">
        <f t="shared" si="7"/>
        <v>11.529857540482508</v>
      </c>
      <c r="G70" s="30">
        <f t="shared" si="6"/>
        <v>14.086663986258571</v>
      </c>
      <c r="H70" s="30">
        <f t="shared" si="5"/>
        <v>17.368673082954349</v>
      </c>
      <c r="I70" s="30">
        <f t="shared" si="3"/>
        <v>20.903909790750443</v>
      </c>
      <c r="J70" s="30">
        <f t="shared" si="4"/>
        <v>24.306809424761379</v>
      </c>
      <c r="K70" s="30">
        <f t="shared" si="2"/>
        <v>27.582378639965629</v>
      </c>
      <c r="L70" s="63">
        <f t="shared" si="1"/>
        <v>30.735434694373183</v>
      </c>
    </row>
    <row r="71" spans="2:12" x14ac:dyDescent="0.2">
      <c r="B71" s="62"/>
      <c r="C71" s="30">
        <f t="shared" ref="B71:C72" si="10">EXP(-$B$6 * $B$3/$B$5) * ($B$10 *D70 + $B$11 *D71)</f>
        <v>11.043124251161666</v>
      </c>
      <c r="D71" s="30">
        <f t="shared" si="9"/>
        <v>12.327950871928977</v>
      </c>
      <c r="E71" s="30">
        <f t="shared" si="8"/>
        <v>14.564499762901681</v>
      </c>
      <c r="F71" s="30">
        <f t="shared" si="7"/>
        <v>17.518662474343717</v>
      </c>
      <c r="G71" s="30">
        <f t="shared" si="6"/>
        <v>20.860331273953935</v>
      </c>
      <c r="H71" s="30">
        <f t="shared" si="5"/>
        <v>24.262084591178944</v>
      </c>
      <c r="I71" s="30">
        <f t="shared" si="3"/>
        <v>27.536549921927751</v>
      </c>
      <c r="J71" s="30">
        <f t="shared" si="4"/>
        <v>30.688542918723918</v>
      </c>
      <c r="K71" s="30">
        <f t="shared" si="2"/>
        <v>33.722697062568528</v>
      </c>
      <c r="L71" s="63">
        <f t="shared" si="1"/>
        <v>36.643470554320345</v>
      </c>
    </row>
    <row r="72" spans="2:12" x14ac:dyDescent="0.2">
      <c r="B72" s="64">
        <f t="shared" si="10"/>
        <v>13.092634304781697</v>
      </c>
      <c r="C72" s="30">
        <f t="shared" si="10"/>
        <v>15.089929755017407</v>
      </c>
      <c r="D72" s="30">
        <f t="shared" si="9"/>
        <v>17.779864993451852</v>
      </c>
      <c r="E72" s="30">
        <f t="shared" si="8"/>
        <v>20.911500258258577</v>
      </c>
      <c r="F72" s="30">
        <f t="shared" si="7"/>
        <v>24.217399071195764</v>
      </c>
      <c r="G72" s="30">
        <f t="shared" si="6"/>
        <v>27.490760893526591</v>
      </c>
      <c r="H72" s="30">
        <f t="shared" si="5"/>
        <v>30.641691195144858</v>
      </c>
      <c r="I72" s="30">
        <f t="shared" si="3"/>
        <v>33.674821912814025</v>
      </c>
      <c r="J72" s="30">
        <f t="shared" si="4"/>
        <v>36.594609761572187</v>
      </c>
      <c r="K72" s="30">
        <f t="shared" si="2"/>
        <v>39.405342863207828</v>
      </c>
      <c r="L72" s="63">
        <f t="shared" si="1"/>
        <v>42.11114712398647</v>
      </c>
    </row>
    <row r="73" spans="2:12" x14ac:dyDescent="0.2">
      <c r="B73" s="62"/>
      <c r="C73" s="30"/>
      <c r="D73" s="30"/>
      <c r="E73" s="30"/>
      <c r="F73" s="30"/>
      <c r="G73" s="30"/>
      <c r="H73" s="30"/>
      <c r="I73" s="30"/>
      <c r="J73" s="30"/>
      <c r="K73" s="30"/>
      <c r="L73" s="63"/>
    </row>
    <row r="74" spans="2:12" ht="13.5" thickBot="1" x14ac:dyDescent="0.25">
      <c r="B74" s="65" t="s">
        <v>13</v>
      </c>
      <c r="C74" s="66" t="s">
        <v>14</v>
      </c>
      <c r="D74" s="66" t="s">
        <v>15</v>
      </c>
      <c r="E74" s="66" t="s">
        <v>16</v>
      </c>
      <c r="F74" s="66" t="s">
        <v>24</v>
      </c>
      <c r="G74" s="66" t="s">
        <v>25</v>
      </c>
      <c r="H74" s="66" t="s">
        <v>26</v>
      </c>
      <c r="I74" s="66" t="s">
        <v>27</v>
      </c>
      <c r="J74" s="66" t="s">
        <v>28</v>
      </c>
      <c r="K74" s="66" t="s">
        <v>29</v>
      </c>
      <c r="L74" s="67" t="s">
        <v>30</v>
      </c>
    </row>
  </sheetData>
  <dataConsolidate/>
  <mergeCells count="7">
    <mergeCell ref="B61:C61"/>
    <mergeCell ref="B45:C45"/>
    <mergeCell ref="A1:B1"/>
    <mergeCell ref="E1:F1"/>
    <mergeCell ref="I1:J1"/>
    <mergeCell ref="B13:C13"/>
    <mergeCell ref="B29:C29"/>
  </mergeCells>
  <dataValidations count="2">
    <dataValidation type="list" allowBlank="1" showInputMessage="1" showErrorMessage="1" sqref="J5 H5" xr:uid="{00000000-0002-0000-0200-000000000000}">
      <formula1>"European, American"</formula1>
    </dataValidation>
    <dataValidation type="list" allowBlank="1" showInputMessage="1" showErrorMessage="1" sqref="J2" xr:uid="{00000000-0002-0000-0200-000001000000}">
      <formula1>"1, -1"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B1D6-92D2-4A07-AFE3-FE2D5F560E8F}">
  <dimension ref="A1:X56"/>
  <sheetViews>
    <sheetView showGridLines="0" topLeftCell="A13" workbookViewId="0">
      <selection activeCell="Q36" sqref="Q36"/>
    </sheetView>
  </sheetViews>
  <sheetFormatPr baseColWidth="10" defaultColWidth="9.140625" defaultRowHeight="12.75" x14ac:dyDescent="0.2"/>
  <cols>
    <col min="1" max="5" width="9.140625" style="49"/>
    <col min="6" max="6" width="9.28515625" style="49" customWidth="1"/>
    <col min="7" max="7" width="8.28515625" style="49" bestFit="1" customWidth="1"/>
    <col min="8" max="262" width="9.140625" style="49"/>
    <col min="263" max="263" width="8.28515625" style="49" bestFit="1" customWidth="1"/>
    <col min="264" max="518" width="9.140625" style="49"/>
    <col min="519" max="519" width="8.28515625" style="49" bestFit="1" customWidth="1"/>
    <col min="520" max="774" width="9.140625" style="49"/>
    <col min="775" max="775" width="8.28515625" style="49" bestFit="1" customWidth="1"/>
    <col min="776" max="1030" width="9.140625" style="49"/>
    <col min="1031" max="1031" width="8.28515625" style="49" bestFit="1" customWidth="1"/>
    <col min="1032" max="1286" width="9.140625" style="49"/>
    <col min="1287" max="1287" width="8.28515625" style="49" bestFit="1" customWidth="1"/>
    <col min="1288" max="1542" width="9.140625" style="49"/>
    <col min="1543" max="1543" width="8.28515625" style="49" bestFit="1" customWidth="1"/>
    <col min="1544" max="1798" width="9.140625" style="49"/>
    <col min="1799" max="1799" width="8.28515625" style="49" bestFit="1" customWidth="1"/>
    <col min="1800" max="2054" width="9.140625" style="49"/>
    <col min="2055" max="2055" width="8.28515625" style="49" bestFit="1" customWidth="1"/>
    <col min="2056" max="2310" width="9.140625" style="49"/>
    <col min="2311" max="2311" width="8.28515625" style="49" bestFit="1" customWidth="1"/>
    <col min="2312" max="2566" width="9.140625" style="49"/>
    <col min="2567" max="2567" width="8.28515625" style="49" bestFit="1" customWidth="1"/>
    <col min="2568" max="2822" width="9.140625" style="49"/>
    <col min="2823" max="2823" width="8.28515625" style="49" bestFit="1" customWidth="1"/>
    <col min="2824" max="3078" width="9.140625" style="49"/>
    <col min="3079" max="3079" width="8.28515625" style="49" bestFit="1" customWidth="1"/>
    <col min="3080" max="3334" width="9.140625" style="49"/>
    <col min="3335" max="3335" width="8.28515625" style="49" bestFit="1" customWidth="1"/>
    <col min="3336" max="3590" width="9.140625" style="49"/>
    <col min="3591" max="3591" width="8.28515625" style="49" bestFit="1" customWidth="1"/>
    <col min="3592" max="3846" width="9.140625" style="49"/>
    <col min="3847" max="3847" width="8.28515625" style="49" bestFit="1" customWidth="1"/>
    <col min="3848" max="4102" width="9.140625" style="49"/>
    <col min="4103" max="4103" width="8.28515625" style="49" bestFit="1" customWidth="1"/>
    <col min="4104" max="4358" width="9.140625" style="49"/>
    <col min="4359" max="4359" width="8.28515625" style="49" bestFit="1" customWidth="1"/>
    <col min="4360" max="4614" width="9.140625" style="49"/>
    <col min="4615" max="4615" width="8.28515625" style="49" bestFit="1" customWidth="1"/>
    <col min="4616" max="4870" width="9.140625" style="49"/>
    <col min="4871" max="4871" width="8.28515625" style="49" bestFit="1" customWidth="1"/>
    <col min="4872" max="5126" width="9.140625" style="49"/>
    <col min="5127" max="5127" width="8.28515625" style="49" bestFit="1" customWidth="1"/>
    <col min="5128" max="5382" width="9.140625" style="49"/>
    <col min="5383" max="5383" width="8.28515625" style="49" bestFit="1" customWidth="1"/>
    <col min="5384" max="5638" width="9.140625" style="49"/>
    <col min="5639" max="5639" width="8.28515625" style="49" bestFit="1" customWidth="1"/>
    <col min="5640" max="5894" width="9.140625" style="49"/>
    <col min="5895" max="5895" width="8.28515625" style="49" bestFit="1" customWidth="1"/>
    <col min="5896" max="6150" width="9.140625" style="49"/>
    <col min="6151" max="6151" width="8.28515625" style="49" bestFit="1" customWidth="1"/>
    <col min="6152" max="6406" width="9.140625" style="49"/>
    <col min="6407" max="6407" width="8.28515625" style="49" bestFit="1" customWidth="1"/>
    <col min="6408" max="6662" width="9.140625" style="49"/>
    <col min="6663" max="6663" width="8.28515625" style="49" bestFit="1" customWidth="1"/>
    <col min="6664" max="6918" width="9.140625" style="49"/>
    <col min="6919" max="6919" width="8.28515625" style="49" bestFit="1" customWidth="1"/>
    <col min="6920" max="7174" width="9.140625" style="49"/>
    <col min="7175" max="7175" width="8.28515625" style="49" bestFit="1" customWidth="1"/>
    <col min="7176" max="7430" width="9.140625" style="49"/>
    <col min="7431" max="7431" width="8.28515625" style="49" bestFit="1" customWidth="1"/>
    <col min="7432" max="7686" width="9.140625" style="49"/>
    <col min="7687" max="7687" width="8.28515625" style="49" bestFit="1" customWidth="1"/>
    <col min="7688" max="7942" width="9.140625" style="49"/>
    <col min="7943" max="7943" width="8.28515625" style="49" bestFit="1" customWidth="1"/>
    <col min="7944" max="8198" width="9.140625" style="49"/>
    <col min="8199" max="8199" width="8.28515625" style="49" bestFit="1" customWidth="1"/>
    <col min="8200" max="8454" width="9.140625" style="49"/>
    <col min="8455" max="8455" width="8.28515625" style="49" bestFit="1" customWidth="1"/>
    <col min="8456" max="8710" width="9.140625" style="49"/>
    <col min="8711" max="8711" width="8.28515625" style="49" bestFit="1" customWidth="1"/>
    <col min="8712" max="8966" width="9.140625" style="49"/>
    <col min="8967" max="8967" width="8.28515625" style="49" bestFit="1" customWidth="1"/>
    <col min="8968" max="9222" width="9.140625" style="49"/>
    <col min="9223" max="9223" width="8.28515625" style="49" bestFit="1" customWidth="1"/>
    <col min="9224" max="9478" width="9.140625" style="49"/>
    <col min="9479" max="9479" width="8.28515625" style="49" bestFit="1" customWidth="1"/>
    <col min="9480" max="9734" width="9.140625" style="49"/>
    <col min="9735" max="9735" width="8.28515625" style="49" bestFit="1" customWidth="1"/>
    <col min="9736" max="9990" width="9.140625" style="49"/>
    <col min="9991" max="9991" width="8.28515625" style="49" bestFit="1" customWidth="1"/>
    <col min="9992" max="10246" width="9.140625" style="49"/>
    <col min="10247" max="10247" width="8.28515625" style="49" bestFit="1" customWidth="1"/>
    <col min="10248" max="10502" width="9.140625" style="49"/>
    <col min="10503" max="10503" width="8.28515625" style="49" bestFit="1" customWidth="1"/>
    <col min="10504" max="10758" width="9.140625" style="49"/>
    <col min="10759" max="10759" width="8.28515625" style="49" bestFit="1" customWidth="1"/>
    <col min="10760" max="11014" width="9.140625" style="49"/>
    <col min="11015" max="11015" width="8.28515625" style="49" bestFit="1" customWidth="1"/>
    <col min="11016" max="11270" width="9.140625" style="49"/>
    <col min="11271" max="11271" width="8.28515625" style="49" bestFit="1" customWidth="1"/>
    <col min="11272" max="11526" width="9.140625" style="49"/>
    <col min="11527" max="11527" width="8.28515625" style="49" bestFit="1" customWidth="1"/>
    <col min="11528" max="11782" width="9.140625" style="49"/>
    <col min="11783" max="11783" width="8.28515625" style="49" bestFit="1" customWidth="1"/>
    <col min="11784" max="12038" width="9.140625" style="49"/>
    <col min="12039" max="12039" width="8.28515625" style="49" bestFit="1" customWidth="1"/>
    <col min="12040" max="12294" width="9.140625" style="49"/>
    <col min="12295" max="12295" width="8.28515625" style="49" bestFit="1" customWidth="1"/>
    <col min="12296" max="12550" width="9.140625" style="49"/>
    <col min="12551" max="12551" width="8.28515625" style="49" bestFit="1" customWidth="1"/>
    <col min="12552" max="12806" width="9.140625" style="49"/>
    <col min="12807" max="12807" width="8.28515625" style="49" bestFit="1" customWidth="1"/>
    <col min="12808" max="13062" width="9.140625" style="49"/>
    <col min="13063" max="13063" width="8.28515625" style="49" bestFit="1" customWidth="1"/>
    <col min="13064" max="13318" width="9.140625" style="49"/>
    <col min="13319" max="13319" width="8.28515625" style="49" bestFit="1" customWidth="1"/>
    <col min="13320" max="13574" width="9.140625" style="49"/>
    <col min="13575" max="13575" width="8.28515625" style="49" bestFit="1" customWidth="1"/>
    <col min="13576" max="13830" width="9.140625" style="49"/>
    <col min="13831" max="13831" width="8.28515625" style="49" bestFit="1" customWidth="1"/>
    <col min="13832" max="14086" width="9.140625" style="49"/>
    <col min="14087" max="14087" width="8.28515625" style="49" bestFit="1" customWidth="1"/>
    <col min="14088" max="14342" width="9.140625" style="49"/>
    <col min="14343" max="14343" width="8.28515625" style="49" bestFit="1" customWidth="1"/>
    <col min="14344" max="14598" width="9.140625" style="49"/>
    <col min="14599" max="14599" width="8.28515625" style="49" bestFit="1" customWidth="1"/>
    <col min="14600" max="14854" width="9.140625" style="49"/>
    <col min="14855" max="14855" width="8.28515625" style="49" bestFit="1" customWidth="1"/>
    <col min="14856" max="15110" width="9.140625" style="49"/>
    <col min="15111" max="15111" width="8.28515625" style="49" bestFit="1" customWidth="1"/>
    <col min="15112" max="15366" width="9.140625" style="49"/>
    <col min="15367" max="15367" width="8.28515625" style="49" bestFit="1" customWidth="1"/>
    <col min="15368" max="15622" width="9.140625" style="49"/>
    <col min="15623" max="15623" width="8.28515625" style="49" bestFit="1" customWidth="1"/>
    <col min="15624" max="15878" width="9.140625" style="49"/>
    <col min="15879" max="15879" width="8.28515625" style="49" bestFit="1" customWidth="1"/>
    <col min="15880" max="16134" width="9.140625" style="49"/>
    <col min="16135" max="16135" width="8.28515625" style="49" bestFit="1" customWidth="1"/>
    <col min="16136" max="16384" width="9.140625" style="49"/>
  </cols>
  <sheetData>
    <row r="1" spans="1:23" ht="13.5" thickBot="1" x14ac:dyDescent="0.25">
      <c r="A1" s="73" t="s">
        <v>0</v>
      </c>
      <c r="B1" s="74"/>
      <c r="F1" s="73" t="s">
        <v>1</v>
      </c>
      <c r="G1" s="74"/>
    </row>
    <row r="2" spans="1:23" x14ac:dyDescent="0.2">
      <c r="A2" s="3" t="s">
        <v>2</v>
      </c>
      <c r="B2" s="4">
        <v>100</v>
      </c>
      <c r="F2" s="50" t="s">
        <v>20</v>
      </c>
      <c r="G2" s="42">
        <v>1</v>
      </c>
    </row>
    <row r="3" spans="1:23" ht="15.75" thickBot="1" x14ac:dyDescent="0.3">
      <c r="A3" s="7" t="s">
        <v>4</v>
      </c>
      <c r="B3" s="8">
        <v>0.25</v>
      </c>
      <c r="F3" s="51" t="s">
        <v>3</v>
      </c>
      <c r="G3" s="52">
        <v>110</v>
      </c>
    </row>
    <row r="4" spans="1:23" ht="15" x14ac:dyDescent="0.25">
      <c r="A4" s="7" t="s">
        <v>5</v>
      </c>
      <c r="B4" s="10">
        <v>0.3</v>
      </c>
    </row>
    <row r="5" spans="1:23" x14ac:dyDescent="0.2">
      <c r="A5" s="7" t="s">
        <v>6</v>
      </c>
      <c r="B5" s="11">
        <v>15</v>
      </c>
    </row>
    <row r="6" spans="1:23" ht="15" x14ac:dyDescent="0.25">
      <c r="A6" s="7" t="s">
        <v>22</v>
      </c>
      <c r="B6" s="46">
        <v>0.02</v>
      </c>
    </row>
    <row r="7" spans="1:23" ht="15.75" thickBot="1" x14ac:dyDescent="0.3">
      <c r="A7" s="47" t="s">
        <v>23</v>
      </c>
      <c r="B7" s="48">
        <v>0.01</v>
      </c>
    </row>
    <row r="8" spans="1:23" x14ac:dyDescent="0.2">
      <c r="A8" s="13" t="s">
        <v>8</v>
      </c>
      <c r="B8" s="14">
        <f>EXP(B4*SQRT(B3/B5))</f>
        <v>1.0394896104013376</v>
      </c>
    </row>
    <row r="9" spans="1:23" x14ac:dyDescent="0.2">
      <c r="A9" s="15" t="s">
        <v>9</v>
      </c>
      <c r="B9" s="16">
        <f>1/B8</f>
        <v>0.96201057710803761</v>
      </c>
    </row>
    <row r="10" spans="1:23" x14ac:dyDescent="0.2">
      <c r="A10" s="15" t="s">
        <v>10</v>
      </c>
      <c r="B10" s="18">
        <f>(EXP((B6 - B7) * B3/B5) - B9) / (B8 - B9)</f>
        <v>0.49247005062451049</v>
      </c>
    </row>
    <row r="11" spans="1:23" ht="13.5" thickBot="1" x14ac:dyDescent="0.25">
      <c r="A11" s="19" t="s">
        <v>11</v>
      </c>
      <c r="B11" s="20">
        <f>1 - B10</f>
        <v>0.50752994937548945</v>
      </c>
    </row>
    <row r="14" spans="1:23" x14ac:dyDescent="0.2">
      <c r="A14" s="53" t="s">
        <v>32</v>
      </c>
      <c r="M14" s="53"/>
    </row>
    <row r="15" spans="1:23" x14ac:dyDescent="0.2">
      <c r="B15" s="54">
        <v>0</v>
      </c>
      <c r="C15" s="54">
        <v>1</v>
      </c>
      <c r="D15" s="54">
        <v>2</v>
      </c>
      <c r="E15" s="54">
        <v>3</v>
      </c>
      <c r="F15" s="54">
        <v>4</v>
      </c>
      <c r="G15" s="54">
        <v>5</v>
      </c>
      <c r="H15" s="54">
        <v>6</v>
      </c>
      <c r="I15" s="54">
        <v>7</v>
      </c>
      <c r="J15" s="54">
        <v>8</v>
      </c>
      <c r="K15" s="54">
        <v>9</v>
      </c>
      <c r="L15" s="49">
        <v>10</v>
      </c>
      <c r="M15" s="49">
        <v>11</v>
      </c>
      <c r="N15" s="54">
        <v>12</v>
      </c>
      <c r="O15" s="54">
        <v>13</v>
      </c>
      <c r="P15" s="54">
        <v>14</v>
      </c>
      <c r="Q15" s="54">
        <v>15</v>
      </c>
      <c r="R15" s="54"/>
      <c r="S15" s="54"/>
      <c r="T15" s="54"/>
      <c r="U15" s="54"/>
      <c r="V15" s="54"/>
      <c r="W15" s="54"/>
    </row>
    <row r="16" spans="1:23" x14ac:dyDescent="0.2">
      <c r="A16" s="49">
        <v>15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N16" s="54"/>
      <c r="O16" s="54"/>
      <c r="P16" s="54"/>
      <c r="Q16" s="55">
        <f t="shared" ref="Q16:Q18" ca="1" si="0">IF($A16&lt;Q$15,$B$9*OFFSET(Q16,0,-1),IF($A16=Q$15,$B$8*OFFSET(Q16,1,-1),""))</f>
        <v>178.77315075823685</v>
      </c>
      <c r="R16" s="54"/>
      <c r="S16" s="54"/>
      <c r="T16" s="54"/>
      <c r="U16" s="54"/>
      <c r="V16" s="54"/>
      <c r="W16" s="54"/>
    </row>
    <row r="17" spans="1:23" x14ac:dyDescent="0.2">
      <c r="A17" s="49">
        <v>14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N17" s="54"/>
      <c r="O17" s="54"/>
      <c r="P17" s="55">
        <f t="shared" ref="P17:P18" ca="1" si="1">IF($A17&lt;P$15,$B$9*OFFSET(P17,0,-1),IF($A17=P$15,$B$8*OFFSET(P17,1,-1),""))</f>
        <v>171.98166193235366</v>
      </c>
      <c r="Q17" s="55">
        <f t="shared" ca="1" si="0"/>
        <v>165.44817784754298</v>
      </c>
      <c r="R17" s="54"/>
      <c r="S17" s="54"/>
      <c r="T17" s="54"/>
      <c r="U17" s="54"/>
      <c r="V17" s="54"/>
      <c r="W17" s="54"/>
    </row>
    <row r="18" spans="1:23" x14ac:dyDescent="0.2">
      <c r="A18" s="49">
        <v>13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N18" s="54"/>
      <c r="O18" s="55">
        <f t="shared" ref="O18:O31" ca="1" si="2">IF($A18&lt;O$15,$B$9*OFFSET(O18,0,-1),IF($A18=O$15,$B$8*OFFSET(O18,1,-1),""))</f>
        <v>165.44817784754298</v>
      </c>
      <c r="P18" s="55">
        <f t="shared" ca="1" si="1"/>
        <v>159.16289705258808</v>
      </c>
      <c r="Q18" s="55">
        <f t="shared" ca="1" si="0"/>
        <v>153.11639044774745</v>
      </c>
      <c r="R18" s="54"/>
      <c r="S18" s="54"/>
      <c r="T18" s="54"/>
      <c r="U18" s="54"/>
      <c r="V18" s="54"/>
      <c r="W18" s="54"/>
    </row>
    <row r="19" spans="1:23" x14ac:dyDescent="0.2">
      <c r="A19" s="49">
        <v>12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N19" s="55">
        <f t="shared" ref="N19:N31" ca="1" si="3">IF($A19&lt;N$15,$B$9*OFFSET(N19,0,-1),IF($A19=N$15,$B$8*OFFSET(N19,1,-1),""))</f>
        <v>159.16289705258808</v>
      </c>
      <c r="O19" s="55">
        <f t="shared" ca="1" si="2"/>
        <v>153.11639044774745</v>
      </c>
      <c r="P19" s="55">
        <f t="shared" ref="P19:Q31" ca="1" si="4">IF($A19&lt;P$15,$B$9*OFFSET(P19,0,-1),IF($A19=P$15,$B$8*OFFSET(P19,1,-1),""))</f>
        <v>147.29958713933715</v>
      </c>
      <c r="Q19" s="55">
        <f t="shared" ca="1" si="4"/>
        <v>141.70376083168941</v>
      </c>
      <c r="R19" s="54"/>
      <c r="S19" s="54"/>
      <c r="T19" s="54"/>
      <c r="U19" s="54"/>
      <c r="V19" s="54"/>
      <c r="W19" s="54"/>
    </row>
    <row r="20" spans="1:23" x14ac:dyDescent="0.2">
      <c r="A20" s="49">
        <v>11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M20" s="55">
        <f t="shared" ref="M20:M31" ca="1" si="5">IF($A20&lt;M$15,$B$9*OFFSET(M20,0,-1),IF($A20=M$15,$B$8*OFFSET(M20,1,-1),""))</f>
        <v>153.11639044774745</v>
      </c>
      <c r="N20" s="55">
        <f t="shared" ca="1" si="3"/>
        <v>147.29958713933715</v>
      </c>
      <c r="O20" s="55">
        <f t="shared" ca="1" si="2"/>
        <v>141.70376083168941</v>
      </c>
      <c r="P20" s="55">
        <f t="shared" ca="1" si="4"/>
        <v>136.32051673607288</v>
      </c>
      <c r="Q20" s="55">
        <f t="shared" ca="1" si="4"/>
        <v>131.14177897693537</v>
      </c>
      <c r="R20" s="54"/>
      <c r="S20" s="54"/>
      <c r="T20" s="54"/>
      <c r="U20" s="54"/>
      <c r="V20" s="54"/>
      <c r="W20" s="54"/>
    </row>
    <row r="21" spans="1:23" x14ac:dyDescent="0.2">
      <c r="A21" s="49">
        <v>10</v>
      </c>
      <c r="B21" s="54"/>
      <c r="C21" s="55" t="str">
        <f t="shared" ref="C21:L31" ca="1" si="6">IF($A21&lt;C$15,$B$9*OFFSET(C21,0,-1),IF($A21=C$15,$B$8*OFFSET(C21,1,-1),""))</f>
        <v/>
      </c>
      <c r="D21" s="55" t="str">
        <f t="shared" ca="1" si="6"/>
        <v/>
      </c>
      <c r="E21" s="55" t="str">
        <f t="shared" ca="1" si="6"/>
        <v/>
      </c>
      <c r="F21" s="55" t="str">
        <f t="shared" ca="1" si="6"/>
        <v/>
      </c>
      <c r="G21" s="55" t="str">
        <f t="shared" ca="1" si="6"/>
        <v/>
      </c>
      <c r="H21" s="55" t="str">
        <f t="shared" ca="1" si="6"/>
        <v/>
      </c>
      <c r="I21" s="55" t="str">
        <f t="shared" ca="1" si="6"/>
        <v/>
      </c>
      <c r="J21" s="55" t="str">
        <f t="shared" ca="1" si="6"/>
        <v/>
      </c>
      <c r="K21" s="55" t="str">
        <f t="shared" ca="1" si="6"/>
        <v/>
      </c>
      <c r="L21" s="55">
        <f t="shared" ca="1" si="6"/>
        <v>147.29958713933715</v>
      </c>
      <c r="M21" s="55">
        <f t="shared" ca="1" si="5"/>
        <v>141.70376083168941</v>
      </c>
      <c r="N21" s="55">
        <f t="shared" ca="1" si="3"/>
        <v>136.32051673607288</v>
      </c>
      <c r="O21" s="55">
        <f t="shared" ca="1" si="2"/>
        <v>131.14177897693537</v>
      </c>
      <c r="P21" s="55">
        <f t="shared" ca="1" si="4"/>
        <v>126.15977847657631</v>
      </c>
      <c r="Q21" s="55">
        <f t="shared" ca="1" si="4"/>
        <v>121.36704130007335</v>
      </c>
      <c r="R21" s="54"/>
      <c r="S21" s="54"/>
      <c r="T21" s="54"/>
      <c r="U21" s="54"/>
      <c r="V21" s="54"/>
      <c r="W21" s="54"/>
    </row>
    <row r="22" spans="1:23" x14ac:dyDescent="0.2">
      <c r="A22" s="49">
        <v>9</v>
      </c>
      <c r="B22" s="54"/>
      <c r="C22" s="55" t="str">
        <f t="shared" ca="1" si="6"/>
        <v/>
      </c>
      <c r="D22" s="55" t="str">
        <f t="shared" ca="1" si="6"/>
        <v/>
      </c>
      <c r="E22" s="55" t="str">
        <f t="shared" ca="1" si="6"/>
        <v/>
      </c>
      <c r="F22" s="55" t="str">
        <f t="shared" ca="1" si="6"/>
        <v/>
      </c>
      <c r="G22" s="55" t="str">
        <f t="shared" ca="1" si="6"/>
        <v/>
      </c>
      <c r="H22" s="55" t="str">
        <f t="shared" ca="1" si="6"/>
        <v/>
      </c>
      <c r="I22" s="55" t="str">
        <f t="shared" ca="1" si="6"/>
        <v/>
      </c>
      <c r="J22" s="55" t="str">
        <f t="shared" ca="1" si="6"/>
        <v/>
      </c>
      <c r="K22" s="55">
        <f t="shared" ca="1" si="6"/>
        <v>141.70376083168941</v>
      </c>
      <c r="L22" s="55">
        <f t="shared" ca="1" si="6"/>
        <v>136.32051673607288</v>
      </c>
      <c r="M22" s="55">
        <f t="shared" ca="1" si="5"/>
        <v>131.14177897693537</v>
      </c>
      <c r="N22" s="55">
        <f t="shared" ca="1" si="3"/>
        <v>126.15977847657631</v>
      </c>
      <c r="O22" s="55">
        <f t="shared" ca="1" si="2"/>
        <v>121.36704130007335</v>
      </c>
      <c r="P22" s="55">
        <f t="shared" ca="1" si="4"/>
        <v>116.7563774429786</v>
      </c>
      <c r="Q22" s="55">
        <f t="shared" ca="1" si="4"/>
        <v>112.32087004496371</v>
      </c>
      <c r="R22" s="54"/>
      <c r="S22" s="54"/>
      <c r="T22" s="54"/>
      <c r="U22" s="54"/>
      <c r="V22" s="54"/>
      <c r="W22" s="54"/>
    </row>
    <row r="23" spans="1:23" x14ac:dyDescent="0.2">
      <c r="A23" s="49">
        <v>8</v>
      </c>
      <c r="B23" s="54"/>
      <c r="C23" s="55" t="str">
        <f t="shared" ca="1" si="6"/>
        <v/>
      </c>
      <c r="D23" s="55" t="str">
        <f t="shared" ca="1" si="6"/>
        <v/>
      </c>
      <c r="E23" s="55" t="str">
        <f t="shared" ca="1" si="6"/>
        <v/>
      </c>
      <c r="F23" s="55" t="str">
        <f t="shared" ca="1" si="6"/>
        <v/>
      </c>
      <c r="G23" s="55" t="str">
        <f t="shared" ca="1" si="6"/>
        <v/>
      </c>
      <c r="H23" s="55" t="str">
        <f t="shared" ca="1" si="6"/>
        <v/>
      </c>
      <c r="I23" s="55" t="str">
        <f t="shared" ca="1" si="6"/>
        <v/>
      </c>
      <c r="J23" s="55">
        <f t="shared" ca="1" si="6"/>
        <v>136.32051673607288</v>
      </c>
      <c r="K23" s="55">
        <f t="shared" ca="1" si="6"/>
        <v>131.14177897693537</v>
      </c>
      <c r="L23" s="55">
        <f t="shared" ca="1" si="6"/>
        <v>126.15977847657631</v>
      </c>
      <c r="M23" s="55">
        <f t="shared" ca="1" si="5"/>
        <v>121.36704130007335</v>
      </c>
      <c r="N23" s="55">
        <f t="shared" ca="1" si="3"/>
        <v>116.7563774429786</v>
      </c>
      <c r="O23" s="55">
        <f t="shared" ca="1" si="2"/>
        <v>112.32087004496371</v>
      </c>
      <c r="P23" s="55">
        <f t="shared" ca="1" si="4"/>
        <v>108.05386501323244</v>
      </c>
      <c r="Q23" s="55">
        <f t="shared" ca="1" si="4"/>
        <v>103.94896104013374</v>
      </c>
      <c r="R23" s="54"/>
      <c r="S23" s="54"/>
      <c r="T23" s="54"/>
      <c r="U23" s="54"/>
      <c r="V23" s="54"/>
      <c r="W23" s="54"/>
    </row>
    <row r="24" spans="1:23" x14ac:dyDescent="0.2">
      <c r="A24" s="49">
        <v>7</v>
      </c>
      <c r="B24" s="54"/>
      <c r="C24" s="55" t="str">
        <f t="shared" ca="1" si="6"/>
        <v/>
      </c>
      <c r="D24" s="55" t="str">
        <f t="shared" ca="1" si="6"/>
        <v/>
      </c>
      <c r="E24" s="55" t="str">
        <f t="shared" ca="1" si="6"/>
        <v/>
      </c>
      <c r="F24" s="55" t="str">
        <f t="shared" ca="1" si="6"/>
        <v/>
      </c>
      <c r="G24" s="55" t="str">
        <f t="shared" ca="1" si="6"/>
        <v/>
      </c>
      <c r="H24" s="55" t="str">
        <f t="shared" ca="1" si="6"/>
        <v/>
      </c>
      <c r="I24" s="55">
        <f t="shared" ca="1" si="6"/>
        <v>131.14177897693537</v>
      </c>
      <c r="J24" s="55">
        <f t="shared" ca="1" si="6"/>
        <v>126.15977847657631</v>
      </c>
      <c r="K24" s="55">
        <f t="shared" ca="1" si="6"/>
        <v>121.36704130007335</v>
      </c>
      <c r="L24" s="55">
        <f t="shared" ca="1" si="6"/>
        <v>116.7563774429786</v>
      </c>
      <c r="M24" s="55">
        <f t="shared" ca="1" si="5"/>
        <v>112.32087004496371</v>
      </c>
      <c r="N24" s="55">
        <f t="shared" ca="1" si="3"/>
        <v>108.05386501323244</v>
      </c>
      <c r="O24" s="55">
        <f t="shared" ca="1" si="2"/>
        <v>103.94896104013374</v>
      </c>
      <c r="P24" s="55">
        <f t="shared" ca="1" si="4"/>
        <v>99.999999999999972</v>
      </c>
      <c r="Q24" s="55">
        <f t="shared" ca="1" si="4"/>
        <v>96.201057710803738</v>
      </c>
      <c r="R24" s="54"/>
      <c r="S24" s="54"/>
      <c r="T24" s="54"/>
      <c r="U24" s="54"/>
      <c r="V24" s="54"/>
      <c r="W24" s="54"/>
    </row>
    <row r="25" spans="1:23" x14ac:dyDescent="0.2">
      <c r="A25" s="49">
        <v>6</v>
      </c>
      <c r="B25" s="54"/>
      <c r="C25" s="55" t="str">
        <f t="shared" ca="1" si="6"/>
        <v/>
      </c>
      <c r="D25" s="55" t="str">
        <f t="shared" ca="1" si="6"/>
        <v/>
      </c>
      <c r="E25" s="55" t="str">
        <f t="shared" ca="1" si="6"/>
        <v/>
      </c>
      <c r="F25" s="55" t="str">
        <f t="shared" ca="1" si="6"/>
        <v/>
      </c>
      <c r="G25" s="55" t="str">
        <f t="shared" ca="1" si="6"/>
        <v/>
      </c>
      <c r="H25" s="55">
        <f t="shared" ca="1" si="6"/>
        <v>126.15977847657631</v>
      </c>
      <c r="I25" s="55">
        <f t="shared" ca="1" si="6"/>
        <v>121.36704130007335</v>
      </c>
      <c r="J25" s="55">
        <f t="shared" ca="1" si="6"/>
        <v>116.7563774429786</v>
      </c>
      <c r="K25" s="55">
        <f t="shared" ca="1" si="6"/>
        <v>112.32087004496371</v>
      </c>
      <c r="L25" s="55">
        <f t="shared" ca="1" si="6"/>
        <v>108.05386501323244</v>
      </c>
      <c r="M25" s="55">
        <f t="shared" ca="1" si="5"/>
        <v>103.94896104013374</v>
      </c>
      <c r="N25" s="55">
        <f t="shared" ca="1" si="3"/>
        <v>99.999999999999972</v>
      </c>
      <c r="O25" s="55">
        <f t="shared" ca="1" si="2"/>
        <v>96.201057710803738</v>
      </c>
      <c r="P25" s="55">
        <f t="shared" ca="1" si="4"/>
        <v>92.546435046773937</v>
      </c>
      <c r="Q25" s="55">
        <f t="shared" ca="1" si="4"/>
        <v>89.030649388638508</v>
      </c>
      <c r="R25" s="54"/>
      <c r="S25" s="54"/>
      <c r="T25" s="54"/>
      <c r="U25" s="54"/>
      <c r="V25" s="54"/>
      <c r="W25" s="54"/>
    </row>
    <row r="26" spans="1:23" x14ac:dyDescent="0.2">
      <c r="A26" s="49">
        <v>5</v>
      </c>
      <c r="C26" s="55" t="str">
        <f t="shared" ca="1" si="6"/>
        <v/>
      </c>
      <c r="D26" s="55" t="str">
        <f t="shared" ca="1" si="6"/>
        <v/>
      </c>
      <c r="E26" s="55" t="str">
        <f t="shared" ca="1" si="6"/>
        <v/>
      </c>
      <c r="F26" s="55" t="str">
        <f t="shared" ca="1" si="6"/>
        <v/>
      </c>
      <c r="G26" s="55">
        <f t="shared" ca="1" si="6"/>
        <v>121.36704130007337</v>
      </c>
      <c r="H26" s="55">
        <f t="shared" ca="1" si="6"/>
        <v>116.75637744297862</v>
      </c>
      <c r="I26" s="55">
        <f t="shared" ca="1" si="6"/>
        <v>112.32087004496373</v>
      </c>
      <c r="J26" s="55">
        <f t="shared" ca="1" si="6"/>
        <v>108.05386501323245</v>
      </c>
      <c r="K26" s="55">
        <f t="shared" ca="1" si="6"/>
        <v>103.94896104013375</v>
      </c>
      <c r="L26" s="55">
        <f t="shared" ca="1" si="6"/>
        <v>99.999999999999986</v>
      </c>
      <c r="M26" s="55">
        <f t="shared" ca="1" si="5"/>
        <v>96.201057710803752</v>
      </c>
      <c r="N26" s="55">
        <f t="shared" ca="1" si="3"/>
        <v>92.546435046773951</v>
      </c>
      <c r="O26" s="55">
        <f t="shared" ca="1" si="2"/>
        <v>89.030649388638523</v>
      </c>
      <c r="P26" s="55">
        <f t="shared" ca="1" si="4"/>
        <v>85.648426398667496</v>
      </c>
      <c r="Q26" s="55">
        <f t="shared" ca="1" si="4"/>
        <v>82.394692108177395</v>
      </c>
      <c r="R26" s="56"/>
      <c r="S26" s="56"/>
      <c r="T26" s="56"/>
      <c r="U26" s="56"/>
      <c r="V26" s="56"/>
      <c r="W26" s="56"/>
    </row>
    <row r="27" spans="1:23" x14ac:dyDescent="0.2">
      <c r="A27" s="49">
        <v>4</v>
      </c>
      <c r="C27" s="55" t="str">
        <f t="shared" ca="1" si="6"/>
        <v/>
      </c>
      <c r="D27" s="55" t="str">
        <f t="shared" ca="1" si="6"/>
        <v/>
      </c>
      <c r="E27" s="55" t="str">
        <f t="shared" ca="1" si="6"/>
        <v/>
      </c>
      <c r="F27" s="55">
        <f t="shared" ca="1" si="6"/>
        <v>116.75637744297862</v>
      </c>
      <c r="G27" s="55">
        <f t="shared" ca="1" si="6"/>
        <v>112.32087004496373</v>
      </c>
      <c r="H27" s="55">
        <f t="shared" ca="1" si="6"/>
        <v>108.05386501323245</v>
      </c>
      <c r="I27" s="55">
        <f t="shared" ca="1" si="6"/>
        <v>103.94896104013375</v>
      </c>
      <c r="J27" s="55">
        <f t="shared" ca="1" si="6"/>
        <v>99.999999999999986</v>
      </c>
      <c r="K27" s="55">
        <f t="shared" ca="1" si="6"/>
        <v>96.201057710803752</v>
      </c>
      <c r="L27" s="55">
        <f t="shared" ca="1" si="6"/>
        <v>92.546435046773951</v>
      </c>
      <c r="M27" s="55">
        <f t="shared" ca="1" si="5"/>
        <v>89.030649388638523</v>
      </c>
      <c r="N27" s="55">
        <f t="shared" ca="1" si="3"/>
        <v>85.648426398667496</v>
      </c>
      <c r="O27" s="55">
        <f t="shared" ca="1" si="2"/>
        <v>82.394692108177395</v>
      </c>
      <c r="P27" s="55">
        <f t="shared" ca="1" si="4"/>
        <v>79.264565305626803</v>
      </c>
      <c r="Q27" s="55">
        <f t="shared" ca="1" si="4"/>
        <v>76.253350213883778</v>
      </c>
      <c r="R27" s="56"/>
      <c r="S27" s="56"/>
      <c r="T27" s="56"/>
      <c r="U27" s="56"/>
      <c r="V27" s="56"/>
      <c r="W27" s="56"/>
    </row>
    <row r="28" spans="1:23" x14ac:dyDescent="0.2">
      <c r="A28" s="49">
        <v>3</v>
      </c>
      <c r="C28" s="55" t="str">
        <f t="shared" ca="1" si="6"/>
        <v/>
      </c>
      <c r="D28" s="55" t="str">
        <f t="shared" ca="1" si="6"/>
        <v/>
      </c>
      <c r="E28" s="55">
        <f t="shared" ca="1" si="6"/>
        <v>112.32087004496373</v>
      </c>
      <c r="F28" s="55">
        <f t="shared" ca="1" si="6"/>
        <v>108.05386501323245</v>
      </c>
      <c r="G28" s="55">
        <f t="shared" ca="1" si="6"/>
        <v>103.94896104013375</v>
      </c>
      <c r="H28" s="55">
        <f t="shared" ca="1" si="6"/>
        <v>99.999999999999986</v>
      </c>
      <c r="I28" s="55">
        <f t="shared" ca="1" si="6"/>
        <v>96.201057710803752</v>
      </c>
      <c r="J28" s="55">
        <f t="shared" ca="1" si="6"/>
        <v>92.546435046773951</v>
      </c>
      <c r="K28" s="55">
        <f t="shared" ca="1" si="6"/>
        <v>89.030649388638523</v>
      </c>
      <c r="L28" s="55">
        <f t="shared" ca="1" si="6"/>
        <v>85.648426398667496</v>
      </c>
      <c r="M28" s="55">
        <f t="shared" ca="1" si="5"/>
        <v>82.394692108177395</v>
      </c>
      <c r="N28" s="55">
        <f t="shared" ca="1" si="3"/>
        <v>79.264565305626803</v>
      </c>
      <c r="O28" s="55">
        <f t="shared" ca="1" si="2"/>
        <v>76.253350213883778</v>
      </c>
      <c r="P28" s="55">
        <f t="shared" ca="1" si="4"/>
        <v>73.356529445679641</v>
      </c>
      <c r="Q28" s="55">
        <f t="shared" ca="1" si="4"/>
        <v>70.56975722668102</v>
      </c>
      <c r="R28" s="56"/>
      <c r="S28" s="56"/>
      <c r="T28" s="56"/>
      <c r="U28" s="56"/>
      <c r="V28" s="56"/>
      <c r="W28" s="56"/>
    </row>
    <row r="29" spans="1:23" x14ac:dyDescent="0.2">
      <c r="A29" s="49">
        <v>2</v>
      </c>
      <c r="C29" s="55" t="str">
        <f t="shared" ca="1" si="6"/>
        <v/>
      </c>
      <c r="D29" s="55">
        <f t="shared" ca="1" si="6"/>
        <v>108.05386501323245</v>
      </c>
      <c r="E29" s="55">
        <f t="shared" ca="1" si="6"/>
        <v>103.94896104013375</v>
      </c>
      <c r="F29" s="55">
        <f t="shared" ca="1" si="6"/>
        <v>99.999999999999986</v>
      </c>
      <c r="G29" s="55">
        <f t="shared" ca="1" si="6"/>
        <v>96.201057710803752</v>
      </c>
      <c r="H29" s="55">
        <f t="shared" ca="1" si="6"/>
        <v>92.546435046773951</v>
      </c>
      <c r="I29" s="55">
        <f t="shared" ca="1" si="6"/>
        <v>89.030649388638523</v>
      </c>
      <c r="J29" s="55">
        <f t="shared" ca="1" si="6"/>
        <v>85.648426398667496</v>
      </c>
      <c r="K29" s="55">
        <f t="shared" ca="1" si="6"/>
        <v>82.394692108177395</v>
      </c>
      <c r="L29" s="55">
        <f t="shared" ca="1" si="6"/>
        <v>79.264565305626803</v>
      </c>
      <c r="M29" s="55">
        <f t="shared" ca="1" si="5"/>
        <v>76.253350213883778</v>
      </c>
      <c r="N29" s="55">
        <f t="shared" ca="1" si="3"/>
        <v>73.356529445679641</v>
      </c>
      <c r="O29" s="55">
        <f t="shared" ca="1" si="2"/>
        <v>70.56975722668102</v>
      </c>
      <c r="P29" s="55">
        <f t="shared" ca="1" si="4"/>
        <v>67.888852876013516</v>
      </c>
      <c r="Q29" s="55">
        <f t="shared" ca="1" si="4"/>
        <v>65.309794534456415</v>
      </c>
      <c r="R29" s="56"/>
      <c r="S29" s="56"/>
      <c r="T29" s="56"/>
      <c r="U29" s="56"/>
      <c r="V29" s="56"/>
      <c r="W29" s="56"/>
    </row>
    <row r="30" spans="1:23" x14ac:dyDescent="0.2">
      <c r="A30" s="49">
        <v>1</v>
      </c>
      <c r="C30" s="55">
        <f t="shared" ca="1" si="6"/>
        <v>103.94896104013375</v>
      </c>
      <c r="D30" s="55">
        <f t="shared" ca="1" si="6"/>
        <v>99.999999999999986</v>
      </c>
      <c r="E30" s="55">
        <f t="shared" ca="1" si="6"/>
        <v>96.201057710803752</v>
      </c>
      <c r="F30" s="55">
        <f t="shared" ca="1" si="6"/>
        <v>92.546435046773951</v>
      </c>
      <c r="G30" s="55">
        <f t="shared" ca="1" si="6"/>
        <v>89.030649388638523</v>
      </c>
      <c r="H30" s="55">
        <f t="shared" ca="1" si="6"/>
        <v>85.648426398667496</v>
      </c>
      <c r="I30" s="55">
        <f t="shared" ca="1" si="6"/>
        <v>82.394692108177395</v>
      </c>
      <c r="J30" s="55">
        <f t="shared" ca="1" si="6"/>
        <v>79.264565305626803</v>
      </c>
      <c r="K30" s="55">
        <f t="shared" ca="1" si="6"/>
        <v>76.253350213883778</v>
      </c>
      <c r="L30" s="55">
        <f t="shared" ca="1" si="6"/>
        <v>73.356529445679641</v>
      </c>
      <c r="M30" s="55">
        <f t="shared" ca="1" si="5"/>
        <v>70.56975722668102</v>
      </c>
      <c r="N30" s="55">
        <f t="shared" ca="1" si="3"/>
        <v>67.888852876013516</v>
      </c>
      <c r="O30" s="55">
        <f t="shared" ca="1" si="2"/>
        <v>65.309794534456415</v>
      </c>
      <c r="P30" s="55">
        <f t="shared" ca="1" si="4"/>
        <v>62.828713130899779</v>
      </c>
      <c r="Q30" s="55">
        <f t="shared" ca="1" si="4"/>
        <v>60.441886578012237</v>
      </c>
      <c r="R30" s="56"/>
      <c r="S30" s="56"/>
      <c r="T30" s="56"/>
      <c r="U30" s="56"/>
      <c r="V30" s="56"/>
      <c r="W30" s="56"/>
    </row>
    <row r="31" spans="1:23" x14ac:dyDescent="0.2">
      <c r="A31" s="49">
        <v>0</v>
      </c>
      <c r="B31" s="55">
        <f>$B$2</f>
        <v>100</v>
      </c>
      <c r="C31" s="55">
        <f t="shared" ca="1" si="6"/>
        <v>96.201057710803767</v>
      </c>
      <c r="D31" s="55">
        <f t="shared" ca="1" si="6"/>
        <v>92.546435046773965</v>
      </c>
      <c r="E31" s="55">
        <f t="shared" ca="1" si="6"/>
        <v>89.030649388638537</v>
      </c>
      <c r="F31" s="55">
        <f t="shared" ca="1" si="6"/>
        <v>85.64842639866751</v>
      </c>
      <c r="G31" s="55">
        <f t="shared" ca="1" si="6"/>
        <v>82.394692108177409</v>
      </c>
      <c r="H31" s="55">
        <f t="shared" ca="1" si="6"/>
        <v>79.264565305626817</v>
      </c>
      <c r="I31" s="55">
        <f t="shared" ca="1" si="6"/>
        <v>76.253350213883792</v>
      </c>
      <c r="J31" s="55">
        <f t="shared" ca="1" si="6"/>
        <v>73.356529445679655</v>
      </c>
      <c r="K31" s="55">
        <f t="shared" ca="1" si="6"/>
        <v>70.569757226681034</v>
      </c>
      <c r="L31" s="55">
        <f t="shared" ca="1" si="6"/>
        <v>67.88885287601353</v>
      </c>
      <c r="M31" s="55">
        <f t="shared" ca="1" si="5"/>
        <v>65.309794534456429</v>
      </c>
      <c r="N31" s="55">
        <f t="shared" ca="1" si="3"/>
        <v>62.828713130899793</v>
      </c>
      <c r="O31" s="55">
        <f t="shared" ca="1" si="2"/>
        <v>60.441886578012252</v>
      </c>
      <c r="P31" s="55">
        <f t="shared" ca="1" si="4"/>
        <v>58.145734188412121</v>
      </c>
      <c r="Q31" s="55">
        <f t="shared" ca="1" si="4"/>
        <v>55.936811302964898</v>
      </c>
      <c r="R31" s="56"/>
      <c r="S31" s="56"/>
      <c r="T31" s="56"/>
      <c r="U31" s="56"/>
      <c r="V31" s="56"/>
      <c r="W31" s="56"/>
    </row>
    <row r="32" spans="1:23" x14ac:dyDescent="0.2">
      <c r="B32" s="57"/>
      <c r="C32" s="57"/>
      <c r="D32" s="56"/>
      <c r="E32" s="56"/>
      <c r="F32" s="56"/>
      <c r="G32" s="56"/>
      <c r="H32" s="56"/>
      <c r="I32" s="56"/>
      <c r="J32" s="56"/>
      <c r="K32" s="56"/>
      <c r="N32" s="56"/>
      <c r="O32" s="56"/>
      <c r="P32" s="56"/>
      <c r="Q32" s="56"/>
      <c r="R32" s="56"/>
      <c r="S32" s="56"/>
      <c r="T32" s="56"/>
      <c r="U32" s="56"/>
      <c r="V32" s="56"/>
      <c r="W32" s="56"/>
    </row>
    <row r="34" spans="1:24" x14ac:dyDescent="0.2">
      <c r="A34" s="58" t="s">
        <v>33</v>
      </c>
    </row>
    <row r="35" spans="1:24" x14ac:dyDescent="0.2">
      <c r="B35" s="54">
        <v>0</v>
      </c>
      <c r="C35" s="54">
        <v>1</v>
      </c>
      <c r="D35" s="54">
        <v>2</v>
      </c>
      <c r="E35" s="54">
        <v>3</v>
      </c>
      <c r="F35" s="54">
        <v>4</v>
      </c>
      <c r="G35" s="54">
        <v>5</v>
      </c>
      <c r="H35" s="54">
        <v>6</v>
      </c>
      <c r="I35" s="54">
        <v>7</v>
      </c>
      <c r="J35" s="54">
        <v>8</v>
      </c>
      <c r="K35" s="54">
        <v>9</v>
      </c>
      <c r="L35" s="49">
        <v>10</v>
      </c>
      <c r="M35" s="49">
        <v>11</v>
      </c>
      <c r="N35" s="54">
        <v>12</v>
      </c>
      <c r="O35" s="54">
        <v>13</v>
      </c>
      <c r="P35" s="54">
        <v>14</v>
      </c>
      <c r="Q35" s="54">
        <v>15</v>
      </c>
      <c r="R35" s="54"/>
      <c r="S35" s="54"/>
      <c r="T35" s="54"/>
      <c r="U35" s="54"/>
      <c r="V35" s="54"/>
      <c r="W35" s="54"/>
      <c r="X35" s="54"/>
    </row>
    <row r="36" spans="1:24" x14ac:dyDescent="0.2">
      <c r="A36" s="49">
        <v>15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O36" s="54"/>
      <c r="P36" s="54"/>
      <c r="Q36" s="56">
        <f t="shared" ref="Q36:Q51" ca="1" si="7">MAX($G$2*(Q16-$G$3),0)</f>
        <v>68.773150758236852</v>
      </c>
      <c r="R36" s="54"/>
      <c r="S36" s="54"/>
      <c r="T36" s="54"/>
      <c r="U36" s="54"/>
      <c r="V36" s="54"/>
      <c r="W36" s="54"/>
      <c r="X36" s="54"/>
    </row>
    <row r="37" spans="1:24" x14ac:dyDescent="0.2">
      <c r="A37" s="49">
        <v>14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O37" s="54"/>
      <c r="P37" s="56">
        <f t="shared" ref="P37:P51" ca="1" si="8">MAX($G$2*(P17-$G$3),0)</f>
        <v>61.98166193235366</v>
      </c>
      <c r="Q37" s="56">
        <f t="shared" ca="1" si="7"/>
        <v>55.448177847542979</v>
      </c>
      <c r="R37" s="54"/>
      <c r="S37" s="54"/>
      <c r="T37" s="54"/>
      <c r="U37" s="54"/>
      <c r="V37" s="54"/>
      <c r="W37" s="54"/>
      <c r="X37" s="54"/>
    </row>
    <row r="38" spans="1:24" x14ac:dyDescent="0.2">
      <c r="A38" s="49">
        <v>13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O38" s="56">
        <f t="shared" ref="O38:O51" ca="1" si="9">MAX($G$2*(O18-$G$3),0)</f>
        <v>55.448177847542979</v>
      </c>
      <c r="P38" s="56">
        <f t="shared" ca="1" si="8"/>
        <v>49.162897052588079</v>
      </c>
      <c r="Q38" s="56">
        <f t="shared" ca="1" si="7"/>
        <v>43.116390447747449</v>
      </c>
      <c r="R38" s="54"/>
      <c r="S38" s="54"/>
      <c r="T38" s="54"/>
      <c r="U38" s="54"/>
      <c r="V38" s="54"/>
      <c r="W38" s="54"/>
      <c r="X38" s="54"/>
    </row>
    <row r="39" spans="1:24" x14ac:dyDescent="0.2">
      <c r="A39" s="49">
        <v>12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N39" s="56">
        <f t="shared" ref="N39:N51" ca="1" si="10">MAX($G$2*(N19-$G$3),0)</f>
        <v>49.162897052588079</v>
      </c>
      <c r="O39" s="56">
        <f t="shared" ca="1" si="9"/>
        <v>43.116390447747449</v>
      </c>
      <c r="P39" s="56">
        <f t="shared" ca="1" si="8"/>
        <v>37.299587139337149</v>
      </c>
      <c r="Q39" s="56">
        <f t="shared" ca="1" si="7"/>
        <v>31.703760831689408</v>
      </c>
      <c r="R39" s="54"/>
      <c r="S39" s="54"/>
      <c r="T39" s="54"/>
      <c r="U39" s="54"/>
      <c r="V39" s="54"/>
      <c r="W39" s="54"/>
      <c r="X39" s="54"/>
    </row>
    <row r="40" spans="1:24" x14ac:dyDescent="0.2">
      <c r="A40" s="49">
        <v>11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M40" s="56">
        <f t="shared" ref="M40:M51" ca="1" si="11">MAX($G$2*(M20-$G$3),0)</f>
        <v>43.116390447747449</v>
      </c>
      <c r="N40" s="56">
        <f t="shared" ca="1" si="10"/>
        <v>37.299587139337149</v>
      </c>
      <c r="O40" s="56">
        <f t="shared" ca="1" si="9"/>
        <v>31.703760831689408</v>
      </c>
      <c r="P40" s="56">
        <f t="shared" ca="1" si="8"/>
        <v>26.320516736072875</v>
      </c>
      <c r="Q40" s="56">
        <f t="shared" ca="1" si="7"/>
        <v>21.14177897693537</v>
      </c>
      <c r="R40" s="54"/>
      <c r="S40" s="54"/>
      <c r="T40" s="54"/>
      <c r="U40" s="54"/>
      <c r="V40" s="54"/>
      <c r="W40" s="54"/>
      <c r="X40" s="54"/>
    </row>
    <row r="41" spans="1:24" x14ac:dyDescent="0.2">
      <c r="A41" s="49">
        <v>10</v>
      </c>
      <c r="B41" s="59" t="str">
        <f t="shared" ref="B41:K41" si="12">IF($A41 &lt;= B$35, ($B$10*C35+$B$11*C41)/EXP($B$6 * $B$3/$B$5),"")</f>
        <v/>
      </c>
      <c r="C41" s="59" t="str">
        <f t="shared" si="12"/>
        <v/>
      </c>
      <c r="D41" s="59" t="str">
        <f t="shared" si="12"/>
        <v/>
      </c>
      <c r="E41" s="59" t="str">
        <f t="shared" si="12"/>
        <v/>
      </c>
      <c r="F41" s="59" t="str">
        <f t="shared" si="12"/>
        <v/>
      </c>
      <c r="G41" s="59" t="str">
        <f t="shared" si="12"/>
        <v/>
      </c>
      <c r="H41" s="59" t="str">
        <f t="shared" si="12"/>
        <v/>
      </c>
      <c r="I41" s="59" t="str">
        <f t="shared" si="12"/>
        <v/>
      </c>
      <c r="J41" s="59" t="str">
        <f t="shared" si="12"/>
        <v/>
      </c>
      <c r="K41" s="59" t="str">
        <f t="shared" si="12"/>
        <v/>
      </c>
      <c r="L41" s="56">
        <f t="shared" ref="L41:L50" ca="1" si="13">MAX($G$2*(L21-$G$3),0)</f>
        <v>37.299587139337149</v>
      </c>
      <c r="M41" s="56">
        <f t="shared" ca="1" si="11"/>
        <v>31.703760831689408</v>
      </c>
      <c r="N41" s="56">
        <f t="shared" ca="1" si="10"/>
        <v>26.320516736072875</v>
      </c>
      <c r="O41" s="56">
        <f t="shared" ca="1" si="9"/>
        <v>21.14177897693537</v>
      </c>
      <c r="P41" s="56">
        <f t="shared" ca="1" si="8"/>
        <v>16.159778476576307</v>
      </c>
      <c r="Q41" s="56">
        <f t="shared" ca="1" si="7"/>
        <v>11.367041300073353</v>
      </c>
      <c r="R41" s="54"/>
      <c r="S41" s="54"/>
      <c r="T41" s="54"/>
      <c r="U41" s="54"/>
      <c r="V41" s="54"/>
      <c r="W41" s="54"/>
      <c r="X41" s="54"/>
    </row>
    <row r="42" spans="1:24" x14ac:dyDescent="0.2">
      <c r="A42" s="49">
        <v>9</v>
      </c>
      <c r="B42" s="59" t="str">
        <f t="shared" ref="B42:K42" si="14">IF($A42 &lt;= B$35, ($B$10*C41+$B$11*C42)/EXP($B$6 * $B$3/$B$5),"")</f>
        <v/>
      </c>
      <c r="C42" s="59" t="str">
        <f t="shared" si="14"/>
        <v/>
      </c>
      <c r="D42" s="59" t="str">
        <f t="shared" si="14"/>
        <v/>
      </c>
      <c r="E42" s="59" t="str">
        <f t="shared" si="14"/>
        <v/>
      </c>
      <c r="F42" s="59" t="str">
        <f t="shared" si="14"/>
        <v/>
      </c>
      <c r="G42" s="59" t="str">
        <f t="shared" si="14"/>
        <v/>
      </c>
      <c r="H42" s="59" t="str">
        <f t="shared" si="14"/>
        <v/>
      </c>
      <c r="I42" s="59" t="str">
        <f t="shared" si="14"/>
        <v/>
      </c>
      <c r="J42" s="59" t="str">
        <f t="shared" si="14"/>
        <v/>
      </c>
      <c r="K42" s="59">
        <f t="shared" ca="1" si="14"/>
        <v>31.716806062450431</v>
      </c>
      <c r="L42" s="56">
        <f t="shared" ca="1" si="13"/>
        <v>26.320516736072875</v>
      </c>
      <c r="M42" s="56">
        <f t="shared" ca="1" si="11"/>
        <v>21.14177897693537</v>
      </c>
      <c r="N42" s="56">
        <f t="shared" ca="1" si="10"/>
        <v>16.159778476576307</v>
      </c>
      <c r="O42" s="56">
        <f t="shared" ca="1" si="9"/>
        <v>11.367041300073353</v>
      </c>
      <c r="P42" s="56">
        <f t="shared" ca="1" si="8"/>
        <v>6.7563774429786037</v>
      </c>
      <c r="Q42" s="56">
        <f t="shared" ca="1" si="7"/>
        <v>2.3208700449637121</v>
      </c>
      <c r="R42" s="54"/>
      <c r="S42" s="54"/>
      <c r="T42" s="54"/>
      <c r="U42" s="54"/>
      <c r="V42" s="54"/>
      <c r="W42" s="54"/>
      <c r="X42" s="54"/>
    </row>
    <row r="43" spans="1:24" x14ac:dyDescent="0.2">
      <c r="A43" s="49">
        <v>8</v>
      </c>
      <c r="B43" s="59" t="str">
        <f t="shared" ref="B43:K43" si="15">IF($A43 &lt;= B$35, ($B$10*C42+$B$11*C43)/EXP($B$6 * $B$3/$B$5),"")</f>
        <v/>
      </c>
      <c r="C43" s="59" t="str">
        <f t="shared" si="15"/>
        <v/>
      </c>
      <c r="D43" s="59" t="str">
        <f t="shared" si="15"/>
        <v/>
      </c>
      <c r="E43" s="59" t="str">
        <f t="shared" si="15"/>
        <v/>
      </c>
      <c r="F43" s="59" t="str">
        <f t="shared" si="15"/>
        <v/>
      </c>
      <c r="G43" s="59" t="str">
        <f t="shared" si="15"/>
        <v/>
      </c>
      <c r="H43" s="59" t="str">
        <f t="shared" si="15"/>
        <v/>
      </c>
      <c r="I43" s="59" t="str">
        <f t="shared" si="15"/>
        <v/>
      </c>
      <c r="J43" s="59">
        <f t="shared" ca="1" si="15"/>
        <v>26.348393030668223</v>
      </c>
      <c r="K43" s="59">
        <f t="shared" ca="1" si="15"/>
        <v>21.156584391319466</v>
      </c>
      <c r="L43" s="56">
        <f t="shared" ca="1" si="13"/>
        <v>16.159778476576307</v>
      </c>
      <c r="M43" s="56">
        <f t="shared" ca="1" si="11"/>
        <v>11.367041300073353</v>
      </c>
      <c r="N43" s="56">
        <f t="shared" ca="1" si="10"/>
        <v>6.7563774429786037</v>
      </c>
      <c r="O43" s="56">
        <f t="shared" ca="1" si="9"/>
        <v>2.3208700449637121</v>
      </c>
      <c r="P43" s="56">
        <f t="shared" ca="1" si="8"/>
        <v>0</v>
      </c>
      <c r="Q43" s="56">
        <f t="shared" ca="1" si="7"/>
        <v>0</v>
      </c>
      <c r="R43" s="54"/>
      <c r="S43" s="54"/>
      <c r="T43" s="54"/>
      <c r="U43" s="54"/>
      <c r="V43" s="54"/>
      <c r="W43" s="54"/>
      <c r="X43" s="54"/>
    </row>
    <row r="44" spans="1:24" x14ac:dyDescent="0.2">
      <c r="A44" s="49">
        <v>7</v>
      </c>
      <c r="B44" s="59" t="str">
        <f t="shared" ref="B44:K44" si="16">IF($A44 &lt;= B$35, ($B$10*C43+$B$11*C44)/EXP($B$6 * $B$3/$B$5),"")</f>
        <v/>
      </c>
      <c r="C44" s="59" t="str">
        <f t="shared" si="16"/>
        <v/>
      </c>
      <c r="D44" s="59" t="str">
        <f t="shared" si="16"/>
        <v/>
      </c>
      <c r="E44" s="59" t="str">
        <f t="shared" si="16"/>
        <v/>
      </c>
      <c r="F44" s="59" t="str">
        <f t="shared" si="16"/>
        <v/>
      </c>
      <c r="G44" s="59" t="str">
        <f t="shared" si="16"/>
        <v/>
      </c>
      <c r="H44" s="59" t="str">
        <f t="shared" si="16"/>
        <v/>
      </c>
      <c r="I44" s="59">
        <f t="shared" ca="1" si="16"/>
        <v>21.186169495766244</v>
      </c>
      <c r="J44" s="59">
        <f t="shared" ca="1" si="16"/>
        <v>16.191041119502085</v>
      </c>
      <c r="K44" s="59">
        <f t="shared" ca="1" si="16"/>
        <v>11.383475701650896</v>
      </c>
      <c r="L44" s="56">
        <f t="shared" ca="1" si="13"/>
        <v>6.7563774429786037</v>
      </c>
      <c r="M44" s="56">
        <f t="shared" ca="1" si="11"/>
        <v>2.3208700449637121</v>
      </c>
      <c r="N44" s="56">
        <f t="shared" ca="1" si="10"/>
        <v>0</v>
      </c>
      <c r="O44" s="56">
        <f t="shared" ca="1" si="9"/>
        <v>0</v>
      </c>
      <c r="P44" s="56">
        <f t="shared" ca="1" si="8"/>
        <v>0</v>
      </c>
      <c r="Q44" s="56">
        <f t="shared" ca="1" si="7"/>
        <v>0</v>
      </c>
      <c r="R44" s="54"/>
      <c r="S44" s="54"/>
      <c r="T44" s="54"/>
      <c r="U44" s="54"/>
      <c r="V44" s="54"/>
      <c r="W44" s="54"/>
      <c r="X44" s="54"/>
    </row>
    <row r="45" spans="1:24" x14ac:dyDescent="0.2">
      <c r="A45" s="49">
        <v>6</v>
      </c>
      <c r="B45" s="59" t="str">
        <f t="shared" ref="B45:K45" si="17">IF($A45 &lt;= B$35, ($B$10*C44+$B$11*C45)/EXP($B$6 * $B$3/$B$5),"")</f>
        <v/>
      </c>
      <c r="C45" s="59" t="str">
        <f t="shared" si="17"/>
        <v/>
      </c>
      <c r="D45" s="59" t="str">
        <f t="shared" si="17"/>
        <v/>
      </c>
      <c r="E45" s="59" t="str">
        <f t="shared" si="17"/>
        <v/>
      </c>
      <c r="F45" s="59" t="str">
        <f t="shared" si="17"/>
        <v/>
      </c>
      <c r="G45" s="59" t="str">
        <f t="shared" si="17"/>
        <v/>
      </c>
      <c r="H45" s="59">
        <f t="shared" ca="1" si="17"/>
        <v>16.351224636443231</v>
      </c>
      <c r="I45" s="59">
        <f t="shared" ca="1" si="17"/>
        <v>11.670487616201903</v>
      </c>
      <c r="J45" s="59">
        <f t="shared" ca="1" si="17"/>
        <v>7.2917383337518338</v>
      </c>
      <c r="K45" s="59">
        <f t="shared" ca="1" si="17"/>
        <v>3.3262046216983947</v>
      </c>
      <c r="L45" s="56">
        <f t="shared" ca="1" si="13"/>
        <v>0</v>
      </c>
      <c r="M45" s="56">
        <f t="shared" ca="1" si="11"/>
        <v>0</v>
      </c>
      <c r="N45" s="56">
        <f t="shared" ca="1" si="10"/>
        <v>0</v>
      </c>
      <c r="O45" s="56">
        <f t="shared" ca="1" si="9"/>
        <v>0</v>
      </c>
      <c r="P45" s="56">
        <f t="shared" ca="1" si="8"/>
        <v>0</v>
      </c>
      <c r="Q45" s="56">
        <f t="shared" ca="1" si="7"/>
        <v>0</v>
      </c>
      <c r="R45" s="54"/>
      <c r="S45" s="54"/>
      <c r="T45" s="54"/>
      <c r="U45" s="54"/>
      <c r="V45" s="54"/>
      <c r="W45" s="54"/>
      <c r="X45" s="54"/>
    </row>
    <row r="46" spans="1:24" x14ac:dyDescent="0.2">
      <c r="A46" s="49">
        <v>5</v>
      </c>
      <c r="B46" s="59" t="str">
        <f t="shared" ref="B46:K46" si="18">IF($A46 &lt;= B$35, ($B$10*C45+$B$11*C46)/EXP($B$6 * $B$3/$B$5),"")</f>
        <v/>
      </c>
      <c r="C46" s="59" t="str">
        <f t="shared" si="18"/>
        <v/>
      </c>
      <c r="D46" s="59" t="str">
        <f t="shared" si="18"/>
        <v/>
      </c>
      <c r="E46" s="59" t="str">
        <f t="shared" si="18"/>
        <v/>
      </c>
      <c r="F46" s="59" t="str">
        <f t="shared" si="18"/>
        <v/>
      </c>
      <c r="G46" s="59">
        <f t="shared" ca="1" si="18"/>
        <v>12.10274299925128</v>
      </c>
      <c r="H46" s="59">
        <f t="shared" ca="1" si="18"/>
        <v>7.9882763566442607</v>
      </c>
      <c r="I46" s="59">
        <f t="shared" ca="1" si="18"/>
        <v>4.4205744604220421</v>
      </c>
      <c r="J46" s="59">
        <f t="shared" ca="1" si="18"/>
        <v>1.6375102307088201</v>
      </c>
      <c r="K46" s="59">
        <f t="shared" ca="1" si="18"/>
        <v>0</v>
      </c>
      <c r="L46" s="56">
        <f t="shared" ca="1" si="13"/>
        <v>0</v>
      </c>
      <c r="M46" s="56">
        <f t="shared" ca="1" si="11"/>
        <v>0</v>
      </c>
      <c r="N46" s="56">
        <f t="shared" ca="1" si="10"/>
        <v>0</v>
      </c>
      <c r="O46" s="56">
        <f t="shared" ca="1" si="9"/>
        <v>0</v>
      </c>
      <c r="P46" s="56">
        <f t="shared" ca="1" si="8"/>
        <v>0</v>
      </c>
      <c r="Q46" s="56">
        <f t="shared" ca="1" si="7"/>
        <v>0</v>
      </c>
      <c r="R46" s="56"/>
      <c r="S46" s="57"/>
      <c r="T46" s="57"/>
      <c r="U46" s="57"/>
      <c r="V46" s="57"/>
      <c r="W46" s="57"/>
      <c r="X46" s="57"/>
    </row>
    <row r="47" spans="1:24" x14ac:dyDescent="0.2">
      <c r="A47" s="49">
        <v>4</v>
      </c>
      <c r="B47" s="59" t="str">
        <f t="shared" ref="B47:K47" si="19">IF($A47 &lt;= B$35, ($B$10*C46+$B$11*C47)/EXP($B$6 * $B$3/$B$5),"")</f>
        <v/>
      </c>
      <c r="C47" s="59" t="str">
        <f t="shared" si="19"/>
        <v/>
      </c>
      <c r="D47" s="59" t="str">
        <f t="shared" si="19"/>
        <v/>
      </c>
      <c r="E47" s="59" t="str">
        <f t="shared" si="19"/>
        <v/>
      </c>
      <c r="F47" s="59">
        <f t="shared" ca="1" si="19"/>
        <v>8.619029150123934</v>
      </c>
      <c r="G47" s="59">
        <f t="shared" ca="1" si="19"/>
        <v>5.2443489974675117</v>
      </c>
      <c r="H47" s="59">
        <f t="shared" ca="1" si="19"/>
        <v>2.5852869274817349</v>
      </c>
      <c r="I47" s="59">
        <f t="shared" ca="1" si="19"/>
        <v>0.80615598276298528</v>
      </c>
      <c r="J47" s="59">
        <f t="shared" ca="1" si="19"/>
        <v>0</v>
      </c>
      <c r="K47" s="59">
        <f t="shared" ca="1" si="19"/>
        <v>0</v>
      </c>
      <c r="L47" s="56">
        <f t="shared" ca="1" si="13"/>
        <v>0</v>
      </c>
      <c r="M47" s="56">
        <f t="shared" ca="1" si="11"/>
        <v>0</v>
      </c>
      <c r="N47" s="56">
        <f t="shared" ca="1" si="10"/>
        <v>0</v>
      </c>
      <c r="O47" s="56">
        <f t="shared" ca="1" si="9"/>
        <v>0</v>
      </c>
      <c r="P47" s="56">
        <f t="shared" ca="1" si="8"/>
        <v>0</v>
      </c>
      <c r="Q47" s="56">
        <f t="shared" ca="1" si="7"/>
        <v>0</v>
      </c>
      <c r="R47" s="57"/>
      <c r="S47" s="57"/>
      <c r="T47" s="57"/>
      <c r="U47" s="57"/>
      <c r="V47" s="57"/>
      <c r="W47" s="57"/>
      <c r="X47" s="57"/>
    </row>
    <row r="48" spans="1:24" x14ac:dyDescent="0.2">
      <c r="A48" s="49">
        <v>3</v>
      </c>
      <c r="B48" s="59" t="str">
        <f t="shared" ref="B48:K48" si="20">IF($A48 &lt;= B$35, ($B$10*C47+$B$11*C48)/EXP($B$6 * $B$3/$B$5),"")</f>
        <v/>
      </c>
      <c r="C48" s="59" t="str">
        <f t="shared" si="20"/>
        <v/>
      </c>
      <c r="D48" s="59" t="str">
        <f t="shared" si="20"/>
        <v/>
      </c>
      <c r="E48" s="59">
        <f t="shared" ca="1" si="20"/>
        <v>5.9325736855333737</v>
      </c>
      <c r="F48" s="59">
        <f t="shared" ca="1" si="20"/>
        <v>3.3297302354335057</v>
      </c>
      <c r="G48" s="59">
        <f t="shared" ca="1" si="20"/>
        <v>1.474111065096205</v>
      </c>
      <c r="H48" s="59">
        <f t="shared" ca="1" si="20"/>
        <v>0.39687536380352345</v>
      </c>
      <c r="I48" s="59">
        <f t="shared" ca="1" si="20"/>
        <v>0</v>
      </c>
      <c r="J48" s="59">
        <f t="shared" ca="1" si="20"/>
        <v>0</v>
      </c>
      <c r="K48" s="59">
        <f t="shared" ca="1" si="20"/>
        <v>0</v>
      </c>
      <c r="L48" s="56">
        <f t="shared" ca="1" si="13"/>
        <v>0</v>
      </c>
      <c r="M48" s="56">
        <f t="shared" ca="1" si="11"/>
        <v>0</v>
      </c>
      <c r="N48" s="56">
        <f t="shared" ca="1" si="10"/>
        <v>0</v>
      </c>
      <c r="O48" s="56">
        <f t="shared" ca="1" si="9"/>
        <v>0</v>
      </c>
      <c r="P48" s="56">
        <f t="shared" ca="1" si="8"/>
        <v>0</v>
      </c>
      <c r="Q48" s="56">
        <f t="shared" ca="1" si="7"/>
        <v>0</v>
      </c>
      <c r="R48" s="57"/>
      <c r="S48" s="57"/>
      <c r="T48" s="57"/>
      <c r="U48" s="57"/>
      <c r="V48" s="57"/>
      <c r="W48" s="57"/>
      <c r="X48" s="57"/>
    </row>
    <row r="49" spans="1:24" x14ac:dyDescent="0.2">
      <c r="A49" s="49">
        <v>2</v>
      </c>
      <c r="B49" s="59" t="str">
        <f t="shared" ref="B49:K49" si="21">IF($A49 &lt;= B$35, ($B$10*C48+$B$11*C49)/EXP($B$6 * $B$3/$B$5),"")</f>
        <v/>
      </c>
      <c r="C49" s="59" t="str">
        <f t="shared" si="21"/>
        <v/>
      </c>
      <c r="D49" s="59">
        <f t="shared" ca="1" si="21"/>
        <v>3.9646574335910625</v>
      </c>
      <c r="E49" s="59">
        <f t="shared" ca="1" si="21"/>
        <v>2.0577393400901136</v>
      </c>
      <c r="F49" s="59">
        <f t="shared" ca="1" si="21"/>
        <v>0.82484383520667914</v>
      </c>
      <c r="G49" s="59">
        <f t="shared" ca="1" si="21"/>
        <v>0.1953840916175251</v>
      </c>
      <c r="H49" s="59">
        <f t="shared" ca="1" si="21"/>
        <v>0</v>
      </c>
      <c r="I49" s="59">
        <f t="shared" ca="1" si="21"/>
        <v>0</v>
      </c>
      <c r="J49" s="59">
        <f t="shared" ca="1" si="21"/>
        <v>0</v>
      </c>
      <c r="K49" s="59">
        <f t="shared" ca="1" si="21"/>
        <v>0</v>
      </c>
      <c r="L49" s="56">
        <f t="shared" ca="1" si="13"/>
        <v>0</v>
      </c>
      <c r="M49" s="56">
        <f t="shared" ca="1" si="11"/>
        <v>0</v>
      </c>
      <c r="N49" s="56">
        <f t="shared" ca="1" si="10"/>
        <v>0</v>
      </c>
      <c r="O49" s="56">
        <f t="shared" ca="1" si="9"/>
        <v>0</v>
      </c>
      <c r="P49" s="56">
        <f t="shared" ca="1" si="8"/>
        <v>0</v>
      </c>
      <c r="Q49" s="56">
        <f t="shared" ca="1" si="7"/>
        <v>0</v>
      </c>
      <c r="R49" s="57"/>
      <c r="S49" s="57"/>
      <c r="T49" s="57"/>
      <c r="U49" s="57"/>
      <c r="V49" s="57"/>
      <c r="W49" s="57"/>
      <c r="X49" s="57"/>
    </row>
    <row r="50" spans="1:24" x14ac:dyDescent="0.2">
      <c r="A50" s="49">
        <v>1</v>
      </c>
      <c r="B50" s="59" t="str">
        <f t="shared" ref="B50:K50" si="22">IF($A50 &lt;= B$35, ($B$10*C49+$B$11*C50)/EXP($B$6 * $B$3/$B$5),"")</f>
        <v/>
      </c>
      <c r="C50" s="59">
        <f t="shared" ca="1" si="22"/>
        <v>2.5828921142479979</v>
      </c>
      <c r="D50" s="59">
        <f t="shared" ca="1" si="22"/>
        <v>1.243824478818208</v>
      </c>
      <c r="E50" s="59">
        <f t="shared" ca="1" si="22"/>
        <v>0.45487790303745346</v>
      </c>
      <c r="F50" s="59">
        <f t="shared" ca="1" si="22"/>
        <v>9.6188745230616712E-2</v>
      </c>
      <c r="G50" s="59">
        <f t="shared" ca="1" si="22"/>
        <v>0</v>
      </c>
      <c r="H50" s="59">
        <f t="shared" ca="1" si="22"/>
        <v>0</v>
      </c>
      <c r="I50" s="59">
        <f t="shared" ca="1" si="22"/>
        <v>0</v>
      </c>
      <c r="J50" s="59">
        <f t="shared" ca="1" si="22"/>
        <v>0</v>
      </c>
      <c r="K50" s="59">
        <f t="shared" ca="1" si="22"/>
        <v>0</v>
      </c>
      <c r="L50" s="56">
        <f t="shared" ca="1" si="13"/>
        <v>0</v>
      </c>
      <c r="M50" s="56">
        <f t="shared" ca="1" si="11"/>
        <v>0</v>
      </c>
      <c r="N50" s="56">
        <f t="shared" ca="1" si="10"/>
        <v>0</v>
      </c>
      <c r="O50" s="56">
        <f t="shared" ca="1" si="9"/>
        <v>0</v>
      </c>
      <c r="P50" s="56">
        <f t="shared" ca="1" si="8"/>
        <v>0</v>
      </c>
      <c r="Q50" s="56">
        <f t="shared" ca="1" si="7"/>
        <v>0</v>
      </c>
      <c r="R50" s="57"/>
      <c r="S50" s="57"/>
      <c r="T50" s="57"/>
      <c r="U50" s="57"/>
      <c r="V50" s="57"/>
      <c r="W50" s="57"/>
      <c r="X50" s="57"/>
    </row>
    <row r="51" spans="1:24" x14ac:dyDescent="0.2">
      <c r="A51" s="49">
        <v>0</v>
      </c>
      <c r="B51" s="59">
        <f t="shared" ref="B51:K51" ca="1" si="23">IF($A51 &lt;= B$35, ($B$10*C50+$B$11*C51)/EXP($B$6 * $B$3/$B$5),"")</f>
        <v>1.6460813419389986</v>
      </c>
      <c r="C51" s="59">
        <f t="shared" ca="1" si="23"/>
        <v>0.73814977299052409</v>
      </c>
      <c r="D51" s="59">
        <f t="shared" ca="1" si="23"/>
        <v>0.24796479504506161</v>
      </c>
      <c r="E51" s="59">
        <f t="shared" ca="1" si="23"/>
        <v>4.7354288839197393E-2</v>
      </c>
      <c r="F51" s="59">
        <f t="shared" ca="1" si="23"/>
        <v>0</v>
      </c>
      <c r="G51" s="59">
        <f t="shared" ca="1" si="23"/>
        <v>0</v>
      </c>
      <c r="H51" s="59">
        <f t="shared" ca="1" si="23"/>
        <v>0</v>
      </c>
      <c r="I51" s="59">
        <f t="shared" ca="1" si="23"/>
        <v>0</v>
      </c>
      <c r="J51" s="59">
        <f t="shared" ca="1" si="23"/>
        <v>0</v>
      </c>
      <c r="K51" s="59">
        <f t="shared" ca="1" si="23"/>
        <v>0</v>
      </c>
      <c r="L51" s="56">
        <f ca="1">MAX($G$2*(L31-$G$3),0)</f>
        <v>0</v>
      </c>
      <c r="M51" s="56">
        <f t="shared" ca="1" si="11"/>
        <v>0</v>
      </c>
      <c r="N51" s="56">
        <f t="shared" ca="1" si="10"/>
        <v>0</v>
      </c>
      <c r="O51" s="56">
        <f t="shared" ca="1" si="9"/>
        <v>0</v>
      </c>
      <c r="P51" s="56">
        <f t="shared" ca="1" si="8"/>
        <v>0</v>
      </c>
      <c r="Q51" s="56">
        <f t="shared" ca="1" si="7"/>
        <v>0</v>
      </c>
      <c r="R51" s="57"/>
      <c r="S51" s="57"/>
      <c r="T51" s="57"/>
      <c r="U51" s="57"/>
      <c r="V51" s="57"/>
      <c r="W51" s="57"/>
      <c r="X51" s="57"/>
    </row>
    <row r="56" spans="1:24" x14ac:dyDescent="0.2">
      <c r="M56" s="49" t="s">
        <v>34</v>
      </c>
    </row>
  </sheetData>
  <mergeCells count="2">
    <mergeCell ref="A1:B1"/>
    <mergeCell ref="F1:G1"/>
  </mergeCells>
  <dataValidations count="1">
    <dataValidation type="list" allowBlank="1" showInputMessage="1" showErrorMessage="1" sqref="G2" xr:uid="{AA67540F-EBC2-4C8F-8C4E-D6D426EDB296}">
      <formula1>"1, -1"</formula1>
    </dataValidation>
  </dataValidations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X46"/>
  <sheetViews>
    <sheetView showGridLines="0" workbookViewId="0">
      <selection activeCell="I44" sqref="I44"/>
    </sheetView>
  </sheetViews>
  <sheetFormatPr baseColWidth="10" defaultColWidth="9.140625" defaultRowHeight="12.75" x14ac:dyDescent="0.2"/>
  <cols>
    <col min="1" max="5" width="9.140625" style="49"/>
    <col min="6" max="6" width="9.28515625" style="49" customWidth="1"/>
    <col min="7" max="7" width="8.28515625" style="49" bestFit="1" customWidth="1"/>
    <col min="8" max="262" width="9.140625" style="49"/>
    <col min="263" max="263" width="8.28515625" style="49" bestFit="1" customWidth="1"/>
    <col min="264" max="518" width="9.140625" style="49"/>
    <col min="519" max="519" width="8.28515625" style="49" bestFit="1" customWidth="1"/>
    <col min="520" max="774" width="9.140625" style="49"/>
    <col min="775" max="775" width="8.28515625" style="49" bestFit="1" customWidth="1"/>
    <col min="776" max="1030" width="9.140625" style="49"/>
    <col min="1031" max="1031" width="8.28515625" style="49" bestFit="1" customWidth="1"/>
    <col min="1032" max="1286" width="9.140625" style="49"/>
    <col min="1287" max="1287" width="8.28515625" style="49" bestFit="1" customWidth="1"/>
    <col min="1288" max="1542" width="9.140625" style="49"/>
    <col min="1543" max="1543" width="8.28515625" style="49" bestFit="1" customWidth="1"/>
    <col min="1544" max="1798" width="9.140625" style="49"/>
    <col min="1799" max="1799" width="8.28515625" style="49" bestFit="1" customWidth="1"/>
    <col min="1800" max="2054" width="9.140625" style="49"/>
    <col min="2055" max="2055" width="8.28515625" style="49" bestFit="1" customWidth="1"/>
    <col min="2056" max="2310" width="9.140625" style="49"/>
    <col min="2311" max="2311" width="8.28515625" style="49" bestFit="1" customWidth="1"/>
    <col min="2312" max="2566" width="9.140625" style="49"/>
    <col min="2567" max="2567" width="8.28515625" style="49" bestFit="1" customWidth="1"/>
    <col min="2568" max="2822" width="9.140625" style="49"/>
    <col min="2823" max="2823" width="8.28515625" style="49" bestFit="1" customWidth="1"/>
    <col min="2824" max="3078" width="9.140625" style="49"/>
    <col min="3079" max="3079" width="8.28515625" style="49" bestFit="1" customWidth="1"/>
    <col min="3080" max="3334" width="9.140625" style="49"/>
    <col min="3335" max="3335" width="8.28515625" style="49" bestFit="1" customWidth="1"/>
    <col min="3336" max="3590" width="9.140625" style="49"/>
    <col min="3591" max="3591" width="8.28515625" style="49" bestFit="1" customWidth="1"/>
    <col min="3592" max="3846" width="9.140625" style="49"/>
    <col min="3847" max="3847" width="8.28515625" style="49" bestFit="1" customWidth="1"/>
    <col min="3848" max="4102" width="9.140625" style="49"/>
    <col min="4103" max="4103" width="8.28515625" style="49" bestFit="1" customWidth="1"/>
    <col min="4104" max="4358" width="9.140625" style="49"/>
    <col min="4359" max="4359" width="8.28515625" style="49" bestFit="1" customWidth="1"/>
    <col min="4360" max="4614" width="9.140625" style="49"/>
    <col min="4615" max="4615" width="8.28515625" style="49" bestFit="1" customWidth="1"/>
    <col min="4616" max="4870" width="9.140625" style="49"/>
    <col min="4871" max="4871" width="8.28515625" style="49" bestFit="1" customWidth="1"/>
    <col min="4872" max="5126" width="9.140625" style="49"/>
    <col min="5127" max="5127" width="8.28515625" style="49" bestFit="1" customWidth="1"/>
    <col min="5128" max="5382" width="9.140625" style="49"/>
    <col min="5383" max="5383" width="8.28515625" style="49" bestFit="1" customWidth="1"/>
    <col min="5384" max="5638" width="9.140625" style="49"/>
    <col min="5639" max="5639" width="8.28515625" style="49" bestFit="1" customWidth="1"/>
    <col min="5640" max="5894" width="9.140625" style="49"/>
    <col min="5895" max="5895" width="8.28515625" style="49" bestFit="1" customWidth="1"/>
    <col min="5896" max="6150" width="9.140625" style="49"/>
    <col min="6151" max="6151" width="8.28515625" style="49" bestFit="1" customWidth="1"/>
    <col min="6152" max="6406" width="9.140625" style="49"/>
    <col min="6407" max="6407" width="8.28515625" style="49" bestFit="1" customWidth="1"/>
    <col min="6408" max="6662" width="9.140625" style="49"/>
    <col min="6663" max="6663" width="8.28515625" style="49" bestFit="1" customWidth="1"/>
    <col min="6664" max="6918" width="9.140625" style="49"/>
    <col min="6919" max="6919" width="8.28515625" style="49" bestFit="1" customWidth="1"/>
    <col min="6920" max="7174" width="9.140625" style="49"/>
    <col min="7175" max="7175" width="8.28515625" style="49" bestFit="1" customWidth="1"/>
    <col min="7176" max="7430" width="9.140625" style="49"/>
    <col min="7431" max="7431" width="8.28515625" style="49" bestFit="1" customWidth="1"/>
    <col min="7432" max="7686" width="9.140625" style="49"/>
    <col min="7687" max="7687" width="8.28515625" style="49" bestFit="1" customWidth="1"/>
    <col min="7688" max="7942" width="9.140625" style="49"/>
    <col min="7943" max="7943" width="8.28515625" style="49" bestFit="1" customWidth="1"/>
    <col min="7944" max="8198" width="9.140625" style="49"/>
    <col min="8199" max="8199" width="8.28515625" style="49" bestFit="1" customWidth="1"/>
    <col min="8200" max="8454" width="9.140625" style="49"/>
    <col min="8455" max="8455" width="8.28515625" style="49" bestFit="1" customWidth="1"/>
    <col min="8456" max="8710" width="9.140625" style="49"/>
    <col min="8711" max="8711" width="8.28515625" style="49" bestFit="1" customWidth="1"/>
    <col min="8712" max="8966" width="9.140625" style="49"/>
    <col min="8967" max="8967" width="8.28515625" style="49" bestFit="1" customWidth="1"/>
    <col min="8968" max="9222" width="9.140625" style="49"/>
    <col min="9223" max="9223" width="8.28515625" style="49" bestFit="1" customWidth="1"/>
    <col min="9224" max="9478" width="9.140625" style="49"/>
    <col min="9479" max="9479" width="8.28515625" style="49" bestFit="1" customWidth="1"/>
    <col min="9480" max="9734" width="9.140625" style="49"/>
    <col min="9735" max="9735" width="8.28515625" style="49" bestFit="1" customWidth="1"/>
    <col min="9736" max="9990" width="9.140625" style="49"/>
    <col min="9991" max="9991" width="8.28515625" style="49" bestFit="1" customWidth="1"/>
    <col min="9992" max="10246" width="9.140625" style="49"/>
    <col min="10247" max="10247" width="8.28515625" style="49" bestFit="1" customWidth="1"/>
    <col min="10248" max="10502" width="9.140625" style="49"/>
    <col min="10503" max="10503" width="8.28515625" style="49" bestFit="1" customWidth="1"/>
    <col min="10504" max="10758" width="9.140625" style="49"/>
    <col min="10759" max="10759" width="8.28515625" style="49" bestFit="1" customWidth="1"/>
    <col min="10760" max="11014" width="9.140625" style="49"/>
    <col min="11015" max="11015" width="8.28515625" style="49" bestFit="1" customWidth="1"/>
    <col min="11016" max="11270" width="9.140625" style="49"/>
    <col min="11271" max="11271" width="8.28515625" style="49" bestFit="1" customWidth="1"/>
    <col min="11272" max="11526" width="9.140625" style="49"/>
    <col min="11527" max="11527" width="8.28515625" style="49" bestFit="1" customWidth="1"/>
    <col min="11528" max="11782" width="9.140625" style="49"/>
    <col min="11783" max="11783" width="8.28515625" style="49" bestFit="1" customWidth="1"/>
    <col min="11784" max="12038" width="9.140625" style="49"/>
    <col min="12039" max="12039" width="8.28515625" style="49" bestFit="1" customWidth="1"/>
    <col min="12040" max="12294" width="9.140625" style="49"/>
    <col min="12295" max="12295" width="8.28515625" style="49" bestFit="1" customWidth="1"/>
    <col min="12296" max="12550" width="9.140625" style="49"/>
    <col min="12551" max="12551" width="8.28515625" style="49" bestFit="1" customWidth="1"/>
    <col min="12552" max="12806" width="9.140625" style="49"/>
    <col min="12807" max="12807" width="8.28515625" style="49" bestFit="1" customWidth="1"/>
    <col min="12808" max="13062" width="9.140625" style="49"/>
    <col min="13063" max="13063" width="8.28515625" style="49" bestFit="1" customWidth="1"/>
    <col min="13064" max="13318" width="9.140625" style="49"/>
    <col min="13319" max="13319" width="8.28515625" style="49" bestFit="1" customWidth="1"/>
    <col min="13320" max="13574" width="9.140625" style="49"/>
    <col min="13575" max="13575" width="8.28515625" style="49" bestFit="1" customWidth="1"/>
    <col min="13576" max="13830" width="9.140625" style="49"/>
    <col min="13831" max="13831" width="8.28515625" style="49" bestFit="1" customWidth="1"/>
    <col min="13832" max="14086" width="9.140625" style="49"/>
    <col min="14087" max="14087" width="8.28515625" style="49" bestFit="1" customWidth="1"/>
    <col min="14088" max="14342" width="9.140625" style="49"/>
    <col min="14343" max="14343" width="8.28515625" style="49" bestFit="1" customWidth="1"/>
    <col min="14344" max="14598" width="9.140625" style="49"/>
    <col min="14599" max="14599" width="8.28515625" style="49" bestFit="1" customWidth="1"/>
    <col min="14600" max="14854" width="9.140625" style="49"/>
    <col min="14855" max="14855" width="8.28515625" style="49" bestFit="1" customWidth="1"/>
    <col min="14856" max="15110" width="9.140625" style="49"/>
    <col min="15111" max="15111" width="8.28515625" style="49" bestFit="1" customWidth="1"/>
    <col min="15112" max="15366" width="9.140625" style="49"/>
    <col min="15367" max="15367" width="8.28515625" style="49" bestFit="1" customWidth="1"/>
    <col min="15368" max="15622" width="9.140625" style="49"/>
    <col min="15623" max="15623" width="8.28515625" style="49" bestFit="1" customWidth="1"/>
    <col min="15624" max="15878" width="9.140625" style="49"/>
    <col min="15879" max="15879" width="8.28515625" style="49" bestFit="1" customWidth="1"/>
    <col min="15880" max="16134" width="9.140625" style="49"/>
    <col min="16135" max="16135" width="8.28515625" style="49" bestFit="1" customWidth="1"/>
    <col min="16136" max="16384" width="9.140625" style="49"/>
  </cols>
  <sheetData>
    <row r="1" spans="1:23" ht="13.5" thickBot="1" x14ac:dyDescent="0.25">
      <c r="A1" s="73" t="s">
        <v>0</v>
      </c>
      <c r="B1" s="74"/>
      <c r="F1" s="73" t="s">
        <v>1</v>
      </c>
      <c r="G1" s="74"/>
    </row>
    <row r="2" spans="1:23" x14ac:dyDescent="0.2">
      <c r="A2" s="3" t="s">
        <v>2</v>
      </c>
      <c r="B2" s="4">
        <v>100</v>
      </c>
      <c r="F2" s="50" t="s">
        <v>20</v>
      </c>
      <c r="G2" s="42">
        <v>1</v>
      </c>
    </row>
    <row r="3" spans="1:23" ht="15.75" thickBot="1" x14ac:dyDescent="0.3">
      <c r="A3" s="7" t="s">
        <v>4</v>
      </c>
      <c r="B3" s="8">
        <v>0.25</v>
      </c>
      <c r="F3" s="51" t="s">
        <v>3</v>
      </c>
      <c r="G3" s="52">
        <v>100</v>
      </c>
    </row>
    <row r="4" spans="1:23" ht="15" x14ac:dyDescent="0.25">
      <c r="A4" s="7" t="s">
        <v>5</v>
      </c>
      <c r="B4" s="10">
        <v>0.23438000000000001</v>
      </c>
    </row>
    <row r="5" spans="1:23" x14ac:dyDescent="0.2">
      <c r="A5" s="7" t="s">
        <v>6</v>
      </c>
      <c r="B5" s="11">
        <v>10</v>
      </c>
    </row>
    <row r="6" spans="1:23" ht="15" x14ac:dyDescent="0.25">
      <c r="A6" s="7" t="s">
        <v>22</v>
      </c>
      <c r="B6" s="46">
        <v>0.11941</v>
      </c>
    </row>
    <row r="7" spans="1:23" ht="15.75" thickBot="1" x14ac:dyDescent="0.3">
      <c r="A7" s="47" t="s">
        <v>23</v>
      </c>
      <c r="B7" s="48">
        <v>0</v>
      </c>
    </row>
    <row r="8" spans="1:23" x14ac:dyDescent="0.2">
      <c r="A8" s="13" t="s">
        <v>8</v>
      </c>
      <c r="B8" s="14">
        <f>EXP(B4*SQRT(B3/B5))</f>
        <v>1.0377539683101453</v>
      </c>
    </row>
    <row r="9" spans="1:23" x14ac:dyDescent="0.2">
      <c r="A9" s="15" t="s">
        <v>9</v>
      </c>
      <c r="B9" s="16">
        <f>1/B8</f>
        <v>0.9636195384811459</v>
      </c>
    </row>
    <row r="10" spans="1:23" x14ac:dyDescent="0.2">
      <c r="A10" s="15" t="s">
        <v>10</v>
      </c>
      <c r="B10" s="18">
        <f>(EXP((B6 - B7) * B3/B5) - B9) / (B8 - B9)</f>
        <v>0.53106460663027533</v>
      </c>
    </row>
    <row r="11" spans="1:23" ht="13.5" thickBot="1" x14ac:dyDescent="0.25">
      <c r="A11" s="19" t="s">
        <v>11</v>
      </c>
      <c r="B11" s="20">
        <f>1 - B10</f>
        <v>0.46893539336972467</v>
      </c>
    </row>
    <row r="14" spans="1:23" x14ac:dyDescent="0.2">
      <c r="A14" s="53" t="s">
        <v>32</v>
      </c>
      <c r="M14" s="53"/>
    </row>
    <row r="15" spans="1:23" x14ac:dyDescent="0.2">
      <c r="B15" s="54">
        <v>0</v>
      </c>
      <c r="C15" s="54">
        <v>1</v>
      </c>
      <c r="D15" s="54">
        <v>2</v>
      </c>
      <c r="E15" s="54">
        <v>3</v>
      </c>
      <c r="F15" s="54">
        <v>4</v>
      </c>
      <c r="G15" s="54">
        <v>5</v>
      </c>
      <c r="H15" s="54">
        <v>6</v>
      </c>
      <c r="I15" s="54">
        <v>7</v>
      </c>
      <c r="J15" s="54">
        <v>8</v>
      </c>
      <c r="K15" s="54">
        <v>9</v>
      </c>
      <c r="L15" s="49">
        <v>10</v>
      </c>
      <c r="N15" s="54"/>
      <c r="O15" s="54"/>
      <c r="P15" s="54"/>
      <c r="Q15" s="54"/>
      <c r="R15" s="54"/>
      <c r="S15" s="54"/>
      <c r="T15" s="54"/>
      <c r="U15" s="54"/>
      <c r="V15" s="54"/>
      <c r="W15" s="54"/>
    </row>
    <row r="16" spans="1:23" x14ac:dyDescent="0.2">
      <c r="A16" s="49">
        <v>10</v>
      </c>
      <c r="B16" s="54"/>
      <c r="C16" s="55" t="str">
        <f t="shared" ref="C16:L26" ca="1" si="0">IF($A16&lt;C$15,$B$9*OFFSET(C16,0,-1),IF($A16=C$15,$B$8*OFFSET(C16,1,-1),""))</f>
        <v/>
      </c>
      <c r="D16" s="55" t="str">
        <f t="shared" ca="1" si="0"/>
        <v/>
      </c>
      <c r="E16" s="55" t="str">
        <f t="shared" ca="1" si="0"/>
        <v/>
      </c>
      <c r="F16" s="55" t="str">
        <f t="shared" ca="1" si="0"/>
        <v/>
      </c>
      <c r="G16" s="55" t="str">
        <f t="shared" ca="1" si="0"/>
        <v/>
      </c>
      <c r="H16" s="55" t="str">
        <f t="shared" ca="1" si="0"/>
        <v/>
      </c>
      <c r="I16" s="55" t="str">
        <f t="shared" ca="1" si="0"/>
        <v/>
      </c>
      <c r="J16" s="55" t="str">
        <f t="shared" ca="1" si="0"/>
        <v/>
      </c>
      <c r="K16" s="55" t="str">
        <f t="shared" ca="1" si="0"/>
        <v/>
      </c>
      <c r="L16" s="55">
        <f t="shared" ca="1" si="0"/>
        <v>144.85851464447126</v>
      </c>
      <c r="N16" s="54"/>
      <c r="O16" s="54"/>
      <c r="P16" s="54"/>
      <c r="Q16" s="54"/>
      <c r="R16" s="54"/>
      <c r="S16" s="54"/>
      <c r="T16" s="54"/>
      <c r="U16" s="54"/>
      <c r="V16" s="54"/>
      <c r="W16" s="54"/>
    </row>
    <row r="17" spans="1:24" x14ac:dyDescent="0.2">
      <c r="A17" s="49">
        <v>9</v>
      </c>
      <c r="B17" s="54"/>
      <c r="C17" s="55" t="str">
        <f t="shared" ca="1" si="0"/>
        <v/>
      </c>
      <c r="D17" s="55" t="str">
        <f t="shared" ca="1" si="0"/>
        <v/>
      </c>
      <c r="E17" s="55" t="str">
        <f t="shared" ca="1" si="0"/>
        <v/>
      </c>
      <c r="F17" s="55" t="str">
        <f t="shared" ca="1" si="0"/>
        <v/>
      </c>
      <c r="G17" s="55" t="str">
        <f t="shared" ca="1" si="0"/>
        <v/>
      </c>
      <c r="H17" s="55" t="str">
        <f t="shared" ca="1" si="0"/>
        <v/>
      </c>
      <c r="I17" s="55" t="str">
        <f t="shared" ca="1" si="0"/>
        <v/>
      </c>
      <c r="J17" s="55" t="str">
        <f t="shared" ca="1" si="0"/>
        <v/>
      </c>
      <c r="K17" s="55">
        <f t="shared" ca="1" si="0"/>
        <v>139.58849502676972</v>
      </c>
      <c r="L17" s="55">
        <f t="shared" ca="1" si="0"/>
        <v>134.51020115497357</v>
      </c>
      <c r="N17" s="54"/>
      <c r="O17" s="54"/>
      <c r="P17" s="54"/>
      <c r="Q17" s="54"/>
      <c r="R17" s="54"/>
      <c r="S17" s="54"/>
      <c r="T17" s="54"/>
      <c r="U17" s="54"/>
      <c r="V17" s="54"/>
      <c r="W17" s="54"/>
    </row>
    <row r="18" spans="1:24" x14ac:dyDescent="0.2">
      <c r="A18" s="49">
        <v>8</v>
      </c>
      <c r="B18" s="54"/>
      <c r="C18" s="55" t="str">
        <f t="shared" ca="1" si="0"/>
        <v/>
      </c>
      <c r="D18" s="55" t="str">
        <f t="shared" ca="1" si="0"/>
        <v/>
      </c>
      <c r="E18" s="55" t="str">
        <f t="shared" ca="1" si="0"/>
        <v/>
      </c>
      <c r="F18" s="55" t="str">
        <f t="shared" ca="1" si="0"/>
        <v/>
      </c>
      <c r="G18" s="55" t="str">
        <f t="shared" ca="1" si="0"/>
        <v/>
      </c>
      <c r="H18" s="55" t="str">
        <f t="shared" ca="1" si="0"/>
        <v/>
      </c>
      <c r="I18" s="55" t="str">
        <f t="shared" ca="1" si="0"/>
        <v/>
      </c>
      <c r="J18" s="55">
        <f t="shared" ca="1" si="0"/>
        <v>134.51020115497357</v>
      </c>
      <c r="K18" s="55">
        <f t="shared" ca="1" si="0"/>
        <v>129.61665795796173</v>
      </c>
      <c r="L18" s="55">
        <f t="shared" ca="1" si="0"/>
        <v>124.90114412091964</v>
      </c>
      <c r="N18" s="54"/>
      <c r="O18" s="54"/>
      <c r="P18" s="54"/>
      <c r="Q18" s="54"/>
      <c r="R18" s="54"/>
      <c r="S18" s="54"/>
      <c r="T18" s="54"/>
      <c r="U18" s="54"/>
      <c r="V18" s="54"/>
      <c r="W18" s="54"/>
    </row>
    <row r="19" spans="1:24" x14ac:dyDescent="0.2">
      <c r="A19" s="49">
        <v>7</v>
      </c>
      <c r="B19" s="54"/>
      <c r="C19" s="55" t="str">
        <f t="shared" ca="1" si="0"/>
        <v/>
      </c>
      <c r="D19" s="55" t="str">
        <f t="shared" ca="1" si="0"/>
        <v/>
      </c>
      <c r="E19" s="55" t="str">
        <f t="shared" ca="1" si="0"/>
        <v/>
      </c>
      <c r="F19" s="55" t="str">
        <f t="shared" ca="1" si="0"/>
        <v/>
      </c>
      <c r="G19" s="55" t="str">
        <f t="shared" ca="1" si="0"/>
        <v/>
      </c>
      <c r="H19" s="55" t="str">
        <f t="shared" ca="1" si="0"/>
        <v/>
      </c>
      <c r="I19" s="55">
        <f t="shared" ca="1" si="0"/>
        <v>129.61665795796173</v>
      </c>
      <c r="J19" s="55">
        <f t="shared" ca="1" si="0"/>
        <v>124.90114412091964</v>
      </c>
      <c r="K19" s="55">
        <f t="shared" ca="1" si="0"/>
        <v>120.35718285356768</v>
      </c>
      <c r="L19" s="55">
        <f t="shared" ca="1" si="0"/>
        <v>115.97853299424577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</row>
    <row r="20" spans="1:24" x14ac:dyDescent="0.2">
      <c r="A20" s="49">
        <v>6</v>
      </c>
      <c r="B20" s="54"/>
      <c r="C20" s="55" t="str">
        <f t="shared" ca="1" si="0"/>
        <v/>
      </c>
      <c r="D20" s="55" t="str">
        <f t="shared" ca="1" si="0"/>
        <v/>
      </c>
      <c r="E20" s="55" t="str">
        <f t="shared" ca="1" si="0"/>
        <v/>
      </c>
      <c r="F20" s="55" t="str">
        <f t="shared" ca="1" si="0"/>
        <v/>
      </c>
      <c r="G20" s="55" t="str">
        <f t="shared" ca="1" si="0"/>
        <v/>
      </c>
      <c r="H20" s="55">
        <f t="shared" ca="1" si="0"/>
        <v>124.90114412091964</v>
      </c>
      <c r="I20" s="55">
        <f t="shared" ca="1" si="0"/>
        <v>120.35718285356768</v>
      </c>
      <c r="J20" s="55">
        <f t="shared" ca="1" si="0"/>
        <v>115.97853299424577</v>
      </c>
      <c r="K20" s="55">
        <f t="shared" ca="1" si="0"/>
        <v>111.75918043763546</v>
      </c>
      <c r="L20" s="55">
        <f t="shared" ca="1" si="0"/>
        <v>107.69332987434539</v>
      </c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 spans="1:24" x14ac:dyDescent="0.2">
      <c r="A21" s="49">
        <v>5</v>
      </c>
      <c r="C21" s="55" t="str">
        <f t="shared" ca="1" si="0"/>
        <v/>
      </c>
      <c r="D21" s="55" t="str">
        <f t="shared" ca="1" si="0"/>
        <v/>
      </c>
      <c r="E21" s="55" t="str">
        <f t="shared" ca="1" si="0"/>
        <v/>
      </c>
      <c r="F21" s="55" t="str">
        <f t="shared" ca="1" si="0"/>
        <v/>
      </c>
      <c r="G21" s="55">
        <f t="shared" ca="1" si="0"/>
        <v>120.35718285356768</v>
      </c>
      <c r="H21" s="55">
        <f t="shared" ca="1" si="0"/>
        <v>115.97853299424577</v>
      </c>
      <c r="I21" s="55">
        <f t="shared" ca="1" si="0"/>
        <v>111.75918043763546</v>
      </c>
      <c r="J21" s="55">
        <f t="shared" ca="1" si="0"/>
        <v>107.69332987434539</v>
      </c>
      <c r="K21" s="55">
        <f t="shared" ca="1" si="0"/>
        <v>103.77539683101452</v>
      </c>
      <c r="L21" s="55">
        <f t="shared" ca="1" si="0"/>
        <v>99.999999999999986</v>
      </c>
      <c r="N21" s="56"/>
      <c r="O21" s="56"/>
      <c r="P21" s="56"/>
      <c r="Q21" s="56"/>
      <c r="R21" s="56"/>
      <c r="S21" s="56"/>
      <c r="T21" s="56"/>
      <c r="U21" s="56"/>
      <c r="V21" s="56"/>
      <c r="W21" s="56"/>
    </row>
    <row r="22" spans="1:24" x14ac:dyDescent="0.2">
      <c r="A22" s="49">
        <v>4</v>
      </c>
      <c r="C22" s="55" t="str">
        <f t="shared" ca="1" si="0"/>
        <v/>
      </c>
      <c r="D22" s="55" t="str">
        <f t="shared" ca="1" si="0"/>
        <v/>
      </c>
      <c r="E22" s="55" t="str">
        <f t="shared" ca="1" si="0"/>
        <v/>
      </c>
      <c r="F22" s="55">
        <f t="shared" ca="1" si="0"/>
        <v>115.97853299424578</v>
      </c>
      <c r="G22" s="55">
        <f t="shared" ca="1" si="0"/>
        <v>111.75918043763548</v>
      </c>
      <c r="H22" s="55">
        <f t="shared" ca="1" si="0"/>
        <v>107.69332987434541</v>
      </c>
      <c r="I22" s="55">
        <f t="shared" ca="1" si="0"/>
        <v>103.77539683101452</v>
      </c>
      <c r="J22" s="55">
        <f t="shared" ca="1" si="0"/>
        <v>99.999999999999986</v>
      </c>
      <c r="K22" s="55">
        <f t="shared" ca="1" si="0"/>
        <v>96.361953848114581</v>
      </c>
      <c r="L22" s="55">
        <f t="shared" ca="1" si="0"/>
        <v>92.856261494261659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</row>
    <row r="23" spans="1:24" x14ac:dyDescent="0.2">
      <c r="A23" s="49">
        <v>3</v>
      </c>
      <c r="C23" s="55" t="str">
        <f t="shared" ca="1" si="0"/>
        <v/>
      </c>
      <c r="D23" s="55" t="str">
        <f t="shared" ca="1" si="0"/>
        <v/>
      </c>
      <c r="E23" s="55">
        <f t="shared" ca="1" si="0"/>
        <v>111.75918043763548</v>
      </c>
      <c r="F23" s="55">
        <f t="shared" ca="1" si="0"/>
        <v>107.69332987434541</v>
      </c>
      <c r="G23" s="55">
        <f t="shared" ca="1" si="0"/>
        <v>103.77539683101452</v>
      </c>
      <c r="H23" s="55">
        <f t="shared" ca="1" si="0"/>
        <v>99.999999999999986</v>
      </c>
      <c r="I23" s="55">
        <f t="shared" ca="1" si="0"/>
        <v>96.361953848114581</v>
      </c>
      <c r="J23" s="55">
        <f t="shared" ca="1" si="0"/>
        <v>92.856261494261659</v>
      </c>
      <c r="K23" s="55">
        <f t="shared" ca="1" si="0"/>
        <v>89.478107846185026</v>
      </c>
      <c r="L23" s="55">
        <f t="shared" ca="1" si="0"/>
        <v>86.222852986907014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</row>
    <row r="24" spans="1:24" x14ac:dyDescent="0.2">
      <c r="A24" s="49">
        <v>2</v>
      </c>
      <c r="C24" s="55" t="str">
        <f t="shared" ca="1" si="0"/>
        <v/>
      </c>
      <c r="D24" s="55">
        <f t="shared" ca="1" si="0"/>
        <v>107.69332987434541</v>
      </c>
      <c r="E24" s="55">
        <f t="shared" ca="1" si="0"/>
        <v>103.77539683101452</v>
      </c>
      <c r="F24" s="55">
        <f t="shared" ca="1" si="0"/>
        <v>99.999999999999986</v>
      </c>
      <c r="G24" s="55">
        <f t="shared" ca="1" si="0"/>
        <v>96.361953848114581</v>
      </c>
      <c r="H24" s="55">
        <f t="shared" ca="1" si="0"/>
        <v>92.856261494261659</v>
      </c>
      <c r="I24" s="55">
        <f t="shared" ca="1" si="0"/>
        <v>89.478107846185026</v>
      </c>
      <c r="J24" s="55">
        <f t="shared" ca="1" si="0"/>
        <v>86.222852986907014</v>
      </c>
      <c r="K24" s="55">
        <f t="shared" ca="1" si="0"/>
        <v>83.086025801771029</v>
      </c>
      <c r="L24" s="55">
        <f t="shared" ca="1" si="0"/>
        <v>80.063317837335177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</row>
    <row r="25" spans="1:24" x14ac:dyDescent="0.2">
      <c r="A25" s="49">
        <v>1</v>
      </c>
      <c r="C25" s="55">
        <f t="shared" ca="1" si="0"/>
        <v>103.77539683101453</v>
      </c>
      <c r="D25" s="55">
        <f t="shared" ca="1" si="0"/>
        <v>100</v>
      </c>
      <c r="E25" s="55">
        <f t="shared" ca="1" si="0"/>
        <v>96.361953848114595</v>
      </c>
      <c r="F25" s="55">
        <f t="shared" ca="1" si="0"/>
        <v>92.856261494261673</v>
      </c>
      <c r="G25" s="55">
        <f t="shared" ca="1" si="0"/>
        <v>89.478107846185026</v>
      </c>
      <c r="H25" s="55">
        <f t="shared" ca="1" si="0"/>
        <v>86.222852986907014</v>
      </c>
      <c r="I25" s="55">
        <f t="shared" ca="1" si="0"/>
        <v>83.086025801771029</v>
      </c>
      <c r="J25" s="55">
        <f t="shared" ca="1" si="0"/>
        <v>80.063317837335177</v>
      </c>
      <c r="K25" s="55">
        <f t="shared" ca="1" si="0"/>
        <v>77.150577383682219</v>
      </c>
      <c r="L25" s="55">
        <f t="shared" ca="1" si="0"/>
        <v>74.343803772017793</v>
      </c>
      <c r="N25" s="56"/>
      <c r="O25" s="56"/>
      <c r="P25" s="56"/>
      <c r="Q25" s="56"/>
      <c r="R25" s="56"/>
      <c r="S25" s="56"/>
      <c r="T25" s="56"/>
      <c r="U25" s="56"/>
      <c r="V25" s="56"/>
      <c r="W25" s="56"/>
    </row>
    <row r="26" spans="1:24" x14ac:dyDescent="0.2">
      <c r="A26" s="49">
        <v>0</v>
      </c>
      <c r="B26" s="55">
        <f>$B$2</f>
        <v>100</v>
      </c>
      <c r="C26" s="55">
        <f t="shared" ca="1" si="0"/>
        <v>96.361953848114595</v>
      </c>
      <c r="D26" s="55">
        <f t="shared" ca="1" si="0"/>
        <v>92.856261494261673</v>
      </c>
      <c r="E26" s="55">
        <f t="shared" ca="1" si="0"/>
        <v>89.478107846185026</v>
      </c>
      <c r="F26" s="55">
        <f t="shared" ca="1" si="0"/>
        <v>86.222852986907014</v>
      </c>
      <c r="G26" s="55">
        <f t="shared" ca="1" si="0"/>
        <v>83.086025801771029</v>
      </c>
      <c r="H26" s="55">
        <f t="shared" ca="1" si="0"/>
        <v>80.063317837335177</v>
      </c>
      <c r="I26" s="55">
        <f t="shared" ca="1" si="0"/>
        <v>77.150577383682219</v>
      </c>
      <c r="J26" s="55">
        <f t="shared" ca="1" si="0"/>
        <v>74.343803772017793</v>
      </c>
      <c r="K26" s="55">
        <f t="shared" ca="1" si="0"/>
        <v>71.639141879724662</v>
      </c>
      <c r="L26" s="55">
        <f t="shared" ca="1" si="0"/>
        <v>69.032876835325609</v>
      </c>
      <c r="N26" s="56"/>
      <c r="O26" s="56"/>
      <c r="P26" s="56"/>
      <c r="Q26" s="56"/>
      <c r="R26" s="56"/>
      <c r="S26" s="56"/>
      <c r="T26" s="56"/>
      <c r="U26" s="56"/>
      <c r="V26" s="56"/>
      <c r="W26" s="56"/>
    </row>
    <row r="27" spans="1:24" x14ac:dyDescent="0.2">
      <c r="B27" s="57"/>
      <c r="C27" s="57"/>
      <c r="D27" s="56"/>
      <c r="E27" s="56"/>
      <c r="F27" s="56"/>
      <c r="G27" s="56"/>
      <c r="H27" s="56"/>
      <c r="I27" s="56"/>
      <c r="J27" s="56"/>
      <c r="K27" s="56"/>
      <c r="N27" s="56"/>
      <c r="O27" s="56"/>
      <c r="P27" s="56"/>
      <c r="Q27" s="56"/>
      <c r="R27" s="56"/>
      <c r="S27" s="56"/>
      <c r="T27" s="56"/>
      <c r="U27" s="56"/>
      <c r="V27" s="56"/>
      <c r="W27" s="56"/>
    </row>
    <row r="29" spans="1:24" x14ac:dyDescent="0.2">
      <c r="A29" s="58" t="s">
        <v>33</v>
      </c>
    </row>
    <row r="30" spans="1:24" x14ac:dyDescent="0.2">
      <c r="B30" s="54">
        <v>0</v>
      </c>
      <c r="C30" s="54">
        <v>1</v>
      </c>
      <c r="D30" s="54">
        <v>2</v>
      </c>
      <c r="E30" s="54">
        <v>3</v>
      </c>
      <c r="F30" s="54">
        <v>4</v>
      </c>
      <c r="G30" s="54">
        <v>5</v>
      </c>
      <c r="H30" s="54">
        <v>6</v>
      </c>
      <c r="I30" s="54">
        <v>7</v>
      </c>
      <c r="J30" s="54">
        <v>8</v>
      </c>
      <c r="K30" s="54">
        <v>9</v>
      </c>
      <c r="L30" s="49">
        <v>10</v>
      </c>
      <c r="O30" s="54"/>
      <c r="P30" s="54"/>
      <c r="Q30" s="54"/>
      <c r="R30" s="54"/>
      <c r="S30" s="54"/>
      <c r="T30" s="54"/>
      <c r="U30" s="54"/>
      <c r="V30" s="54"/>
      <c r="W30" s="54"/>
      <c r="X30" s="54"/>
    </row>
    <row r="31" spans="1:24" x14ac:dyDescent="0.2">
      <c r="A31" s="49">
        <v>10</v>
      </c>
      <c r="B31" s="59" t="str">
        <f t="shared" ref="B31:K41" si="1">IF($A31 &lt;= B$30, ($B$10*C30+$B$11*C31)/EXP($B$6 * $B$3/$B$5),"")</f>
        <v/>
      </c>
      <c r="C31" s="59" t="str">
        <f t="shared" si="1"/>
        <v/>
      </c>
      <c r="D31" s="59" t="str">
        <f t="shared" si="1"/>
        <v/>
      </c>
      <c r="E31" s="59" t="str">
        <f t="shared" si="1"/>
        <v/>
      </c>
      <c r="F31" s="59" t="str">
        <f t="shared" si="1"/>
        <v/>
      </c>
      <c r="G31" s="59" t="str">
        <f t="shared" si="1"/>
        <v/>
      </c>
      <c r="H31" s="59" t="str">
        <f t="shared" si="1"/>
        <v/>
      </c>
      <c r="I31" s="59" t="str">
        <f t="shared" si="1"/>
        <v/>
      </c>
      <c r="J31" s="59" t="str">
        <f t="shared" si="1"/>
        <v/>
      </c>
      <c r="K31" s="59" t="str">
        <f t="shared" si="1"/>
        <v/>
      </c>
      <c r="L31" s="56">
        <f t="shared" ref="L31:L40" ca="1" si="2">MAX($G$2*(L16-$G$3),0)</f>
        <v>44.858514644471256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</row>
    <row r="32" spans="1:24" x14ac:dyDescent="0.2">
      <c r="A32" s="49">
        <v>9</v>
      </c>
      <c r="B32" s="59" t="str">
        <f t="shared" si="1"/>
        <v/>
      </c>
      <c r="C32" s="59" t="str">
        <f t="shared" si="1"/>
        <v/>
      </c>
      <c r="D32" s="59" t="str">
        <f t="shared" si="1"/>
        <v/>
      </c>
      <c r="E32" s="59" t="str">
        <f t="shared" si="1"/>
        <v/>
      </c>
      <c r="F32" s="59" t="str">
        <f t="shared" si="1"/>
        <v/>
      </c>
      <c r="G32" s="59" t="str">
        <f t="shared" si="1"/>
        <v/>
      </c>
      <c r="H32" s="59" t="str">
        <f t="shared" si="1"/>
        <v/>
      </c>
      <c r="I32" s="59" t="str">
        <f t="shared" si="1"/>
        <v/>
      </c>
      <c r="J32" s="59" t="str">
        <f t="shared" si="1"/>
        <v/>
      </c>
      <c r="K32" s="59">
        <f t="shared" ca="1" si="1"/>
        <v>39.886574883955973</v>
      </c>
      <c r="L32" s="56">
        <f t="shared" ca="1" si="2"/>
        <v>34.510201154973572</v>
      </c>
      <c r="O32" s="54"/>
      <c r="P32" s="54"/>
      <c r="Q32" s="54"/>
      <c r="R32" s="54"/>
      <c r="S32" s="54"/>
      <c r="T32" s="54"/>
      <c r="U32" s="54"/>
      <c r="V32" s="54"/>
      <c r="W32" s="54"/>
      <c r="X32" s="54"/>
    </row>
    <row r="33" spans="1:24" x14ac:dyDescent="0.2">
      <c r="A33" s="49">
        <v>8</v>
      </c>
      <c r="B33" s="59" t="str">
        <f t="shared" si="1"/>
        <v/>
      </c>
      <c r="C33" s="59" t="str">
        <f t="shared" si="1"/>
        <v/>
      </c>
      <c r="D33" s="59" t="str">
        <f t="shared" si="1"/>
        <v/>
      </c>
      <c r="E33" s="59" t="str">
        <f t="shared" si="1"/>
        <v/>
      </c>
      <c r="F33" s="59" t="str">
        <f t="shared" si="1"/>
        <v/>
      </c>
      <c r="G33" s="59" t="str">
        <f t="shared" si="1"/>
        <v/>
      </c>
      <c r="H33" s="59" t="str">
        <f t="shared" si="1"/>
        <v/>
      </c>
      <c r="I33" s="59" t="str">
        <f t="shared" si="1"/>
        <v/>
      </c>
      <c r="J33" s="59">
        <f t="shared" ca="1" si="1"/>
        <v>35.105472353333475</v>
      </c>
      <c r="K33" s="59">
        <f t="shared" ca="1" si="1"/>
        <v>29.914737815147991</v>
      </c>
      <c r="L33" s="56">
        <f t="shared" ca="1" si="2"/>
        <v>24.901144120919639</v>
      </c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 spans="1:24" x14ac:dyDescent="0.2">
      <c r="A34" s="49">
        <v>7</v>
      </c>
      <c r="B34" s="59" t="str">
        <f t="shared" si="1"/>
        <v/>
      </c>
      <c r="C34" s="59" t="str">
        <f t="shared" si="1"/>
        <v/>
      </c>
      <c r="D34" s="59" t="str">
        <f t="shared" si="1"/>
        <v/>
      </c>
      <c r="E34" s="59" t="str">
        <f t="shared" si="1"/>
        <v/>
      </c>
      <c r="F34" s="59" t="str">
        <f t="shared" si="1"/>
        <v/>
      </c>
      <c r="G34" s="59" t="str">
        <f t="shared" si="1"/>
        <v/>
      </c>
      <c r="H34" s="59" t="str">
        <f t="shared" si="1"/>
        <v/>
      </c>
      <c r="I34" s="59">
        <f t="shared" ca="1" si="1"/>
        <v>30.508234629969948</v>
      </c>
      <c r="J34" s="59">
        <f t="shared" ca="1" si="1"/>
        <v>25.496415319279542</v>
      </c>
      <c r="K34" s="59">
        <f t="shared" ca="1" si="1"/>
        <v>20.655262710753927</v>
      </c>
      <c r="L34" s="56">
        <f t="shared" ca="1" si="2"/>
        <v>15.978532994245768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</row>
    <row r="35" spans="1:24" x14ac:dyDescent="0.2">
      <c r="A35" s="49">
        <v>6</v>
      </c>
      <c r="B35" s="59" t="str">
        <f t="shared" si="1"/>
        <v/>
      </c>
      <c r="C35" s="59" t="str">
        <f t="shared" si="1"/>
        <v/>
      </c>
      <c r="D35" s="59" t="str">
        <f t="shared" si="1"/>
        <v/>
      </c>
      <c r="E35" s="59" t="str">
        <f t="shared" si="1"/>
        <v/>
      </c>
      <c r="F35" s="59" t="str">
        <f t="shared" si="1"/>
        <v/>
      </c>
      <c r="G35" s="59" t="str">
        <f t="shared" si="1"/>
        <v/>
      </c>
      <c r="H35" s="59">
        <f t="shared" ca="1" si="1"/>
        <v>26.08814303964348</v>
      </c>
      <c r="I35" s="59">
        <f t="shared" ca="1" si="1"/>
        <v>21.248759525575892</v>
      </c>
      <c r="J35" s="59">
        <f t="shared" ca="1" si="1"/>
        <v>16.573804192605675</v>
      </c>
      <c r="K35" s="59">
        <f t="shared" ca="1" si="1"/>
        <v>12.057260294821715</v>
      </c>
      <c r="L35" s="56">
        <f t="shared" ca="1" si="2"/>
        <v>7.6933298743453946</v>
      </c>
      <c r="O35" s="54"/>
      <c r="P35" s="54"/>
      <c r="Q35" s="54"/>
      <c r="R35" s="54"/>
      <c r="S35" s="54"/>
      <c r="T35" s="54"/>
      <c r="U35" s="54"/>
      <c r="V35" s="54"/>
      <c r="W35" s="54"/>
      <c r="X35" s="54"/>
    </row>
    <row r="36" spans="1:24" x14ac:dyDescent="0.2">
      <c r="A36" s="49">
        <v>5</v>
      </c>
      <c r="B36" s="59" t="str">
        <f t="shared" si="1"/>
        <v/>
      </c>
      <c r="C36" s="59" t="str">
        <f t="shared" si="1"/>
        <v/>
      </c>
      <c r="D36" s="59" t="str">
        <f t="shared" si="1"/>
        <v/>
      </c>
      <c r="E36" s="59" t="str">
        <f t="shared" si="1"/>
        <v/>
      </c>
      <c r="F36" s="59" t="str">
        <f t="shared" si="1"/>
        <v/>
      </c>
      <c r="G36" s="59">
        <f t="shared" ca="1" si="1"/>
        <v>21.838723424796036</v>
      </c>
      <c r="H36" s="59">
        <f t="shared" ca="1" si="1"/>
        <v>17.165531912969612</v>
      </c>
      <c r="I36" s="59">
        <f t="shared" ca="1" si="1"/>
        <v>12.650757109643681</v>
      </c>
      <c r="J36" s="59">
        <f t="shared" ca="1" si="1"/>
        <v>8.2886010727053048</v>
      </c>
      <c r="K36" s="59">
        <f t="shared" ca="1" si="1"/>
        <v>4.0734766882007767</v>
      </c>
      <c r="L36" s="56">
        <f t="shared" ca="1" si="2"/>
        <v>0</v>
      </c>
      <c r="P36" s="56"/>
      <c r="Q36" s="56"/>
      <c r="R36" s="56"/>
      <c r="S36" s="57"/>
      <c r="T36" s="57"/>
      <c r="U36" s="57"/>
      <c r="V36" s="57"/>
      <c r="W36" s="57"/>
      <c r="X36" s="57"/>
    </row>
    <row r="37" spans="1:24" x14ac:dyDescent="0.2">
      <c r="A37" s="49">
        <v>4</v>
      </c>
      <c r="B37" s="59" t="str">
        <f t="shared" si="1"/>
        <v/>
      </c>
      <c r="C37" s="59" t="str">
        <f t="shared" si="1"/>
        <v/>
      </c>
      <c r="D37" s="59" t="str">
        <f t="shared" si="1"/>
        <v/>
      </c>
      <c r="E37" s="59" t="str">
        <f t="shared" si="1"/>
        <v/>
      </c>
      <c r="F37" s="59">
        <f t="shared" ca="1" si="1"/>
        <v>17.828352010990081</v>
      </c>
      <c r="G37" s="59">
        <f t="shared" ca="1" si="1"/>
        <v>13.400311945973565</v>
      </c>
      <c r="H37" s="59">
        <f t="shared" ca="1" si="1"/>
        <v>9.2216723342921316</v>
      </c>
      <c r="I37" s="59">
        <f t="shared" ca="1" si="1"/>
        <v>5.3970614092956604</v>
      </c>
      <c r="J37" s="59">
        <f t="shared" ca="1" si="1"/>
        <v>2.1568309952037565</v>
      </c>
      <c r="K37" s="59">
        <f t="shared" ca="1" si="1"/>
        <v>0</v>
      </c>
      <c r="L37" s="56">
        <f t="shared" ca="1" si="2"/>
        <v>0</v>
      </c>
      <c r="P37" s="56"/>
      <c r="Q37" s="56"/>
      <c r="R37" s="57"/>
      <c r="S37" s="57"/>
      <c r="T37" s="57"/>
      <c r="U37" s="57"/>
      <c r="V37" s="57"/>
      <c r="W37" s="57"/>
      <c r="X37" s="57"/>
    </row>
    <row r="38" spans="1:24" x14ac:dyDescent="0.2">
      <c r="A38" s="49">
        <v>3</v>
      </c>
      <c r="B38" s="59" t="str">
        <f t="shared" si="1"/>
        <v/>
      </c>
      <c r="C38" s="59" t="str">
        <f t="shared" si="1"/>
        <v/>
      </c>
      <c r="D38" s="59" t="str">
        <f t="shared" si="1"/>
        <v/>
      </c>
      <c r="E38" s="59">
        <f t="shared" ca="1" si="1"/>
        <v>14.17100133903481</v>
      </c>
      <c r="F38" s="59">
        <f t="shared" ca="1" si="1"/>
        <v>10.119436167871926</v>
      </c>
      <c r="G38" s="59">
        <f t="shared" ca="1" si="1"/>
        <v>6.4683941561011782</v>
      </c>
      <c r="H38" s="59">
        <f t="shared" ca="1" si="1"/>
        <v>3.3915737914251394</v>
      </c>
      <c r="I38" s="59">
        <f t="shared" ca="1" si="1"/>
        <v>1.1420023478583705</v>
      </c>
      <c r="J38" s="59">
        <f t="shared" ca="1" si="1"/>
        <v>0</v>
      </c>
      <c r="K38" s="59">
        <f t="shared" ca="1" si="1"/>
        <v>0</v>
      </c>
      <c r="L38" s="56">
        <f t="shared" ca="1" si="2"/>
        <v>0</v>
      </c>
      <c r="P38" s="56"/>
      <c r="Q38" s="57"/>
      <c r="R38" s="57"/>
      <c r="S38" s="57"/>
      <c r="T38" s="57"/>
      <c r="U38" s="57"/>
      <c r="V38" s="57"/>
      <c r="W38" s="57"/>
      <c r="X38" s="57"/>
    </row>
    <row r="39" spans="1:24" x14ac:dyDescent="0.2">
      <c r="A39" s="49">
        <v>2</v>
      </c>
      <c r="B39" s="59" t="str">
        <f t="shared" si="1"/>
        <v/>
      </c>
      <c r="C39" s="59" t="str">
        <f t="shared" si="1"/>
        <v/>
      </c>
      <c r="D39" s="59">
        <f t="shared" ca="1" si="1"/>
        <v>10.969449838356557</v>
      </c>
      <c r="E39" s="59">
        <f t="shared" ca="1" si="1"/>
        <v>7.4136610564338072</v>
      </c>
      <c r="F39" s="59">
        <f t="shared" ca="1" si="1"/>
        <v>4.3966640107904196</v>
      </c>
      <c r="G39" s="59">
        <f t="shared" ca="1" si="1"/>
        <v>2.0784815524551643</v>
      </c>
      <c r="H39" s="59">
        <f t="shared" ca="1" si="1"/>
        <v>0.60466924177841086</v>
      </c>
      <c r="I39" s="59">
        <f t="shared" ca="1" si="1"/>
        <v>0</v>
      </c>
      <c r="J39" s="59">
        <f t="shared" ca="1" si="1"/>
        <v>0</v>
      </c>
      <c r="K39" s="59">
        <f t="shared" ca="1" si="1"/>
        <v>0</v>
      </c>
      <c r="L39" s="56">
        <f t="shared" ca="1" si="2"/>
        <v>0</v>
      </c>
      <c r="P39" s="57"/>
      <c r="Q39" s="57"/>
      <c r="R39" s="57"/>
      <c r="S39" s="57"/>
      <c r="T39" s="57"/>
      <c r="U39" s="57"/>
      <c r="V39" s="57"/>
      <c r="W39" s="57"/>
      <c r="X39" s="57"/>
    </row>
    <row r="40" spans="1:24" x14ac:dyDescent="0.2">
      <c r="A40" s="49">
        <v>1</v>
      </c>
      <c r="B40" s="59" t="str">
        <f t="shared" si="1"/>
        <v/>
      </c>
      <c r="C40" s="59">
        <f t="shared" ca="1" si="1"/>
        <v>8.2800337462400329</v>
      </c>
      <c r="D40" s="59">
        <f t="shared" ca="1" si="1"/>
        <v>5.2870867076365551</v>
      </c>
      <c r="E40" s="59">
        <f t="shared" ca="1" si="1"/>
        <v>2.9124706556334194</v>
      </c>
      <c r="F40" s="59">
        <f t="shared" ca="1" si="1"/>
        <v>1.2502051754949441</v>
      </c>
      <c r="G40" s="59">
        <f t="shared" ca="1" si="1"/>
        <v>0.32016124365991461</v>
      </c>
      <c r="H40" s="59">
        <f t="shared" ca="1" si="1"/>
        <v>0</v>
      </c>
      <c r="I40" s="59">
        <f t="shared" ca="1" si="1"/>
        <v>0</v>
      </c>
      <c r="J40" s="59">
        <f t="shared" ca="1" si="1"/>
        <v>0</v>
      </c>
      <c r="K40" s="59">
        <f t="shared" ca="1" si="1"/>
        <v>0</v>
      </c>
      <c r="L40" s="56">
        <f t="shared" ca="1" si="2"/>
        <v>0</v>
      </c>
      <c r="P40" s="57"/>
      <c r="Q40" s="57"/>
      <c r="R40" s="57"/>
      <c r="S40" s="57"/>
      <c r="T40" s="57"/>
      <c r="U40" s="57"/>
      <c r="V40" s="57"/>
      <c r="W40" s="57"/>
      <c r="X40" s="57"/>
    </row>
    <row r="41" spans="1:24" x14ac:dyDescent="0.2">
      <c r="A41" s="49">
        <v>0</v>
      </c>
      <c r="B41" s="59">
        <f t="shared" ca="1" si="1"/>
        <v>6.1057993430111788</v>
      </c>
      <c r="C41" s="59">
        <f t="shared" ca="1" si="1"/>
        <v>3.6824284842980508</v>
      </c>
      <c r="D41" s="59">
        <f t="shared" ca="1" si="1"/>
        <v>1.8886466420813657</v>
      </c>
      <c r="E41" s="59">
        <f t="shared" ca="1" si="1"/>
        <v>0.74121738356941524</v>
      </c>
      <c r="F41" s="59">
        <f t="shared" ca="1" si="1"/>
        <v>0.1695194907556202</v>
      </c>
      <c r="G41" s="59">
        <f t="shared" ca="1" si="1"/>
        <v>0</v>
      </c>
      <c r="H41" s="59">
        <f t="shared" ca="1" si="1"/>
        <v>0</v>
      </c>
      <c r="I41" s="59">
        <f t="shared" ca="1" si="1"/>
        <v>0</v>
      </c>
      <c r="J41" s="59">
        <f t="shared" ca="1" si="1"/>
        <v>0</v>
      </c>
      <c r="K41" s="59">
        <f ca="1">IF($A41 &lt;= K$30, ($B$10*L40+$B$11*L41)/EXP($B$6 * $B$3/$B$5),"")</f>
        <v>0</v>
      </c>
      <c r="L41" s="56">
        <f ca="1">MAX($G$2*(L26-$G$3),0)</f>
        <v>0</v>
      </c>
      <c r="O41" s="57"/>
      <c r="P41" s="57"/>
      <c r="Q41" s="57"/>
      <c r="R41" s="57"/>
      <c r="S41" s="57"/>
      <c r="T41" s="57"/>
      <c r="U41" s="57"/>
      <c r="V41" s="57"/>
      <c r="W41" s="57"/>
      <c r="X41" s="57"/>
    </row>
    <row r="46" spans="1:24" x14ac:dyDescent="0.2">
      <c r="M46" s="49" t="s">
        <v>34</v>
      </c>
    </row>
  </sheetData>
  <mergeCells count="2">
    <mergeCell ref="A1:B1"/>
    <mergeCell ref="F1:G1"/>
  </mergeCells>
  <dataValidations count="1">
    <dataValidation type="list" allowBlank="1" showInputMessage="1" showErrorMessage="1" sqref="G2" xr:uid="{00000000-0002-0000-0300-000000000000}">
      <formula1>"1, -1"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26</vt:i4>
      </vt:variant>
    </vt:vector>
  </HeadingPairs>
  <TitlesOfParts>
    <vt:vector size="32" baseType="lpstr">
      <vt:lpstr>EuropeanCall_EG</vt:lpstr>
      <vt:lpstr>AmericanPut_EG</vt:lpstr>
      <vt:lpstr>OptionsOnFuturesEG 15</vt:lpstr>
      <vt:lpstr>OptionsOnFuturesEG 10</vt:lpstr>
      <vt:lpstr>15PeriodBinomialModel</vt:lpstr>
      <vt:lpstr>10PeriodBinomialModel</vt:lpstr>
      <vt:lpstr>CallPut</vt:lpstr>
      <vt:lpstr>d</vt:lpstr>
      <vt:lpstr>divYield</vt:lpstr>
      <vt:lpstr>Exp</vt:lpstr>
      <vt:lpstr>Expir</vt:lpstr>
      <vt:lpstr>FExp</vt:lpstr>
      <vt:lpstr>'OptionsOnFuturesEG 10'!FuturesLattice</vt:lpstr>
      <vt:lpstr>'OptionsOnFuturesEG 15'!FuturesLattice</vt:lpstr>
      <vt:lpstr>'OptionsOnFuturesEG 10'!FuturesOptionLattice</vt:lpstr>
      <vt:lpstr>'OptionsOnFuturesEG 15'!FuturesOptionLattice</vt:lpstr>
      <vt:lpstr>K</vt:lpstr>
      <vt:lpstr>n</vt:lpstr>
      <vt:lpstr>OneMinq</vt:lpstr>
      <vt:lpstr>OptExp</vt:lpstr>
      <vt:lpstr>AmericanPut_EG!OptionLattice</vt:lpstr>
      <vt:lpstr>EuropeanCall_EG!OptionLattice</vt:lpstr>
      <vt:lpstr>q</vt:lpstr>
      <vt:lpstr>rate</vt:lpstr>
      <vt:lpstr>S0</vt:lpstr>
      <vt:lpstr>sigma</vt:lpstr>
      <vt:lpstr>AmericanPut_EG!StockLattice</vt:lpstr>
      <vt:lpstr>EuropeanCall_EG!StockLattice</vt:lpstr>
      <vt:lpstr>'OptionsOnFuturesEG 10'!StockLattice_2</vt:lpstr>
      <vt:lpstr>'OptionsOnFuturesEG 15'!StockLattice_2</vt:lpstr>
      <vt:lpstr>T</vt:lpstr>
      <vt:lpstr>u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admin</cp:lastModifiedBy>
  <dcterms:created xsi:type="dcterms:W3CDTF">2013-01-29T14:00:58Z</dcterms:created>
  <dcterms:modified xsi:type="dcterms:W3CDTF">2020-11-10T08:21:16Z</dcterms:modified>
</cp:coreProperties>
</file>