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es.81\Desktop\"/>
    </mc:Choice>
  </mc:AlternateContent>
  <bookViews>
    <workbookView xWindow="0" yWindow="150" windowWidth="22980" windowHeight="9990"/>
  </bookViews>
  <sheets>
    <sheet name="Sheet1" sheetId="1" r:id="rId1"/>
    <sheet name="Error Budget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96" i="1" l="1"/>
  <c r="K96" i="1"/>
  <c r="K94" i="1"/>
  <c r="O94" i="1" l="1"/>
  <c r="O92" i="1"/>
  <c r="N95" i="1"/>
  <c r="N93" i="1"/>
  <c r="K92" i="1"/>
  <c r="J95" i="1"/>
  <c r="J93" i="1"/>
  <c r="K93" i="1"/>
  <c r="P96" i="1" l="1"/>
  <c r="Q93" i="1"/>
  <c r="P93" i="1" s="1"/>
  <c r="Q94" i="1"/>
  <c r="P94" i="1" s="1"/>
  <c r="Q95" i="1"/>
  <c r="P95" i="1" s="1"/>
  <c r="Q96" i="1"/>
  <c r="Q92" i="1"/>
  <c r="P92" i="1" s="1"/>
  <c r="M93" i="1"/>
  <c r="L93" i="1" s="1"/>
  <c r="M94" i="1"/>
  <c r="L94" i="1" s="1"/>
  <c r="M95" i="1"/>
  <c r="L95" i="1" s="1"/>
  <c r="M96" i="1"/>
  <c r="L96" i="1" s="1"/>
  <c r="M92" i="1"/>
  <c r="L92" i="1" s="1"/>
  <c r="N96" i="1"/>
  <c r="J96" i="1"/>
  <c r="O95" i="1"/>
  <c r="K95" i="1"/>
  <c r="N94" i="1"/>
  <c r="J94" i="1"/>
  <c r="O93" i="1"/>
  <c r="N92" i="1"/>
  <c r="J92" i="1"/>
  <c r="G96" i="1"/>
  <c r="I96" i="1" s="1"/>
  <c r="H96" i="1" s="1"/>
  <c r="G94" i="1"/>
  <c r="F95" i="1"/>
  <c r="I95" i="1" s="1"/>
  <c r="H95" i="1" s="1"/>
  <c r="F93" i="1"/>
  <c r="I93" i="1" s="1"/>
  <c r="H93" i="1" s="1"/>
  <c r="G92" i="1"/>
  <c r="I92" i="1" s="1"/>
  <c r="H92" i="1" s="1"/>
  <c r="I94" i="1"/>
  <c r="H94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62" i="1"/>
  <c r="E93" i="1"/>
  <c r="E94" i="1"/>
  <c r="E95" i="1"/>
  <c r="E96" i="1"/>
  <c r="E92" i="1"/>
  <c r="C50" i="1" l="1"/>
  <c r="D50" i="1" s="1"/>
  <c r="D44" i="1"/>
  <c r="I44" i="1" s="1"/>
  <c r="D39" i="1"/>
  <c r="H39" i="1" s="1"/>
  <c r="D37" i="1"/>
  <c r="I37" i="1" s="1"/>
  <c r="I50" i="1" l="1"/>
  <c r="J50" i="1"/>
  <c r="H50" i="1"/>
  <c r="G50" i="1"/>
  <c r="H44" i="1"/>
  <c r="J44" i="1"/>
  <c r="G44" i="1"/>
  <c r="I39" i="1"/>
  <c r="J39" i="1"/>
  <c r="G39" i="1"/>
  <c r="H37" i="1"/>
  <c r="G37" i="1"/>
  <c r="J37" i="1"/>
  <c r="B17" i="1" l="1"/>
  <c r="B16" i="1"/>
  <c r="D36" i="1"/>
  <c r="G36" i="1" s="1"/>
  <c r="B6" i="1"/>
  <c r="D38" i="1"/>
  <c r="G38" i="1" s="1"/>
  <c r="D35" i="1"/>
  <c r="G35" i="1" s="1"/>
  <c r="D34" i="1"/>
  <c r="G34" i="1" s="1"/>
  <c r="D33" i="1"/>
  <c r="G33" i="1" s="1"/>
  <c r="D32" i="1"/>
  <c r="D31" i="1"/>
  <c r="G31" i="1" s="1"/>
  <c r="D22" i="1"/>
  <c r="J22" i="1" s="1"/>
  <c r="F50" i="1" l="1"/>
  <c r="K50" i="1" s="1"/>
  <c r="M50" i="1" s="1"/>
  <c r="D82" i="1"/>
  <c r="D79" i="1"/>
  <c r="D66" i="1"/>
  <c r="D74" i="1"/>
  <c r="D70" i="1"/>
  <c r="D63" i="1"/>
  <c r="D78" i="1"/>
  <c r="D71" i="1"/>
  <c r="D76" i="1"/>
  <c r="D68" i="1"/>
  <c r="D94" i="1"/>
  <c r="D75" i="1"/>
  <c r="D96" i="1"/>
  <c r="D81" i="1"/>
  <c r="D92" i="1"/>
  <c r="D62" i="1"/>
  <c r="D73" i="1"/>
  <c r="D80" i="1"/>
  <c r="D72" i="1"/>
  <c r="D67" i="1"/>
  <c r="D93" i="1"/>
  <c r="D69" i="1"/>
  <c r="D83" i="1"/>
  <c r="D64" i="1"/>
  <c r="D77" i="1"/>
  <c r="D65" i="1"/>
  <c r="D95" i="1"/>
  <c r="B54" i="1"/>
  <c r="B53" i="1"/>
  <c r="B52" i="1"/>
  <c r="B51" i="1"/>
  <c r="D51" i="1" s="1"/>
  <c r="F32" i="1"/>
  <c r="C54" i="1"/>
  <c r="C53" i="1"/>
  <c r="C52" i="1"/>
  <c r="C51" i="1"/>
  <c r="H32" i="1"/>
  <c r="I32" i="1"/>
  <c r="F37" i="1"/>
  <c r="K37" i="1" s="1"/>
  <c r="M37" i="1" s="1"/>
  <c r="F44" i="1"/>
  <c r="K44" i="1" s="1"/>
  <c r="M44" i="1" s="1"/>
  <c r="F39" i="1"/>
  <c r="K39" i="1" s="1"/>
  <c r="B46" i="1"/>
  <c r="B23" i="1"/>
  <c r="B45" i="1"/>
  <c r="B48" i="1"/>
  <c r="B47" i="1"/>
  <c r="C46" i="1"/>
  <c r="C45" i="1"/>
  <c r="C29" i="1"/>
  <c r="C48" i="1"/>
  <c r="C47" i="1"/>
  <c r="C23" i="1"/>
  <c r="H22" i="1"/>
  <c r="I22" i="1"/>
  <c r="F22" i="1"/>
  <c r="G22" i="1"/>
  <c r="H36" i="1"/>
  <c r="I38" i="1"/>
  <c r="B27" i="1"/>
  <c r="B29" i="1"/>
  <c r="B25" i="1"/>
  <c r="H38" i="1"/>
  <c r="C27" i="1"/>
  <c r="C25" i="1"/>
  <c r="J34" i="1"/>
  <c r="I34" i="1"/>
  <c r="J35" i="1"/>
  <c r="H34" i="1"/>
  <c r="I35" i="1"/>
  <c r="J31" i="1"/>
  <c r="J36" i="1"/>
  <c r="H35" i="1"/>
  <c r="I31" i="1"/>
  <c r="I36" i="1"/>
  <c r="J32" i="1"/>
  <c r="J38" i="1"/>
  <c r="H31" i="1"/>
  <c r="H33" i="1"/>
  <c r="I33" i="1"/>
  <c r="J33" i="1"/>
  <c r="F36" i="1"/>
  <c r="F38" i="1"/>
  <c r="F35" i="1"/>
  <c r="F34" i="1"/>
  <c r="G32" i="1"/>
  <c r="F31" i="1"/>
  <c r="F33" i="1"/>
  <c r="I51" i="1" l="1"/>
  <c r="J51" i="1"/>
  <c r="G51" i="1"/>
  <c r="H51" i="1"/>
  <c r="F51" i="1"/>
  <c r="K51" i="1" s="1"/>
  <c r="M51" i="1" s="1"/>
  <c r="D52" i="1"/>
  <c r="D53" i="1"/>
  <c r="K31" i="1"/>
  <c r="M31" i="1" s="1"/>
  <c r="D54" i="1"/>
  <c r="K38" i="1"/>
  <c r="B41" i="1" s="1"/>
  <c r="K35" i="1"/>
  <c r="M35" i="1" s="1"/>
  <c r="K22" i="1"/>
  <c r="M22" i="1" s="1"/>
  <c r="D47" i="1"/>
  <c r="D46" i="1"/>
  <c r="K32" i="1"/>
  <c r="M32" i="1" s="1"/>
  <c r="D48" i="1"/>
  <c r="M39" i="1"/>
  <c r="D45" i="1"/>
  <c r="D27" i="1"/>
  <c r="D29" i="1"/>
  <c r="K36" i="1"/>
  <c r="M36" i="1" s="1"/>
  <c r="D25" i="1"/>
  <c r="K34" i="1"/>
  <c r="M34" i="1" s="1"/>
  <c r="D23" i="1"/>
  <c r="K33" i="1"/>
  <c r="M33" i="1" s="1"/>
  <c r="I53" i="1" l="1"/>
  <c r="H53" i="1"/>
  <c r="F53" i="1"/>
  <c r="G53" i="1"/>
  <c r="J53" i="1"/>
  <c r="K53" i="1" s="1"/>
  <c r="M53" i="1" s="1"/>
  <c r="I52" i="1"/>
  <c r="G52" i="1"/>
  <c r="H52" i="1"/>
  <c r="J52" i="1"/>
  <c r="F52" i="1"/>
  <c r="I54" i="1"/>
  <c r="J54" i="1"/>
  <c r="H54" i="1"/>
  <c r="F54" i="1"/>
  <c r="G54" i="1"/>
  <c r="K54" i="1" s="1"/>
  <c r="M54" i="1" s="1"/>
  <c r="B40" i="1"/>
  <c r="B42" i="1" s="1"/>
  <c r="M38" i="1"/>
  <c r="H48" i="1"/>
  <c r="J48" i="1"/>
  <c r="G48" i="1"/>
  <c r="F48" i="1"/>
  <c r="I48" i="1"/>
  <c r="H45" i="1"/>
  <c r="F45" i="1"/>
  <c r="I45" i="1"/>
  <c r="G45" i="1"/>
  <c r="J45" i="1"/>
  <c r="H46" i="1"/>
  <c r="J46" i="1"/>
  <c r="I46" i="1"/>
  <c r="G46" i="1"/>
  <c r="F46" i="1"/>
  <c r="H47" i="1"/>
  <c r="I47" i="1"/>
  <c r="F47" i="1"/>
  <c r="J47" i="1"/>
  <c r="G47" i="1"/>
  <c r="J25" i="1"/>
  <c r="F25" i="1"/>
  <c r="I25" i="1"/>
  <c r="H25" i="1"/>
  <c r="G25" i="1"/>
  <c r="I23" i="1"/>
  <c r="G23" i="1"/>
  <c r="H23" i="1"/>
  <c r="J23" i="1"/>
  <c r="F23" i="1"/>
  <c r="J29" i="1"/>
  <c r="H29" i="1"/>
  <c r="I29" i="1"/>
  <c r="F29" i="1"/>
  <c r="G29" i="1"/>
  <c r="G27" i="1"/>
  <c r="H27" i="1"/>
  <c r="J27" i="1"/>
  <c r="F27" i="1"/>
  <c r="I27" i="1"/>
  <c r="K47" i="1" l="1"/>
  <c r="M47" i="1" s="1"/>
  <c r="K52" i="1"/>
  <c r="M52" i="1" s="1"/>
  <c r="K48" i="1"/>
  <c r="M48" i="1" s="1"/>
  <c r="K46" i="1"/>
  <c r="M46" i="1" s="1"/>
  <c r="K45" i="1"/>
  <c r="M45" i="1" s="1"/>
  <c r="K27" i="1"/>
  <c r="M27" i="1" s="1"/>
  <c r="K29" i="1"/>
  <c r="M29" i="1" s="1"/>
  <c r="K23" i="1"/>
  <c r="M23" i="1" s="1"/>
  <c r="K25" i="1"/>
  <c r="M25" i="1" s="1"/>
</calcChain>
</file>

<file path=xl/sharedStrings.xml><?xml version="1.0" encoding="utf-8"?>
<sst xmlns="http://schemas.openxmlformats.org/spreadsheetml/2006/main" count="147" uniqueCount="109">
  <si>
    <t>ZEMAX Image surface definition, 10th order even polynomial</t>
  </si>
  <si>
    <t>Description of Location</t>
  </si>
  <si>
    <t>Center of Field</t>
  </si>
  <si>
    <t>X</t>
  </si>
  <si>
    <t>Y</t>
  </si>
  <si>
    <t>(mm)</t>
  </si>
  <si>
    <t>r</t>
  </si>
  <si>
    <t>k</t>
  </si>
  <si>
    <t>a6       (1/mm^6)</t>
  </si>
  <si>
    <t>a8       (1/mm^8)</t>
  </si>
  <si>
    <t>a10     (1/mm^10)</t>
  </si>
  <si>
    <t>a4        (1/mm^4)</t>
  </si>
  <si>
    <t>Fourth</t>
  </si>
  <si>
    <t>Sixth</t>
  </si>
  <si>
    <t>Eighth</t>
  </si>
  <si>
    <t>Tenth</t>
  </si>
  <si>
    <t>Z</t>
  </si>
  <si>
    <t>1/c      (mm)</t>
  </si>
  <si>
    <t>(sphere)</t>
  </si>
  <si>
    <t>Departure</t>
  </si>
  <si>
    <t>CCD short edge/2</t>
  </si>
  <si>
    <t>pixel (mm)</t>
  </si>
  <si>
    <t>Long</t>
  </si>
  <si>
    <t>Short</t>
  </si>
  <si>
    <t>CCD Long edge/2</t>
  </si>
  <si>
    <t>Y Chip center</t>
  </si>
  <si>
    <t>Y chip inner corner</t>
  </si>
  <si>
    <t>Y chip outer corner</t>
  </si>
  <si>
    <t>X Chip center</t>
  </si>
  <si>
    <t>X chip inner corner</t>
  </si>
  <si>
    <t>X chip outer corner</t>
  </si>
  <si>
    <t>FIF #1</t>
  </si>
  <si>
    <t>FIF#2</t>
  </si>
  <si>
    <t>Second</t>
  </si>
  <si>
    <t>Aspheric Terms</t>
  </si>
  <si>
    <t>Aspheric</t>
  </si>
  <si>
    <t>nominal</t>
  </si>
  <si>
    <t xml:space="preserve">  +X, +Y Center chip corner (nominal)</t>
  </si>
  <si>
    <t xml:space="preserve">  +X, +Y Center chip corner (actual)</t>
  </si>
  <si>
    <t xml:space="preserve">  +X, -Y Center chip corner  (nominal)</t>
  </si>
  <si>
    <t xml:space="preserve">  +X, -Y Center chip corner  (actual)</t>
  </si>
  <si>
    <t xml:space="preserve">  -X, -Y Center chip corner  (nominal)</t>
  </si>
  <si>
    <t xml:space="preserve">  -X, -Y Center chip corner  (actual)</t>
  </si>
  <si>
    <t xml:space="preserve">  -X, +Y Center chip corner  (nominal)</t>
  </si>
  <si>
    <t xml:space="preserve">  -X, +Y Center chip corner  (actual)</t>
  </si>
  <si>
    <t>DESI Commissioning Instrument Metrology Tables</t>
  </si>
  <si>
    <t>23 microns of focus shift from center to corner of CCD</t>
  </si>
  <si>
    <t xml:space="preserve">SBIG STXL 6303e (9 micron pixels, 3072 (H) × 2048 (V)) </t>
  </si>
  <si>
    <t xml:space="preserve"> </t>
  </si>
  <si>
    <t>CCD Metrology using a projected illuminated reticle onto the SBIG CCD</t>
  </si>
  <si>
    <t>Description of term</t>
  </si>
  <si>
    <t>CMM single axis single measurement error</t>
  </si>
  <si>
    <t>(microns)</t>
  </si>
  <si>
    <t>DESI Commissioning Instrument Metrology Error Budgets</t>
  </si>
  <si>
    <t>Reticle centroiding error single measurement</t>
  </si>
  <si>
    <t>Best focus (Z) determination from focus curve</t>
  </si>
  <si>
    <t>Comments</t>
  </si>
  <si>
    <t>Pinhole centroiding error single measurement</t>
  </si>
  <si>
    <t>RMS X &amp; Y True Position error</t>
  </si>
  <si>
    <t xml:space="preserve">  +/- 50 micron offset shells</t>
  </si>
  <si>
    <t>CCD Flatness</t>
  </si>
  <si>
    <t xml:space="preserve"> +/- Error</t>
  </si>
  <si>
    <t>X &amp; Y</t>
  </si>
  <si>
    <t>CCD to nearest FIF  (IN.CI.9101 = +/- 5 microns)</t>
  </si>
  <si>
    <t>FIF Metrology (IN.CI.91015 = +/- 10 microns)</t>
  </si>
  <si>
    <t xml:space="preserve">Angle to chip center </t>
  </si>
  <si>
    <t>CI CCD center Location (roughly GFA location)</t>
  </si>
  <si>
    <t>Angle 386.5 to 396.5 (degrees)</t>
  </si>
  <si>
    <t>Angle 396.5 to 406.5 (degrees)</t>
  </si>
  <si>
    <t>Machined tilt to 5.4 degrees</t>
  </si>
  <si>
    <t>RefFIF</t>
  </si>
  <si>
    <t>NFIF</t>
  </si>
  <si>
    <t>WFIF</t>
  </si>
  <si>
    <t>SFIF</t>
  </si>
  <si>
    <t>EFIF</t>
  </si>
  <si>
    <t>CFIF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</si>
  <si>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</si>
  <si>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</si>
  <si>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</si>
  <si>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</si>
  <si>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</si>
  <si>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</si>
  <si>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</si>
  <si>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</si>
  <si>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</si>
  <si>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</si>
  <si>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</si>
  <si>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</si>
  <si>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</si>
  <si>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</si>
  <si>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</si>
  <si>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</si>
  <si>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B</t>
  </si>
  <si>
    <t>C</t>
  </si>
  <si>
    <t>North CCD</t>
  </si>
  <si>
    <t>West CCD</t>
  </si>
  <si>
    <t>South CCD</t>
  </si>
  <si>
    <t>East CCD</t>
  </si>
  <si>
    <t>(Equilateral triangle with points A/B/C, centered on the center of the CCD. A/B/C are each 8mm from the center of the CCD)</t>
  </si>
  <si>
    <t>Center CCD</t>
  </si>
  <si>
    <t>X mm</t>
  </si>
  <si>
    <t>Y mm</t>
  </si>
  <si>
    <t>Z mm</t>
  </si>
  <si>
    <t xml:space="preserve">A </t>
  </si>
  <si>
    <t>CCD tip/tilt/Z Measurement Triangle Points as used in DESI_CI_MET Software</t>
  </si>
  <si>
    <t>FIF Center Locations in CS5 (X mm, Y mm, Z mm) as used in DESI_CI_MET Software</t>
  </si>
  <si>
    <t>r mm</t>
  </si>
  <si>
    <t>CCD Center</t>
  </si>
  <si>
    <t>Triangle Circumscribed Circle Radius 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</si>
</sst>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6681691510654E-2"/>
          <c:y val="3.0401714491570905E-2"/>
          <c:w val="0.91248906386701667"/>
          <c:h val="0.93146592787012739"/>
        </c:manualLayout>
      </c:layout>
      <c:scatterChart>
        <c:scatterStyle val="smoothMarker"/>
        <c:varyColors val="0"/>
        <c:ser>
          <c:idx val="0"/>
          <c:order val="0"/>
          <c:tx>
            <c:v>Spherical Term</c:v>
          </c:tx>
          <c:xVal>
            <c:numRef>
              <c:f>Sheet1!$D$22:$D$38</c:f>
              <c:numCache>
                <c:formatCode>General</c:formatCode>
                <c:ptCount val="17"/>
                <c:pt idx="0">
                  <c:v>0</c:v>
                </c:pt>
                <c:pt idx="1">
                  <c:v>16.614380277338061</c:v>
                </c:pt>
                <c:pt idx="3">
                  <c:v>16.614380277338061</c:v>
                </c:pt>
                <c:pt idx="5">
                  <c:v>16.614380277338061</c:v>
                </c:pt>
                <c:pt idx="7">
                  <c:v>16.614380277338061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386.5</c:v>
                </c:pt>
                <c:pt idx="16">
                  <c:v>396.5</c:v>
                </c:pt>
              </c:numCache>
            </c:numRef>
          </c:xVal>
          <c:yVal>
            <c:numRef>
              <c:f>Sheet1!$F$22:$F$38</c:f>
              <c:numCache>
                <c:formatCode>General</c:formatCode>
                <c:ptCount val="17"/>
                <c:pt idx="0">
                  <c:v>0</c:v>
                </c:pt>
                <c:pt idx="1">
                  <c:v>-2.7725889437799699E-2</c:v>
                </c:pt>
                <c:pt idx="3">
                  <c:v>-2.7725889437799699E-2</c:v>
                </c:pt>
                <c:pt idx="5">
                  <c:v>-2.7725889437799699E-2</c:v>
                </c:pt>
                <c:pt idx="7">
                  <c:v>-2.7725889437799699E-2</c:v>
                </c:pt>
                <c:pt idx="9">
                  <c:v>-1.0045228160450257</c:v>
                </c:pt>
                <c:pt idx="10">
                  <c:v>-2.2604615202405478</c:v>
                </c:pt>
                <c:pt idx="11">
                  <c:v>-4.0193084799946721</c:v>
                </c:pt>
                <c:pt idx="12">
                  <c:v>-6.2815974385625681</c:v>
                </c:pt>
                <c:pt idx="13">
                  <c:v>-9.0480160259467972</c:v>
                </c:pt>
                <c:pt idx="14">
                  <c:v>-12.319406807173241</c:v>
                </c:pt>
                <c:pt idx="15">
                  <c:v>-15.026954590534128</c:v>
                </c:pt>
                <c:pt idx="16">
                  <c:v>-15.815860562731119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2-428A-8945-C208EF0AE430}"/>
            </c:ext>
          </c:extLst>
        </c:ser>
        <c:ser>
          <c:idx val="1"/>
          <c:order val="1"/>
          <c:tx>
            <c:v>Aspheric Focal Surface</c:v>
          </c:tx>
          <c:xVal>
            <c:numRef>
              <c:f>Sheet1!$D$22:$D$38</c:f>
              <c:numCache>
                <c:formatCode>General</c:formatCode>
                <c:ptCount val="17"/>
                <c:pt idx="0">
                  <c:v>0</c:v>
                </c:pt>
                <c:pt idx="1">
                  <c:v>16.614380277338061</c:v>
                </c:pt>
                <c:pt idx="3">
                  <c:v>16.614380277338061</c:v>
                </c:pt>
                <c:pt idx="5">
                  <c:v>16.614380277338061</c:v>
                </c:pt>
                <c:pt idx="7">
                  <c:v>16.614380277338061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386.5</c:v>
                </c:pt>
                <c:pt idx="16">
                  <c:v>396.5</c:v>
                </c:pt>
              </c:numCache>
            </c:numRef>
          </c:xVal>
          <c:yVal>
            <c:numRef>
              <c:f>Sheet1!$K$22:$K$38</c:f>
              <c:numCache>
                <c:formatCode>General</c:formatCode>
                <c:ptCount val="17"/>
                <c:pt idx="0">
                  <c:v>0</c:v>
                </c:pt>
                <c:pt idx="1">
                  <c:v>-2.774840774929957E-2</c:v>
                </c:pt>
                <c:pt idx="3">
                  <c:v>-2.774840774929957E-2</c:v>
                </c:pt>
                <c:pt idx="5">
                  <c:v>-2.774840774929957E-2</c:v>
                </c:pt>
                <c:pt idx="7">
                  <c:v>-2.774840774929957E-2</c:v>
                </c:pt>
                <c:pt idx="9">
                  <c:v>-1.0308956789450257</c:v>
                </c:pt>
                <c:pt idx="10">
                  <c:v>-2.3756668120199427</c:v>
                </c:pt>
                <c:pt idx="11">
                  <c:v>-4.315581529594672</c:v>
                </c:pt>
                <c:pt idx="12">
                  <c:v>-6.8411127049810254</c:v>
                </c:pt>
                <c:pt idx="13">
                  <c:v>-9.9241844480467982</c:v>
                </c:pt>
                <c:pt idx="14">
                  <c:v>-13.586562511237792</c:v>
                </c:pt>
                <c:pt idx="15">
                  <c:v>-16.696150923193336</c:v>
                </c:pt>
                <c:pt idx="16">
                  <c:v>-17.622539798407772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2-428A-8945-C208EF0A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9520"/>
        <c:axId val="112061056"/>
      </c:scatterChart>
      <c:valAx>
        <c:axId val="112059520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12061056"/>
        <c:crosses val="autoZero"/>
        <c:crossBetween val="midCat"/>
      </c:valAx>
      <c:valAx>
        <c:axId val="112061056"/>
        <c:scaling>
          <c:orientation val="minMax"/>
          <c:min val="-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417909932311088"/>
          <c:y val="0.53060829201905313"/>
          <c:w val="0.21994108054229891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</xdr:row>
      <xdr:rowOff>38100</xdr:rowOff>
    </xdr:from>
    <xdr:to>
      <xdr:col>12</xdr:col>
      <xdr:colOff>563880</xdr:colOff>
      <xdr:row>16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60</xdr:row>
      <xdr:rowOff>3744</xdr:rowOff>
    </xdr:from>
    <xdr:to>
      <xdr:col>11</xdr:col>
      <xdr:colOff>95250</xdr:colOff>
      <xdr:row>83</xdr:row>
      <xdr:rowOff>9318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11481369"/>
          <a:ext cx="4524375" cy="438707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97</xdr:row>
      <xdr:rowOff>1</xdr:rowOff>
    </xdr:from>
    <xdr:to>
      <xdr:col>11</xdr:col>
      <xdr:colOff>139053</xdr:colOff>
      <xdr:row>120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18526126"/>
          <a:ext cx="4558653" cy="4400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6"/>
  <sheetViews>
    <sheetView tabSelected="1" topLeftCell="B70" workbookViewId="0">
      <selection activeCell="Q96" sqref="Q96"/>
    </sheetView>
  </sheetViews>
  <sheetFormatPr defaultRowHeight="15" x14ac:dyDescent="0.25"/>
  <cols>
    <col min="1" max="1" width="39.5703125" customWidth="1"/>
    <col min="2" max="2" width="17.140625" customWidth="1"/>
    <col min="3" max="3" width="21" customWidth="1"/>
    <col min="4" max="4" width="17" customWidth="1"/>
    <col min="5" max="5" width="14.28515625" customWidth="1"/>
    <col min="6" max="6" width="15.7109375" customWidth="1"/>
    <col min="7" max="7" width="15.28515625" customWidth="1"/>
    <col min="8" max="9" width="16.42578125" customWidth="1"/>
  </cols>
  <sheetData>
    <row r="1" spans="1:2" ht="18.75" x14ac:dyDescent="0.3">
      <c r="A1" s="1" t="s">
        <v>45</v>
      </c>
    </row>
    <row r="2" spans="1:2" x14ac:dyDescent="0.25">
      <c r="A2" t="s">
        <v>47</v>
      </c>
    </row>
    <row r="3" spans="1:2" x14ac:dyDescent="0.25">
      <c r="A3" t="s">
        <v>0</v>
      </c>
    </row>
    <row r="6" spans="1:2" x14ac:dyDescent="0.25">
      <c r="A6" t="s">
        <v>17</v>
      </c>
      <c r="B6">
        <f>-4977.99</f>
        <v>-4977.99</v>
      </c>
    </row>
    <row r="7" spans="1:2" x14ac:dyDescent="0.25">
      <c r="A7" t="s">
        <v>7</v>
      </c>
      <c r="B7">
        <v>0</v>
      </c>
    </row>
    <row r="8" spans="1:2" x14ac:dyDescent="0.25">
      <c r="A8" t="s">
        <v>11</v>
      </c>
      <c r="B8" s="3">
        <v>-2.9647999999999999E-10</v>
      </c>
    </row>
    <row r="9" spans="1:2" x14ac:dyDescent="0.25">
      <c r="A9" t="s">
        <v>8</v>
      </c>
      <c r="B9" s="3">
        <v>3.4523000000000001E-15</v>
      </c>
    </row>
    <row r="10" spans="1:2" x14ac:dyDescent="0.25">
      <c r="A10" t="s">
        <v>9</v>
      </c>
      <c r="B10" s="3">
        <v>-1.8042E-20</v>
      </c>
    </row>
    <row r="11" spans="1:2" x14ac:dyDescent="0.25">
      <c r="A11" t="s">
        <v>10</v>
      </c>
      <c r="B11" s="3">
        <v>3.2571E-26</v>
      </c>
    </row>
    <row r="13" spans="1:2" x14ac:dyDescent="0.25">
      <c r="A13" t="s">
        <v>21</v>
      </c>
      <c r="B13" s="3">
        <v>8.9999999999999993E-3</v>
      </c>
    </row>
    <row r="14" spans="1:2" x14ac:dyDescent="0.25">
      <c r="A14" t="s">
        <v>22</v>
      </c>
      <c r="B14" s="3">
        <v>3072</v>
      </c>
    </row>
    <row r="15" spans="1:2" x14ac:dyDescent="0.25">
      <c r="A15" t="s">
        <v>23</v>
      </c>
      <c r="B15" s="3">
        <v>2048</v>
      </c>
    </row>
    <row r="16" spans="1:2" x14ac:dyDescent="0.25">
      <c r="A16" t="s">
        <v>24</v>
      </c>
      <c r="B16" s="3">
        <f>B13*(B14/2)</f>
        <v>13.823999999999998</v>
      </c>
    </row>
    <row r="17" spans="1:14" x14ac:dyDescent="0.25">
      <c r="A17" t="s">
        <v>20</v>
      </c>
      <c r="B17" s="3">
        <f>B13*(B15/2)</f>
        <v>9.2159999999999993</v>
      </c>
    </row>
    <row r="18" spans="1:14" x14ac:dyDescent="0.25">
      <c r="A18" s="4"/>
      <c r="B18" s="4"/>
      <c r="C18" s="4"/>
      <c r="D18" s="4"/>
      <c r="E18" s="4"/>
      <c r="F18" s="4" t="s">
        <v>34</v>
      </c>
      <c r="G18" s="4"/>
      <c r="H18" s="4"/>
      <c r="I18" s="4"/>
      <c r="J18" s="4"/>
      <c r="K18" s="4" t="s">
        <v>36</v>
      </c>
      <c r="L18" s="4"/>
      <c r="M18" s="4" t="s">
        <v>35</v>
      </c>
    </row>
    <row r="19" spans="1:14" x14ac:dyDescent="0.25">
      <c r="A19" s="4" t="s">
        <v>1</v>
      </c>
      <c r="B19" s="5" t="s">
        <v>3</v>
      </c>
      <c r="C19" s="5" t="s">
        <v>4</v>
      </c>
      <c r="D19" s="5" t="s">
        <v>6</v>
      </c>
      <c r="E19" s="5"/>
      <c r="F19" s="5" t="s">
        <v>33</v>
      </c>
      <c r="G19" s="5" t="s">
        <v>12</v>
      </c>
      <c r="H19" s="5" t="s">
        <v>13</v>
      </c>
      <c r="I19" s="5" t="s">
        <v>14</v>
      </c>
      <c r="J19" s="5" t="s">
        <v>15</v>
      </c>
      <c r="K19" s="5" t="s">
        <v>16</v>
      </c>
      <c r="L19" s="5"/>
      <c r="M19" s="5" t="s">
        <v>19</v>
      </c>
    </row>
    <row r="20" spans="1:14" x14ac:dyDescent="0.25">
      <c r="A20" s="4"/>
      <c r="B20" s="5" t="s">
        <v>5</v>
      </c>
      <c r="C20" s="5" t="s">
        <v>5</v>
      </c>
      <c r="D20" s="5" t="s">
        <v>5</v>
      </c>
      <c r="E20" s="4"/>
      <c r="F20" s="5" t="s">
        <v>18</v>
      </c>
      <c r="G20" s="4"/>
      <c r="H20" s="4"/>
      <c r="I20" s="4"/>
      <c r="J20" s="4"/>
      <c r="K20" s="5" t="s">
        <v>5</v>
      </c>
      <c r="L20" s="5"/>
      <c r="M20" s="5" t="s">
        <v>5</v>
      </c>
    </row>
    <row r="22" spans="1:14" x14ac:dyDescent="0.25">
      <c r="A22" t="s">
        <v>2</v>
      </c>
      <c r="B22">
        <v>0</v>
      </c>
      <c r="C22">
        <v>0</v>
      </c>
      <c r="D22">
        <f>SQRT(B22^2+C22^2)</f>
        <v>0</v>
      </c>
      <c r="F22">
        <f>((D22^2)/$B$6)/(1+SQRT(1-(D22^2/$B$6^2)))</f>
        <v>0</v>
      </c>
      <c r="G22" s="3">
        <f>B$8*D22^4</f>
        <v>0</v>
      </c>
      <c r="H22" s="3">
        <f>B$9*D22^6</f>
        <v>0</v>
      </c>
      <c r="I22" s="3">
        <f>B$10*D22^8</f>
        <v>0</v>
      </c>
      <c r="J22" s="3">
        <f>B$11*D22^10</f>
        <v>0</v>
      </c>
      <c r="K22">
        <f t="shared" ref="K22:K23" si="0">SUM(E22:J22)</f>
        <v>0</v>
      </c>
      <c r="M22">
        <f>K22-F22</f>
        <v>0</v>
      </c>
    </row>
    <row r="23" spans="1:14" x14ac:dyDescent="0.25">
      <c r="A23" t="s">
        <v>37</v>
      </c>
      <c r="B23" s="3">
        <f>$B$16</f>
        <v>13.823999999999998</v>
      </c>
      <c r="C23" s="3">
        <f>$B$17</f>
        <v>9.2159999999999993</v>
      </c>
      <c r="D23">
        <f>SQRT(B23^2+C23^2)</f>
        <v>16.614380277338061</v>
      </c>
      <c r="F23">
        <f>((D23^2)/$B$6)/(1+SQRT(1-(D23^2/$B$6^2)))</f>
        <v>-2.7725889437799699E-2</v>
      </c>
      <c r="G23" s="3">
        <f t="shared" ref="G23:G35" si="1">B$8*D23^4</f>
        <v>-2.2590819638584023E-5</v>
      </c>
      <c r="H23" s="3">
        <f t="shared" ref="H23:H38" si="2">B$9*D23^6</f>
        <v>7.2612837434677027E-8</v>
      </c>
      <c r="I23" s="3">
        <f t="shared" ref="I23:I38" si="3">B$10*D23^8</f>
        <v>-1.0475092122589948E-10</v>
      </c>
      <c r="J23" s="3">
        <f t="shared" ref="J23:J38" si="4">B$11*D23^10</f>
        <v>5.2200247028955229E-14</v>
      </c>
      <c r="K23">
        <f t="shared" si="0"/>
        <v>-2.774840774929957E-2</v>
      </c>
      <c r="M23">
        <f t="shared" ref="M23:M38" si="5">K23-F23</f>
        <v>-2.2518311499870186E-5</v>
      </c>
      <c r="N23" t="s">
        <v>46</v>
      </c>
    </row>
    <row r="24" spans="1:14" x14ac:dyDescent="0.25">
      <c r="A24" t="s">
        <v>38</v>
      </c>
      <c r="B24" s="3"/>
      <c r="C24" s="3"/>
      <c r="G24" s="3"/>
      <c r="H24" s="3"/>
      <c r="I24" s="3"/>
      <c r="J24" s="3"/>
    </row>
    <row r="25" spans="1:14" x14ac:dyDescent="0.25">
      <c r="A25" t="s">
        <v>39</v>
      </c>
      <c r="B25" s="3">
        <f>B$16</f>
        <v>13.823999999999998</v>
      </c>
      <c r="C25" s="3">
        <f>-B$17</f>
        <v>-9.2159999999999993</v>
      </c>
      <c r="D25">
        <f>SQRT(B25^2+C25^2)</f>
        <v>16.614380277338061</v>
      </c>
      <c r="F25">
        <f>((D25^2)/$B$6)/(1+SQRT(1-(D25^2/$B$6^2)))</f>
        <v>-2.7725889437799699E-2</v>
      </c>
      <c r="G25" s="3">
        <f t="shared" ref="G25" si="6">B$8*D25^4</f>
        <v>-2.2590819638584023E-5</v>
      </c>
      <c r="H25" s="3">
        <f t="shared" ref="H25" si="7">B$9*D25^6</f>
        <v>7.2612837434677027E-8</v>
      </c>
      <c r="I25" s="3">
        <f t="shared" ref="I25" si="8">B$10*D25^8</f>
        <v>-1.0475092122589948E-10</v>
      </c>
      <c r="J25" s="3">
        <f t="shared" ref="J25" si="9">B$11*D25^10</f>
        <v>5.2200247028955229E-14</v>
      </c>
      <c r="K25">
        <f t="shared" ref="K25" si="10">SUM(E25:J25)</f>
        <v>-2.774840774929957E-2</v>
      </c>
      <c r="M25">
        <f t="shared" ref="M25" si="11">K25-F25</f>
        <v>-2.2518311499870186E-5</v>
      </c>
    </row>
    <row r="26" spans="1:14" x14ac:dyDescent="0.25">
      <c r="A26" t="s">
        <v>40</v>
      </c>
      <c r="B26" s="3"/>
      <c r="C26" s="3"/>
      <c r="G26" s="3"/>
      <c r="H26" s="3"/>
      <c r="I26" s="3"/>
      <c r="J26" s="3"/>
    </row>
    <row r="27" spans="1:14" x14ac:dyDescent="0.25">
      <c r="A27" t="s">
        <v>41</v>
      </c>
      <c r="B27" s="3">
        <f>-B$16</f>
        <v>-13.823999999999998</v>
      </c>
      <c r="C27" s="3">
        <f t="shared" ref="C27" si="12">-B$17</f>
        <v>-9.2159999999999993</v>
      </c>
      <c r="D27">
        <f t="shared" ref="D27:D29" si="13">SQRT(B27^2+C27^2)</f>
        <v>16.614380277338061</v>
      </c>
      <c r="F27">
        <f t="shared" ref="F27:F29" si="14">((D27^2)/$B$6)/(1+SQRT(1-(D27^2/$B$6^2)))</f>
        <v>-2.7725889437799699E-2</v>
      </c>
      <c r="G27" s="3">
        <f t="shared" ref="G27:G29" si="15">B$8*D27^4</f>
        <v>-2.2590819638584023E-5</v>
      </c>
      <c r="H27" s="3">
        <f t="shared" ref="H27:H29" si="16">B$9*D27^6</f>
        <v>7.2612837434677027E-8</v>
      </c>
      <c r="I27" s="3">
        <f t="shared" ref="I27:I29" si="17">B$10*D27^8</f>
        <v>-1.0475092122589948E-10</v>
      </c>
      <c r="J27" s="3">
        <f t="shared" ref="J27:J29" si="18">B$11*D27^10</f>
        <v>5.2200247028955229E-14</v>
      </c>
      <c r="K27">
        <f t="shared" ref="K27:K29" si="19">SUM(E27:J27)</f>
        <v>-2.774840774929957E-2</v>
      </c>
      <c r="M27">
        <f t="shared" ref="M27:M29" si="20">K27-F27</f>
        <v>-2.2518311499870186E-5</v>
      </c>
    </row>
    <row r="28" spans="1:14" x14ac:dyDescent="0.25">
      <c r="A28" t="s">
        <v>42</v>
      </c>
      <c r="B28" s="3"/>
      <c r="C28" s="3"/>
      <c r="G28" s="3"/>
      <c r="H28" s="3"/>
      <c r="I28" s="3"/>
      <c r="J28" s="3"/>
    </row>
    <row r="29" spans="1:14" x14ac:dyDescent="0.25">
      <c r="A29" t="s">
        <v>43</v>
      </c>
      <c r="B29" s="3">
        <f>-B$16</f>
        <v>-13.823999999999998</v>
      </c>
      <c r="C29" s="3">
        <f>B$17</f>
        <v>9.2159999999999993</v>
      </c>
      <c r="D29">
        <f t="shared" si="13"/>
        <v>16.614380277338061</v>
      </c>
      <c r="F29">
        <f t="shared" si="14"/>
        <v>-2.7725889437799699E-2</v>
      </c>
      <c r="G29" s="3">
        <f t="shared" si="15"/>
        <v>-2.2590819638584023E-5</v>
      </c>
      <c r="H29" s="3">
        <f t="shared" si="16"/>
        <v>7.2612837434677027E-8</v>
      </c>
      <c r="I29" s="3">
        <f t="shared" si="17"/>
        <v>-1.0475092122589948E-10</v>
      </c>
      <c r="J29" s="3">
        <f t="shared" si="18"/>
        <v>5.2200247028955229E-14</v>
      </c>
      <c r="K29">
        <f t="shared" si="19"/>
        <v>-2.774840774929957E-2</v>
      </c>
      <c r="M29">
        <f t="shared" si="20"/>
        <v>-2.2518311499870186E-5</v>
      </c>
    </row>
    <row r="30" spans="1:14" x14ac:dyDescent="0.25">
      <c r="A30" t="s">
        <v>44</v>
      </c>
      <c r="B30" s="3"/>
      <c r="C30" s="3"/>
      <c r="G30" s="3"/>
      <c r="H30" s="3"/>
      <c r="I30" s="3"/>
      <c r="J30" s="3"/>
    </row>
    <row r="31" spans="1:14" x14ac:dyDescent="0.25">
      <c r="B31">
        <v>100</v>
      </c>
      <c r="C31">
        <v>0</v>
      </c>
      <c r="D31">
        <f t="shared" ref="D31:D35" si="21">SQRT(B31^2+C31^2)</f>
        <v>100</v>
      </c>
      <c r="F31">
        <f t="shared" ref="F31:F35" si="22">((D31^2)/$B$6)/(1+SQRT(1-(D31^2/$B$6^2)))</f>
        <v>-1.0045228160450257</v>
      </c>
      <c r="G31" s="3">
        <f t="shared" si="1"/>
        <v>-2.9648000000000001E-2</v>
      </c>
      <c r="H31" s="3">
        <f t="shared" si="2"/>
        <v>3.4523000000000002E-3</v>
      </c>
      <c r="I31" s="3">
        <f t="shared" si="3"/>
        <v>-1.8042000000000001E-4</v>
      </c>
      <c r="J31" s="3">
        <f t="shared" si="4"/>
        <v>3.2571000000000001E-6</v>
      </c>
      <c r="K31">
        <f>SUM(E31:J31)</f>
        <v>-1.0308956789450257</v>
      </c>
      <c r="M31">
        <f t="shared" si="5"/>
        <v>-2.637286289999996E-2</v>
      </c>
    </row>
    <row r="32" spans="1:14" x14ac:dyDescent="0.25">
      <c r="B32">
        <v>150</v>
      </c>
      <c r="C32">
        <v>0</v>
      </c>
      <c r="D32">
        <f t="shared" si="21"/>
        <v>150</v>
      </c>
      <c r="F32">
        <f t="shared" si="22"/>
        <v>-2.2604615202405478</v>
      </c>
      <c r="G32" s="3">
        <f t="shared" si="1"/>
        <v>-0.150093</v>
      </c>
      <c r="H32" s="3">
        <f t="shared" si="2"/>
        <v>3.93238546875E-2</v>
      </c>
      <c r="I32" s="3">
        <f t="shared" si="3"/>
        <v>-4.623967265625E-3</v>
      </c>
      <c r="J32" s="3">
        <f t="shared" si="4"/>
        <v>1.8782079873046876E-4</v>
      </c>
      <c r="K32">
        <f t="shared" ref="K32:K38" si="23">SUM(E32:J32)</f>
        <v>-2.3756668120199427</v>
      </c>
      <c r="M32">
        <f t="shared" si="5"/>
        <v>-0.11520529177939487</v>
      </c>
    </row>
    <row r="33" spans="1:13" x14ac:dyDescent="0.25">
      <c r="B33">
        <v>200</v>
      </c>
      <c r="C33">
        <v>0</v>
      </c>
      <c r="D33">
        <f t="shared" si="21"/>
        <v>200</v>
      </c>
      <c r="F33">
        <f t="shared" si="22"/>
        <v>-4.0193084799946721</v>
      </c>
      <c r="G33" s="3">
        <f t="shared" si="1"/>
        <v>-0.47436800000000001</v>
      </c>
      <c r="H33" s="3">
        <f t="shared" si="2"/>
        <v>0.22094720000000001</v>
      </c>
      <c r="I33" s="3">
        <f t="shared" si="3"/>
        <v>-4.6187520000000003E-2</v>
      </c>
      <c r="J33" s="3">
        <f t="shared" si="4"/>
        <v>3.3352704000000001E-3</v>
      </c>
      <c r="K33">
        <f t="shared" si="23"/>
        <v>-4.315581529594672</v>
      </c>
      <c r="M33">
        <f t="shared" si="5"/>
        <v>-0.29627304959999989</v>
      </c>
    </row>
    <row r="34" spans="1:13" x14ac:dyDescent="0.25">
      <c r="B34">
        <v>250</v>
      </c>
      <c r="C34">
        <v>0</v>
      </c>
      <c r="D34">
        <f t="shared" si="21"/>
        <v>250</v>
      </c>
      <c r="F34">
        <f t="shared" si="22"/>
        <v>-6.2815974385625681</v>
      </c>
      <c r="G34" s="3">
        <f t="shared" si="1"/>
        <v>-1.1581250000000001</v>
      </c>
      <c r="H34" s="3">
        <f t="shared" si="2"/>
        <v>0.84284667968750004</v>
      </c>
      <c r="I34" s="3">
        <f t="shared" si="3"/>
        <v>-0.275299072265625</v>
      </c>
      <c r="J34" s="3">
        <f t="shared" si="4"/>
        <v>3.1062126159667969E-2</v>
      </c>
      <c r="K34">
        <f t="shared" si="23"/>
        <v>-6.8411127049810254</v>
      </c>
      <c r="M34">
        <f t="shared" si="5"/>
        <v>-0.55951526641845728</v>
      </c>
    </row>
    <row r="35" spans="1:13" x14ac:dyDescent="0.25">
      <c r="B35">
        <v>300</v>
      </c>
      <c r="C35">
        <v>0</v>
      </c>
      <c r="D35">
        <f t="shared" si="21"/>
        <v>300</v>
      </c>
      <c r="F35">
        <f t="shared" si="22"/>
        <v>-9.0480160259467972</v>
      </c>
      <c r="G35" s="3">
        <f t="shared" si="1"/>
        <v>-2.4014880000000001</v>
      </c>
      <c r="H35" s="3">
        <f t="shared" si="2"/>
        <v>2.5167267</v>
      </c>
      <c r="I35" s="3">
        <f t="shared" si="3"/>
        <v>-1.18373562</v>
      </c>
      <c r="J35" s="3">
        <f t="shared" si="4"/>
        <v>0.19232849790000001</v>
      </c>
      <c r="K35">
        <f t="shared" si="23"/>
        <v>-9.9241844480467982</v>
      </c>
      <c r="M35">
        <f t="shared" si="5"/>
        <v>-0.87616842210000101</v>
      </c>
    </row>
    <row r="36" spans="1:13" x14ac:dyDescent="0.25">
      <c r="B36">
        <v>350</v>
      </c>
      <c r="C36">
        <v>0</v>
      </c>
      <c r="D36">
        <f>SQRT(B36^2+C36^2)</f>
        <v>350</v>
      </c>
      <c r="F36">
        <f>((D36^2)/$B$6)/(1+SQRT(1-(D36^2/$B$6^2)))</f>
        <v>-12.319406807173241</v>
      </c>
      <c r="G36" s="3">
        <f>B$8*D36^4</f>
        <v>-4.4490530000000001</v>
      </c>
      <c r="H36" s="3">
        <f t="shared" si="2"/>
        <v>6.3462444171875001</v>
      </c>
      <c r="I36" s="3">
        <f t="shared" si="3"/>
        <v>-4.0628335797656252</v>
      </c>
      <c r="J36" s="3">
        <f t="shared" si="4"/>
        <v>0.89848645851357423</v>
      </c>
      <c r="K36">
        <f t="shared" si="23"/>
        <v>-13.586562511237792</v>
      </c>
      <c r="M36">
        <f t="shared" si="5"/>
        <v>-1.2671557040645514</v>
      </c>
    </row>
    <row r="37" spans="1:13" x14ac:dyDescent="0.25">
      <c r="B37">
        <v>386.5</v>
      </c>
      <c r="C37">
        <v>0</v>
      </c>
      <c r="D37">
        <f>SQRT(B37^2+C37^2)</f>
        <v>386.5</v>
      </c>
      <c r="F37">
        <f>((D37^2)/$B$6)/(1+SQRT(1-(D37^2/$B$6^2)))</f>
        <v>-15.026954590534128</v>
      </c>
      <c r="G37" s="3">
        <f>B$8*D37^4</f>
        <v>-6.6159679852337296</v>
      </c>
      <c r="H37" s="3">
        <f t="shared" si="2"/>
        <v>11.50815010156408</v>
      </c>
      <c r="I37" s="3">
        <f t="shared" si="3"/>
        <v>-8.9842259247748082</v>
      </c>
      <c r="J37" s="3">
        <f t="shared" si="4"/>
        <v>2.4228474757852489</v>
      </c>
      <c r="K37">
        <f t="shared" si="23"/>
        <v>-16.696150923193336</v>
      </c>
      <c r="M37">
        <f t="shared" si="5"/>
        <v>-1.6691963326592081</v>
      </c>
    </row>
    <row r="38" spans="1:13" x14ac:dyDescent="0.25">
      <c r="A38" t="s">
        <v>66</v>
      </c>
      <c r="B38">
        <v>396.5</v>
      </c>
      <c r="C38">
        <v>0</v>
      </c>
      <c r="D38">
        <f>SQRT(B38^2+C38^2)</f>
        <v>396.5</v>
      </c>
      <c r="F38">
        <f>((D38^2)/$B$6)/(1+SQRT(1-(D38^2/$B$6^2)))</f>
        <v>-15.815860562731119</v>
      </c>
      <c r="G38" s="3">
        <f>B$8*D38^4</f>
        <v>-7.3277082307625294</v>
      </c>
      <c r="H38" s="3">
        <f t="shared" si="2"/>
        <v>13.414289603976481</v>
      </c>
      <c r="I38" s="3">
        <f t="shared" si="3"/>
        <v>-11.021233705530463</v>
      </c>
      <c r="J38" s="3">
        <f t="shared" si="4"/>
        <v>3.1279730966398587</v>
      </c>
      <c r="K38">
        <f t="shared" si="23"/>
        <v>-17.622539798407772</v>
      </c>
      <c r="M38">
        <f t="shared" si="5"/>
        <v>-1.8066792356766523</v>
      </c>
    </row>
    <row r="39" spans="1:13" x14ac:dyDescent="0.25">
      <c r="B39">
        <v>406.5</v>
      </c>
      <c r="C39">
        <v>0</v>
      </c>
      <c r="D39">
        <f>SQRT(B39^2+C39^2)</f>
        <v>406.5</v>
      </c>
      <c r="F39">
        <f>((D39^2)/$B$6)/(1+SQRT(1-(D39^2/$B$6^2)))</f>
        <v>-16.625047680930781</v>
      </c>
      <c r="G39" s="3">
        <f>B$8*D39^4</f>
        <v>-8.0953867513473305</v>
      </c>
      <c r="H39" s="3">
        <f t="shared" ref="H39" si="24">B$9*D39^6</f>
        <v>15.576569882263525</v>
      </c>
      <c r="I39" s="3">
        <f t="shared" ref="I39" si="25">B$10*D39^8</f>
        <v>-13.451449264660845</v>
      </c>
      <c r="J39" s="3">
        <f t="shared" ref="J39" si="26">B$11*D39^10</f>
        <v>4.0126990750989693</v>
      </c>
      <c r="K39">
        <f t="shared" ref="K39" si="27">SUM(E39:J39)</f>
        <v>-18.58261473957646</v>
      </c>
      <c r="M39">
        <f t="shared" ref="M39" si="28">K39-F39</f>
        <v>-1.9575670586456795</v>
      </c>
    </row>
    <row r="40" spans="1:13" x14ac:dyDescent="0.25">
      <c r="A40" t="s">
        <v>67</v>
      </c>
      <c r="B40">
        <f>ATAN((K38-K37)/10)*(180/PI())</f>
        <v>-5.2927111505906685</v>
      </c>
      <c r="G40" s="3"/>
      <c r="H40" s="3"/>
      <c r="I40" s="3"/>
      <c r="J40" s="3"/>
    </row>
    <row r="41" spans="1:13" x14ac:dyDescent="0.25">
      <c r="A41" t="s">
        <v>68</v>
      </c>
      <c r="B41">
        <f>ATAN((K39-K38)/10)*(180/PI())</f>
        <v>-5.4840159043874523</v>
      </c>
      <c r="G41" s="3"/>
      <c r="H41" s="3"/>
      <c r="I41" s="3"/>
      <c r="J41" s="3"/>
    </row>
    <row r="42" spans="1:13" x14ac:dyDescent="0.25">
      <c r="A42" t="s">
        <v>65</v>
      </c>
      <c r="B42" s="8">
        <f>(B40+B41)/2</f>
        <v>-5.3883635274890604</v>
      </c>
      <c r="C42" t="s">
        <v>69</v>
      </c>
      <c r="G42" s="3"/>
      <c r="H42" s="3"/>
      <c r="I42" s="3"/>
      <c r="J42" s="3"/>
    </row>
    <row r="44" spans="1:13" x14ac:dyDescent="0.25">
      <c r="A44" t="s">
        <v>28</v>
      </c>
      <c r="B44">
        <v>396.47</v>
      </c>
      <c r="C44">
        <v>0</v>
      </c>
      <c r="D44">
        <f>SQRT(B44^2+C44^2)</f>
        <v>396.47</v>
      </c>
      <c r="F44">
        <f>((D44^2)/$B$6)/(1+SQRT(1-(D44^2/$B$6^2)))</f>
        <v>-15.813463519259278</v>
      </c>
      <c r="G44" s="3">
        <f>B$8*D44^4</f>
        <v>-7.3254907649480616</v>
      </c>
      <c r="H44" s="3">
        <f t="shared" ref="H44" si="29">B$9*D44^6</f>
        <v>13.408201040430111</v>
      </c>
      <c r="I44" s="3">
        <f t="shared" ref="I44" si="30">B$10*D44^8</f>
        <v>-11.014564359430835</v>
      </c>
      <c r="J44" s="3">
        <f t="shared" ref="J44" si="31">B$11*D44^10</f>
        <v>3.1256072139399347</v>
      </c>
      <c r="K44">
        <f t="shared" ref="K44" si="32">SUM(E44:J44)</f>
        <v>-17.619710389268128</v>
      </c>
      <c r="M44">
        <f t="shared" ref="M44" si="33">K44-F44</f>
        <v>-1.8062468700088505</v>
      </c>
    </row>
    <row r="45" spans="1:13" x14ac:dyDescent="0.25">
      <c r="A45" t="s">
        <v>29</v>
      </c>
      <c r="B45" s="3">
        <f>$B$44-$B$16</f>
        <v>382.64600000000002</v>
      </c>
      <c r="C45" s="3">
        <f>$B$17</f>
        <v>9.2159999999999993</v>
      </c>
      <c r="D45">
        <f t="shared" ref="D45:D48" si="34">SQRT(B45^2+C45^2)</f>
        <v>382.75696724161662</v>
      </c>
      <c r="F45">
        <f t="shared" ref="F45:F48" si="35">((D45^2)/$B$6)/(1+SQRT(1-(D45^2/$B$6^2)))</f>
        <v>-14.736878898074977</v>
      </c>
      <c r="G45" s="3">
        <f t="shared" ref="G45:G48" si="36">B$8*D45^4</f>
        <v>-6.3633794516355904</v>
      </c>
      <c r="H45" s="3">
        <f t="shared" ref="H45:H48" si="37">B$9*D45^6</f>
        <v>10.855433147652485</v>
      </c>
      <c r="I45" s="3">
        <f t="shared" ref="I45:I48" si="38">B$10*D45^8</f>
        <v>-8.3113106848826472</v>
      </c>
      <c r="J45" s="3">
        <f t="shared" ref="J45:J48" si="39">B$11*D45^10</f>
        <v>2.1981743741495734</v>
      </c>
      <c r="K45">
        <f t="shared" ref="K45:K48" si="40">SUM(E45:J45)</f>
        <v>-16.357961512791157</v>
      </c>
      <c r="M45">
        <f t="shared" ref="M45:M48" si="41">K45-F45</f>
        <v>-1.6210826147161796</v>
      </c>
    </row>
    <row r="46" spans="1:13" x14ac:dyDescent="0.25">
      <c r="A46" t="s">
        <v>29</v>
      </c>
      <c r="B46" s="3">
        <f>$B$44-$B$16</f>
        <v>382.64600000000002</v>
      </c>
      <c r="C46" s="3">
        <f>-$B$17</f>
        <v>-9.2159999999999993</v>
      </c>
      <c r="D46">
        <f t="shared" si="34"/>
        <v>382.75696724161662</v>
      </c>
      <c r="F46">
        <f t="shared" si="35"/>
        <v>-14.736878898074977</v>
      </c>
      <c r="G46" s="3">
        <f t="shared" si="36"/>
        <v>-6.3633794516355904</v>
      </c>
      <c r="H46" s="3">
        <f t="shared" si="37"/>
        <v>10.855433147652485</v>
      </c>
      <c r="I46" s="3">
        <f t="shared" si="38"/>
        <v>-8.3113106848826472</v>
      </c>
      <c r="J46" s="3">
        <f t="shared" si="39"/>
        <v>2.1981743741495734</v>
      </c>
      <c r="K46">
        <f t="shared" si="40"/>
        <v>-16.357961512791157</v>
      </c>
      <c r="M46">
        <f t="shared" si="41"/>
        <v>-1.6210826147161796</v>
      </c>
    </row>
    <row r="47" spans="1:13" x14ac:dyDescent="0.25">
      <c r="A47" t="s">
        <v>30</v>
      </c>
      <c r="B47" s="3">
        <f>$B$44+$B$16</f>
        <v>410.29400000000004</v>
      </c>
      <c r="C47" s="3">
        <f>$B$17</f>
        <v>9.2159999999999993</v>
      </c>
      <c r="D47">
        <f t="shared" si="34"/>
        <v>410.39749157615478</v>
      </c>
      <c r="F47">
        <f t="shared" si="35"/>
        <v>-16.945922488896091</v>
      </c>
      <c r="G47" s="3">
        <f t="shared" si="36"/>
        <v>-8.410352381333519</v>
      </c>
      <c r="H47" s="3">
        <f t="shared" si="37"/>
        <v>16.494407281946177</v>
      </c>
      <c r="I47" s="3">
        <f t="shared" si="38"/>
        <v>-14.518517068487645</v>
      </c>
      <c r="J47" s="3">
        <f t="shared" si="39"/>
        <v>4.4144649077743985</v>
      </c>
      <c r="K47">
        <f t="shared" si="40"/>
        <v>-18.965919748996679</v>
      </c>
      <c r="M47">
        <f t="shared" si="41"/>
        <v>-2.0199972601005882</v>
      </c>
    </row>
    <row r="48" spans="1:13" x14ac:dyDescent="0.25">
      <c r="A48" t="s">
        <v>30</v>
      </c>
      <c r="B48" s="3">
        <f>$B$44+$B$16</f>
        <v>410.29400000000004</v>
      </c>
      <c r="C48" s="3">
        <f>-$B$17</f>
        <v>-9.2159999999999993</v>
      </c>
      <c r="D48">
        <f t="shared" si="34"/>
        <v>410.39749157615478</v>
      </c>
      <c r="F48">
        <f t="shared" si="35"/>
        <v>-16.945922488896091</v>
      </c>
      <c r="G48" s="3">
        <f t="shared" si="36"/>
        <v>-8.410352381333519</v>
      </c>
      <c r="H48" s="3">
        <f t="shared" si="37"/>
        <v>16.494407281946177</v>
      </c>
      <c r="I48" s="3">
        <f t="shared" si="38"/>
        <v>-14.518517068487645</v>
      </c>
      <c r="J48" s="3">
        <f t="shared" si="39"/>
        <v>4.4144649077743985</v>
      </c>
      <c r="K48">
        <f t="shared" si="40"/>
        <v>-18.965919748996679</v>
      </c>
      <c r="M48">
        <f t="shared" si="41"/>
        <v>-2.0199972601005882</v>
      </c>
    </row>
    <row r="50" spans="1:13" x14ac:dyDescent="0.25">
      <c r="A50" t="s">
        <v>25</v>
      </c>
      <c r="B50">
        <v>0</v>
      </c>
      <c r="C50">
        <f>B44</f>
        <v>396.47</v>
      </c>
      <c r="D50">
        <f t="shared" ref="D50:D54" si="42">SQRT(B50^2+C50^2)</f>
        <v>396.47</v>
      </c>
      <c r="F50">
        <f t="shared" ref="F50:F54" si="43">((D50^2)/$B$6)/(1+SQRT(1-(D50^2/$B$6^2)))</f>
        <v>-15.813463519259278</v>
      </c>
      <c r="G50" s="3">
        <f t="shared" ref="G50:G54" si="44">B$8*D50^4</f>
        <v>-7.3254907649480616</v>
      </c>
      <c r="H50" s="3">
        <f t="shared" ref="H50:H54" si="45">B$9*D50^6</f>
        <v>13.408201040430111</v>
      </c>
      <c r="I50" s="3">
        <f t="shared" ref="I50:I54" si="46">B$10*D50^8</f>
        <v>-11.014564359430835</v>
      </c>
      <c r="J50" s="3">
        <f t="shared" ref="J50:J54" si="47">B$11*D50^10</f>
        <v>3.1256072139399347</v>
      </c>
      <c r="K50">
        <f t="shared" ref="K50:K54" si="48">SUM(E50:J50)</f>
        <v>-17.619710389268128</v>
      </c>
      <c r="M50">
        <f t="shared" ref="M50:M54" si="49">K50-F50</f>
        <v>-1.8062468700088505</v>
      </c>
    </row>
    <row r="51" spans="1:13" x14ac:dyDescent="0.25">
      <c r="A51" t="s">
        <v>26</v>
      </c>
      <c r="B51" s="3">
        <f>$B$16</f>
        <v>13.823999999999998</v>
      </c>
      <c r="C51" s="3">
        <f>$B$44-$B$17</f>
        <v>387.25400000000002</v>
      </c>
      <c r="D51">
        <f t="shared" si="42"/>
        <v>387.50066256975612</v>
      </c>
      <c r="F51">
        <f t="shared" si="43"/>
        <v>-15.10498454699235</v>
      </c>
      <c r="G51" s="3">
        <f t="shared" si="44"/>
        <v>-6.6847504579669055</v>
      </c>
      <c r="H51" s="3">
        <f t="shared" si="45"/>
        <v>11.688081326831524</v>
      </c>
      <c r="I51" s="3">
        <f t="shared" si="46"/>
        <v>-9.1720048112548493</v>
      </c>
      <c r="J51" s="3">
        <f t="shared" si="47"/>
        <v>2.4863117750953712</v>
      </c>
      <c r="K51">
        <f t="shared" si="48"/>
        <v>-16.78734671428721</v>
      </c>
      <c r="M51">
        <f t="shared" si="49"/>
        <v>-1.6823621672948601</v>
      </c>
    </row>
    <row r="52" spans="1:13" x14ac:dyDescent="0.25">
      <c r="A52" t="s">
        <v>26</v>
      </c>
      <c r="B52" s="3">
        <f>-$B$16</f>
        <v>-13.823999999999998</v>
      </c>
      <c r="C52" s="3">
        <f>$B$44-$B$17</f>
        <v>387.25400000000002</v>
      </c>
      <c r="D52">
        <f t="shared" si="42"/>
        <v>387.50066256975612</v>
      </c>
      <c r="F52">
        <f t="shared" si="43"/>
        <v>-15.10498454699235</v>
      </c>
      <c r="G52" s="3">
        <f t="shared" si="44"/>
        <v>-6.6847504579669055</v>
      </c>
      <c r="H52" s="3">
        <f t="shared" si="45"/>
        <v>11.688081326831524</v>
      </c>
      <c r="I52" s="3">
        <f t="shared" si="46"/>
        <v>-9.1720048112548493</v>
      </c>
      <c r="J52" s="3">
        <f t="shared" si="47"/>
        <v>2.4863117750953712</v>
      </c>
      <c r="K52">
        <f t="shared" si="48"/>
        <v>-16.78734671428721</v>
      </c>
      <c r="M52">
        <f t="shared" si="49"/>
        <v>-1.6823621672948601</v>
      </c>
    </row>
    <row r="53" spans="1:13" x14ac:dyDescent="0.25">
      <c r="A53" t="s">
        <v>26</v>
      </c>
      <c r="B53" s="3">
        <f>$B$16</f>
        <v>13.823999999999998</v>
      </c>
      <c r="C53" s="3">
        <f>$B$44+$B$17</f>
        <v>405.68600000000004</v>
      </c>
      <c r="D53">
        <f t="shared" si="42"/>
        <v>405.92146231999118</v>
      </c>
      <c r="F53">
        <f t="shared" si="43"/>
        <v>-16.57768025393802</v>
      </c>
      <c r="G53" s="3">
        <f t="shared" si="44"/>
        <v>-8.0493990777655231</v>
      </c>
      <c r="H53" s="3">
        <f t="shared" si="45"/>
        <v>15.444029223782332</v>
      </c>
      <c r="I53" s="3">
        <f t="shared" si="46"/>
        <v>-13.299055357869443</v>
      </c>
      <c r="J53" s="3">
        <f t="shared" si="47"/>
        <v>3.9559540339017243</v>
      </c>
      <c r="K53">
        <f t="shared" si="48"/>
        <v>-18.526151431888927</v>
      </c>
      <c r="M53">
        <f t="shared" si="49"/>
        <v>-1.948471177950907</v>
      </c>
    </row>
    <row r="54" spans="1:13" x14ac:dyDescent="0.25">
      <c r="A54" t="s">
        <v>27</v>
      </c>
      <c r="B54" s="3">
        <f>-$B$16</f>
        <v>-13.823999999999998</v>
      </c>
      <c r="C54" s="3">
        <f>$B$44+$B$17</f>
        <v>405.68600000000004</v>
      </c>
      <c r="D54">
        <f t="shared" si="42"/>
        <v>405.92146231999118</v>
      </c>
      <c r="F54">
        <f t="shared" si="43"/>
        <v>-16.57768025393802</v>
      </c>
      <c r="G54" s="3">
        <f t="shared" si="44"/>
        <v>-8.0493990777655231</v>
      </c>
      <c r="H54" s="3">
        <f t="shared" si="45"/>
        <v>15.444029223782332</v>
      </c>
      <c r="I54" s="3">
        <f t="shared" si="46"/>
        <v>-13.299055357869443</v>
      </c>
      <c r="J54" s="3">
        <f t="shared" si="47"/>
        <v>3.9559540339017243</v>
      </c>
      <c r="K54">
        <f t="shared" si="48"/>
        <v>-18.526151431888927</v>
      </c>
      <c r="M54">
        <f t="shared" si="49"/>
        <v>-1.948471177950907</v>
      </c>
    </row>
    <row r="56" spans="1:13" x14ac:dyDescent="0.25">
      <c r="A56" t="s">
        <v>31</v>
      </c>
    </row>
    <row r="57" spans="1:13" x14ac:dyDescent="0.25">
      <c r="A57" t="s">
        <v>32</v>
      </c>
    </row>
    <row r="60" spans="1:13" x14ac:dyDescent="0.25">
      <c r="A60" t="s">
        <v>105</v>
      </c>
    </row>
    <row r="61" spans="1:13" x14ac:dyDescent="0.25">
      <c r="B61" t="s">
        <v>100</v>
      </c>
      <c r="C61" t="s">
        <v>101</v>
      </c>
      <c r="D61" t="s">
        <v>102</v>
      </c>
      <c r="E61" t="s">
        <v>106</v>
      </c>
    </row>
    <row r="62" spans="1:13" x14ac:dyDescent="0.25">
      <c r="A62" t="s">
        <v>70</v>
      </c>
      <c r="B62" s="9">
        <v>199.28</v>
      </c>
      <c r="C62" s="10">
        <v>-345.15</v>
      </c>
      <c r="D62" s="10">
        <f>(POWER(E62, 2)/$B$6)/(1+SQRT(1-(POWER(E62, 2)/POWER($B$6, 2))))+($B$8*POWER(E62, 4))+($B$9*POWER(E62, 6))+($B$10*POWER(E62, 8))+($B$11*POWER(E62, 10))</f>
        <v>-17.816476127410329</v>
      </c>
      <c r="E62" s="10">
        <f>SQRT(POWER(B62, 2) + POWER(C62, 2))</f>
        <v>398.54866816989863</v>
      </c>
    </row>
    <row r="63" spans="1:13" x14ac:dyDescent="0.25">
      <c r="A63" t="s">
        <v>71</v>
      </c>
      <c r="B63" s="9">
        <v>-108.31</v>
      </c>
      <c r="C63" s="10">
        <v>-383.55</v>
      </c>
      <c r="D63" s="10">
        <f t="shared" ref="D63:D83" si="50">(POWER(E63, 2)/$B$6)/(1+SQRT(1-(POWER(E63, 2)/POWER($B$6, 2))))+($B$8*POWER(E63, 4))+($B$9*POWER(E63, 6))+($B$10*POWER(E63, 8))+($B$11*POWER(E63, 10))</f>
        <v>-17.816549754658194</v>
      </c>
      <c r="E63" s="10">
        <f t="shared" ref="E63:E83" si="51">SQRT(POWER(B63, 2) + POWER(C63, 2))</f>
        <v>398.54944310587109</v>
      </c>
    </row>
    <row r="64" spans="1:13" x14ac:dyDescent="0.25">
      <c r="A64" t="s">
        <v>72</v>
      </c>
      <c r="B64" s="9">
        <v>-383.55</v>
      </c>
      <c r="C64" s="10">
        <v>108.31</v>
      </c>
      <c r="D64" s="10">
        <f t="shared" si="50"/>
        <v>-17.816549754658194</v>
      </c>
      <c r="E64" s="10">
        <f t="shared" si="51"/>
        <v>398.54944310587109</v>
      </c>
    </row>
    <row r="65" spans="1:5" x14ac:dyDescent="0.25">
      <c r="A65" t="s">
        <v>73</v>
      </c>
      <c r="B65" s="9">
        <v>108.31</v>
      </c>
      <c r="C65" s="10">
        <v>383.55</v>
      </c>
      <c r="D65" s="10">
        <f t="shared" si="50"/>
        <v>-17.816549754658194</v>
      </c>
      <c r="E65" s="10">
        <f t="shared" si="51"/>
        <v>398.54944310587109</v>
      </c>
    </row>
    <row r="66" spans="1:5" x14ac:dyDescent="0.25">
      <c r="A66" t="s">
        <v>74</v>
      </c>
      <c r="B66" s="9">
        <v>383.55</v>
      </c>
      <c r="C66" s="10">
        <v>-108.31</v>
      </c>
      <c r="D66" s="10">
        <f t="shared" si="50"/>
        <v>-17.816549754658194</v>
      </c>
      <c r="E66" s="10">
        <f t="shared" si="51"/>
        <v>398.54944310587109</v>
      </c>
    </row>
    <row r="67" spans="1:5" x14ac:dyDescent="0.25">
      <c r="A67" t="s">
        <v>75</v>
      </c>
      <c r="B67" s="9">
        <v>108.31</v>
      </c>
      <c r="C67" s="10">
        <v>15</v>
      </c>
      <c r="D67" s="10">
        <f t="shared" si="50"/>
        <v>-1.2378782668752568</v>
      </c>
      <c r="E67" s="10">
        <f t="shared" si="51"/>
        <v>109.34375199342668</v>
      </c>
    </row>
    <row r="68" spans="1:5" x14ac:dyDescent="0.25">
      <c r="A68" t="s">
        <v>76</v>
      </c>
      <c r="B68" s="9">
        <v>281.82</v>
      </c>
      <c r="C68" s="10">
        <v>-281.82</v>
      </c>
      <c r="D68" s="10">
        <f t="shared" si="50"/>
        <v>-17.816950992622541</v>
      </c>
      <c r="E68" s="10">
        <f t="shared" si="51"/>
        <v>398.55366614798561</v>
      </c>
    </row>
    <row r="69" spans="1:5" x14ac:dyDescent="0.25">
      <c r="A69" t="s">
        <v>77</v>
      </c>
      <c r="B69" s="9">
        <v>-281.82</v>
      </c>
      <c r="C69" s="10">
        <v>-281.82</v>
      </c>
      <c r="D69" s="10">
        <f t="shared" si="50"/>
        <v>-17.816950992622541</v>
      </c>
      <c r="E69" s="10">
        <f t="shared" si="51"/>
        <v>398.55366614798561</v>
      </c>
    </row>
    <row r="70" spans="1:5" x14ac:dyDescent="0.25">
      <c r="A70" t="s">
        <v>78</v>
      </c>
      <c r="B70" s="9">
        <v>-281.82</v>
      </c>
      <c r="C70" s="10">
        <v>281.82</v>
      </c>
      <c r="D70" s="10">
        <f t="shared" si="50"/>
        <v>-17.816950992622541</v>
      </c>
      <c r="E70" s="10">
        <f t="shared" si="51"/>
        <v>398.55366614798561</v>
      </c>
    </row>
    <row r="71" spans="1:5" x14ac:dyDescent="0.25">
      <c r="A71" t="s">
        <v>79</v>
      </c>
      <c r="B71" s="9">
        <v>281.82</v>
      </c>
      <c r="C71" s="10">
        <v>281.82</v>
      </c>
      <c r="D71" s="10">
        <f t="shared" si="50"/>
        <v>-17.816950992622541</v>
      </c>
      <c r="E71" s="10">
        <f t="shared" si="51"/>
        <v>398.55366614798561</v>
      </c>
    </row>
    <row r="72" spans="1:5" x14ac:dyDescent="0.25">
      <c r="A72" t="s">
        <v>80</v>
      </c>
      <c r="B72" s="9">
        <v>293.64</v>
      </c>
      <c r="C72" s="10">
        <v>136.93</v>
      </c>
      <c r="D72" s="10">
        <f t="shared" si="50"/>
        <v>-11.604269319115161</v>
      </c>
      <c r="E72" s="10">
        <f t="shared" si="51"/>
        <v>323.99733718041574</v>
      </c>
    </row>
    <row r="73" spans="1:5" x14ac:dyDescent="0.25">
      <c r="A73" t="s">
        <v>81</v>
      </c>
      <c r="B73" s="9">
        <v>-293.64</v>
      </c>
      <c r="C73" s="10">
        <v>136.93</v>
      </c>
      <c r="D73" s="10">
        <f t="shared" si="50"/>
        <v>-11.604269319115161</v>
      </c>
      <c r="E73" s="10">
        <f t="shared" si="51"/>
        <v>323.99733718041574</v>
      </c>
    </row>
    <row r="74" spans="1:5" x14ac:dyDescent="0.25">
      <c r="A74" t="s">
        <v>82</v>
      </c>
      <c r="B74" s="9">
        <v>-293.64</v>
      </c>
      <c r="C74" s="10">
        <v>-136.93</v>
      </c>
      <c r="D74" s="10">
        <f t="shared" si="50"/>
        <v>-11.604269319115161</v>
      </c>
      <c r="E74" s="10">
        <f t="shared" si="51"/>
        <v>323.99733718041574</v>
      </c>
    </row>
    <row r="75" spans="1:5" x14ac:dyDescent="0.25">
      <c r="A75" t="s">
        <v>83</v>
      </c>
      <c r="B75" s="9">
        <v>-136.93</v>
      </c>
      <c r="C75" s="10">
        <v>293.64</v>
      </c>
      <c r="D75" s="10">
        <f t="shared" si="50"/>
        <v>-11.604269319115161</v>
      </c>
      <c r="E75" s="10">
        <f t="shared" si="51"/>
        <v>323.99733718041574</v>
      </c>
    </row>
    <row r="76" spans="1:5" x14ac:dyDescent="0.25">
      <c r="A76" t="s">
        <v>84</v>
      </c>
      <c r="B76" s="9">
        <v>96.44</v>
      </c>
      <c r="C76" s="10">
        <v>232.82</v>
      </c>
      <c r="D76" s="10">
        <f t="shared" si="50"/>
        <v>-6.9540668306839004</v>
      </c>
      <c r="E76" s="10">
        <f t="shared" si="51"/>
        <v>252.00362298982927</v>
      </c>
    </row>
    <row r="77" spans="1:5" x14ac:dyDescent="0.25">
      <c r="A77" t="s">
        <v>85</v>
      </c>
      <c r="B77" s="9">
        <v>232.82</v>
      </c>
      <c r="C77" s="10">
        <v>-96.44</v>
      </c>
      <c r="D77" s="10">
        <f t="shared" si="50"/>
        <v>-6.9540668306839004</v>
      </c>
      <c r="E77" s="10">
        <f t="shared" si="51"/>
        <v>252.00362298982927</v>
      </c>
    </row>
    <row r="78" spans="1:5" x14ac:dyDescent="0.25">
      <c r="A78" t="s">
        <v>86</v>
      </c>
      <c r="B78" s="9">
        <v>-96.44</v>
      </c>
      <c r="C78" s="10">
        <v>-232.82</v>
      </c>
      <c r="D78" s="10">
        <f t="shared" si="50"/>
        <v>-6.9540668306839004</v>
      </c>
      <c r="E78" s="10">
        <f t="shared" si="51"/>
        <v>252.00362298982927</v>
      </c>
    </row>
    <row r="79" spans="1:5" x14ac:dyDescent="0.25">
      <c r="A79" t="s">
        <v>87</v>
      </c>
      <c r="B79" s="9">
        <v>-232.82</v>
      </c>
      <c r="C79" s="10">
        <v>96.44</v>
      </c>
      <c r="D79" s="10">
        <f t="shared" si="50"/>
        <v>-6.9540668306839004</v>
      </c>
      <c r="E79" s="10">
        <f t="shared" si="51"/>
        <v>252.00362298982927</v>
      </c>
    </row>
    <row r="80" spans="1:5" x14ac:dyDescent="0.25">
      <c r="A80" t="s">
        <v>88</v>
      </c>
      <c r="B80" s="9">
        <v>0</v>
      </c>
      <c r="C80" s="10">
        <v>185</v>
      </c>
      <c r="D80" s="10">
        <f t="shared" si="50"/>
        <v>-3.6709266250751531</v>
      </c>
      <c r="E80" s="10">
        <f t="shared" si="51"/>
        <v>185</v>
      </c>
    </row>
    <row r="81" spans="1:17" x14ac:dyDescent="0.25">
      <c r="A81" t="s">
        <v>89</v>
      </c>
      <c r="B81" s="9">
        <v>185</v>
      </c>
      <c r="C81" s="10">
        <v>0</v>
      </c>
      <c r="D81" s="10">
        <f t="shared" si="50"/>
        <v>-3.6709266250751531</v>
      </c>
      <c r="E81" s="10">
        <f t="shared" si="51"/>
        <v>185</v>
      </c>
    </row>
    <row r="82" spans="1:17" x14ac:dyDescent="0.25">
      <c r="A82" t="s">
        <v>90</v>
      </c>
      <c r="B82" s="9">
        <v>0</v>
      </c>
      <c r="C82" s="10">
        <v>-185</v>
      </c>
      <c r="D82" s="10">
        <f t="shared" si="50"/>
        <v>-3.6709266250751531</v>
      </c>
      <c r="E82" s="10">
        <f t="shared" si="51"/>
        <v>185</v>
      </c>
    </row>
    <row r="83" spans="1:17" x14ac:dyDescent="0.25">
      <c r="A83" t="s">
        <v>91</v>
      </c>
      <c r="B83" s="9">
        <v>-185</v>
      </c>
      <c r="C83" s="10">
        <v>0</v>
      </c>
      <c r="D83" s="10">
        <f t="shared" si="50"/>
        <v>-3.6709266250751531</v>
      </c>
      <c r="E83" s="10">
        <f t="shared" si="51"/>
        <v>185</v>
      </c>
    </row>
    <row r="85" spans="1:17" x14ac:dyDescent="0.25">
      <c r="A85" t="s">
        <v>104</v>
      </c>
    </row>
    <row r="86" spans="1:17" x14ac:dyDescent="0.25">
      <c r="A86" t="s">
        <v>98</v>
      </c>
    </row>
    <row r="88" spans="1:17" x14ac:dyDescent="0.25">
      <c r="A88" t="s">
        <v>108</v>
      </c>
      <c r="B88">
        <v>8</v>
      </c>
    </row>
    <row r="90" spans="1:17" x14ac:dyDescent="0.25">
      <c r="B90" t="s">
        <v>107</v>
      </c>
      <c r="F90" t="s">
        <v>103</v>
      </c>
      <c r="J90" t="s">
        <v>92</v>
      </c>
      <c r="N90" t="s">
        <v>93</v>
      </c>
    </row>
    <row r="91" spans="1:17" x14ac:dyDescent="0.25">
      <c r="B91" t="s">
        <v>100</v>
      </c>
      <c r="C91" t="s">
        <v>101</v>
      </c>
      <c r="D91" t="s">
        <v>102</v>
      </c>
      <c r="E91" t="s">
        <v>106</v>
      </c>
      <c r="F91" t="s">
        <v>100</v>
      </c>
      <c r="G91" t="s">
        <v>101</v>
      </c>
      <c r="H91" t="s">
        <v>102</v>
      </c>
      <c r="I91" t="s">
        <v>106</v>
      </c>
      <c r="J91" t="s">
        <v>100</v>
      </c>
      <c r="K91" t="s">
        <v>101</v>
      </c>
      <c r="L91" t="s">
        <v>102</v>
      </c>
      <c r="M91" t="s">
        <v>106</v>
      </c>
      <c r="N91" t="s">
        <v>100</v>
      </c>
      <c r="O91" t="s">
        <v>101</v>
      </c>
      <c r="P91" t="s">
        <v>102</v>
      </c>
      <c r="Q91" t="s">
        <v>106</v>
      </c>
    </row>
    <row r="92" spans="1:17" x14ac:dyDescent="0.25">
      <c r="A92" t="s">
        <v>94</v>
      </c>
      <c r="B92" s="10">
        <v>0</v>
      </c>
      <c r="C92" s="10">
        <v>-396.48</v>
      </c>
      <c r="D92" s="10">
        <f>(POWER(E92, 2)/$B$6)/(1+SQRT(1-(POWER(E92, 2)/POWER($B$6, 2))))+($B$8*POWER(E92, 4))+($B$9*POWER(E92, 6))+($B$10*POWER(E92, 8))+($B$11*POWER(E92, 10))</f>
        <v>-17.620653491898103</v>
      </c>
      <c r="E92" s="10">
        <f>SQRT(POWER(B92, 2) + POWER(C92, 2))</f>
        <v>396.48</v>
      </c>
      <c r="F92" s="9">
        <v>0</v>
      </c>
      <c r="G92" s="10">
        <f>C92+B88</f>
        <v>-388.48</v>
      </c>
      <c r="H92" s="10">
        <f>(POWER(I92, 2)/$B$6)/(1+SQRT(1-(POWER(I92, 2)/POWER($B$6, 2))))+($B$8*POWER(I92, 4))+($B$9*POWER(I92, 6))+($B$10*POWER(I92, 8))+($B$11*POWER(I92, 10))</f>
        <v>-16.876921083841374</v>
      </c>
      <c r="I92" s="10">
        <f>SQRT(POWER(F92,2)+POWER(G92,2))</f>
        <v>388.48</v>
      </c>
      <c r="J92" s="9">
        <f>(-B88*SQRT(3))/2</f>
        <v>-6.9282032302755088</v>
      </c>
      <c r="K92" s="10">
        <f>C92-(B88*SIN(30*PI()/180))</f>
        <v>-400.48</v>
      </c>
      <c r="L92" s="10">
        <f>(POWER(M92, 2)/$B$6)/(1+SQRT(1-(POWER(M92, 2)/POWER($B$6, 2))))+($B$8*POWER(M92, 4))+($B$9*POWER(M92, 6))+($B$10*POWER(M92, 8))+($B$11*POWER(M92, 10))</f>
        <v>-18.006336587589502</v>
      </c>
      <c r="M92" s="10">
        <f>SQRT(POWER(J92,2)+POWER(K92,2))</f>
        <v>400.5399236031285</v>
      </c>
      <c r="N92" s="9">
        <f>(B88*SQRT(3))/2</f>
        <v>6.9282032302755088</v>
      </c>
      <c r="O92" s="10">
        <f>C92-(B88*SIN(30*PI()/180))</f>
        <v>-400.48</v>
      </c>
      <c r="P92" s="10">
        <f>(POWER(Q92, 2)/$B$6)/(1+SQRT(1-(POWER(Q92, 2)/POWER($B$6, 2))))+($B$8*POWER(Q92, 4))+($B$9*POWER(Q92, 6))+($B$10*POWER(Q92, 8))+($B$11*POWER(Q92, 10))</f>
        <v>-18.006336587589502</v>
      </c>
      <c r="Q92" s="10">
        <f>SQRT(POWER(N92,2)+POWER(O92,2))</f>
        <v>400.5399236031285</v>
      </c>
    </row>
    <row r="93" spans="1:17" x14ac:dyDescent="0.25">
      <c r="A93" t="s">
        <v>95</v>
      </c>
      <c r="B93" s="10">
        <v>-396.48</v>
      </c>
      <c r="C93" s="10">
        <v>0</v>
      </c>
      <c r="D93" s="10">
        <f t="shared" ref="D93:D96" si="52">(POWER(E93, 2)/$B$6)/(1+SQRT(1-(POWER(E93, 2)/POWER($B$6, 2))))+($B$8*POWER(E93, 4))+($B$9*POWER(E93, 6))+($B$10*POWER(E93, 8))+($B$11*POWER(E93, 10))</f>
        <v>-17.620653491898103</v>
      </c>
      <c r="E93" s="10">
        <f t="shared" ref="E93:E96" si="53">SQRT(POWER(B93, 2) + POWER(C93, 2))</f>
        <v>396.48</v>
      </c>
      <c r="F93" s="9">
        <f>B93+B88</f>
        <v>-388.48</v>
      </c>
      <c r="G93" s="10">
        <v>0</v>
      </c>
      <c r="H93" s="10">
        <f t="shared" ref="H93:H96" si="54">(POWER(I93, 2)/$B$6)/(1+SQRT(1-(POWER(I93, 2)/POWER($B$6, 2))))+($B$8*POWER(I93, 4))+($B$9*POWER(I93, 6))+($B$10*POWER(I93, 8))+($B$11*POWER(I93, 10))</f>
        <v>-16.876921083841374</v>
      </c>
      <c r="I93" s="10">
        <f t="shared" ref="I93:I96" si="55">SQRT(POWER(F93,2)+POWER(G93,2))</f>
        <v>388.48</v>
      </c>
      <c r="J93" s="9">
        <f>B93-(B88*SIN(30*PI()/180))</f>
        <v>-400.48</v>
      </c>
      <c r="K93" s="10">
        <f>(B88*SQRT(3))/2</f>
        <v>6.9282032302755088</v>
      </c>
      <c r="L93" s="10">
        <f t="shared" ref="L93:L96" si="56">(POWER(M93, 2)/$B$6)/(1+SQRT(1-(POWER(M93, 2)/POWER($B$6, 2))))+($B$8*POWER(M93, 4))+($B$9*POWER(M93, 6))+($B$10*POWER(M93, 8))+($B$11*POWER(M93, 10))</f>
        <v>-18.006336587589502</v>
      </c>
      <c r="M93" s="10">
        <f t="shared" ref="M93:M96" si="57">SQRT(POWER(J93,2)+POWER(K93,2))</f>
        <v>400.5399236031285</v>
      </c>
      <c r="N93" s="9">
        <f>B93-(B88*SIN(30*PI()/180))</f>
        <v>-400.48</v>
      </c>
      <c r="O93" s="10">
        <f>(-B88*SQRT(3))/2</f>
        <v>-6.9282032302755088</v>
      </c>
      <c r="P93" s="10">
        <f t="shared" ref="P93:P96" si="58">(POWER(Q93, 2)/$B$6)/(1+SQRT(1-(POWER(Q93, 2)/POWER($B$6, 2))))+($B$8*POWER(Q93, 4))+($B$9*POWER(Q93, 6))+($B$10*POWER(Q93, 8))+($B$11*POWER(Q93, 10))</f>
        <v>-18.006336587589502</v>
      </c>
      <c r="Q93" s="10">
        <f t="shared" ref="Q93:Q96" si="59">SQRT(POWER(N93,2)+POWER(O93,2))</f>
        <v>400.5399236031285</v>
      </c>
    </row>
    <row r="94" spans="1:17" x14ac:dyDescent="0.25">
      <c r="A94" t="s">
        <v>96</v>
      </c>
      <c r="B94" s="10">
        <v>0</v>
      </c>
      <c r="C94" s="10">
        <v>396.48</v>
      </c>
      <c r="D94" s="10">
        <f t="shared" si="52"/>
        <v>-17.620653491898103</v>
      </c>
      <c r="E94" s="10">
        <f t="shared" si="53"/>
        <v>396.48</v>
      </c>
      <c r="F94" s="10">
        <v>0</v>
      </c>
      <c r="G94" s="10">
        <f>C94-B88</f>
        <v>388.48</v>
      </c>
      <c r="H94" s="10">
        <f t="shared" si="54"/>
        <v>-16.876921083841374</v>
      </c>
      <c r="I94" s="10">
        <f t="shared" si="55"/>
        <v>388.48</v>
      </c>
      <c r="J94" s="10">
        <f>(B88*SQRT(3))/2</f>
        <v>6.9282032302755088</v>
      </c>
      <c r="K94" s="10">
        <f>C94+B88*SIN(30*PI()/180)</f>
        <v>400.48</v>
      </c>
      <c r="L94" s="10">
        <f t="shared" si="56"/>
        <v>-18.006336587589502</v>
      </c>
      <c r="M94" s="10">
        <f t="shared" si="57"/>
        <v>400.5399236031285</v>
      </c>
      <c r="N94" s="10">
        <f>(-B88*SQRT(3))/2</f>
        <v>-6.9282032302755088</v>
      </c>
      <c r="O94" s="10">
        <f>C94+(B88*SIN(30*PI()/180))</f>
        <v>400.48</v>
      </c>
      <c r="P94" s="10">
        <f t="shared" si="58"/>
        <v>-18.006336587589502</v>
      </c>
      <c r="Q94" s="10">
        <f t="shared" si="59"/>
        <v>400.5399236031285</v>
      </c>
    </row>
    <row r="95" spans="1:17" x14ac:dyDescent="0.25">
      <c r="A95" t="s">
        <v>97</v>
      </c>
      <c r="B95" s="10">
        <v>396.48</v>
      </c>
      <c r="C95" s="10">
        <v>0</v>
      </c>
      <c r="D95" s="10">
        <f t="shared" si="52"/>
        <v>-17.620653491898103</v>
      </c>
      <c r="E95" s="10">
        <f t="shared" si="53"/>
        <v>396.48</v>
      </c>
      <c r="F95" s="10">
        <f>B95-B88</f>
        <v>388.48</v>
      </c>
      <c r="G95" s="10">
        <v>0</v>
      </c>
      <c r="H95" s="10">
        <f t="shared" si="54"/>
        <v>-16.876921083841374</v>
      </c>
      <c r="I95" s="10">
        <f t="shared" si="55"/>
        <v>388.48</v>
      </c>
      <c r="J95" s="10">
        <f>B95+(B88*SIN(30*PI()/180))</f>
        <v>400.48</v>
      </c>
      <c r="K95" s="10">
        <f>(-B88*SQRT(3))/2</f>
        <v>-6.9282032302755088</v>
      </c>
      <c r="L95" s="10">
        <f t="shared" si="56"/>
        <v>-18.006336587589502</v>
      </c>
      <c r="M95" s="10">
        <f t="shared" si="57"/>
        <v>400.5399236031285</v>
      </c>
      <c r="N95" s="10">
        <f>B95+(B88*SIN(30*PI()/180))</f>
        <v>400.48</v>
      </c>
      <c r="O95" s="10">
        <f>(B88*SQRT(3))/2</f>
        <v>6.9282032302755088</v>
      </c>
      <c r="P95" s="10">
        <f t="shared" si="58"/>
        <v>-18.006336587589502</v>
      </c>
      <c r="Q95" s="10">
        <f t="shared" si="59"/>
        <v>400.5399236031285</v>
      </c>
    </row>
    <row r="96" spans="1:17" x14ac:dyDescent="0.25">
      <c r="A96" t="s">
        <v>99</v>
      </c>
      <c r="B96" s="10">
        <v>0</v>
      </c>
      <c r="C96" s="10">
        <v>0</v>
      </c>
      <c r="D96" s="10">
        <f t="shared" si="52"/>
        <v>0</v>
      </c>
      <c r="E96" s="10">
        <f t="shared" si="53"/>
        <v>0</v>
      </c>
      <c r="F96" s="10">
        <v>0</v>
      </c>
      <c r="G96" s="10">
        <f>C96-B88</f>
        <v>-8</v>
      </c>
      <c r="H96" s="10">
        <f t="shared" si="54"/>
        <v>-6.4295149929605383E-3</v>
      </c>
      <c r="I96" s="10">
        <f t="shared" si="55"/>
        <v>8</v>
      </c>
      <c r="J96" s="10">
        <f>(B88*SQRT(3))/2</f>
        <v>6.9282032302755088</v>
      </c>
      <c r="K96" s="9">
        <f>B88*SIN(30*PI()/180)</f>
        <v>3.9999999999999996</v>
      </c>
      <c r="L96" s="10">
        <f t="shared" si="56"/>
        <v>-6.4295149929605375E-3</v>
      </c>
      <c r="M96" s="10">
        <f t="shared" si="57"/>
        <v>7.9999999999999991</v>
      </c>
      <c r="N96" s="9">
        <f>(-B88*SQRT(3))/2</f>
        <v>-6.9282032302755088</v>
      </c>
      <c r="O96" s="10">
        <f>B88*SIN(30*PI()/180)</f>
        <v>3.9999999999999996</v>
      </c>
      <c r="P96" s="10">
        <f t="shared" si="58"/>
        <v>-6.4295149929605375E-3</v>
      </c>
      <c r="Q96" s="10">
        <f t="shared" si="59"/>
        <v>7.9999999999999991</v>
      </c>
    </row>
  </sheetData>
  <pageMargins left="0.7" right="0.7" top="0.7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21" sqref="A21"/>
    </sheetView>
  </sheetViews>
  <sheetFormatPr defaultRowHeight="15" x14ac:dyDescent="0.25"/>
  <cols>
    <col min="1" max="1" width="45.85546875" customWidth="1"/>
    <col min="2" max="2" width="11.140625" customWidth="1"/>
    <col min="3" max="3" width="9.7109375" customWidth="1"/>
  </cols>
  <sheetData>
    <row r="1" spans="1:3" ht="18.75" x14ac:dyDescent="0.3">
      <c r="A1" s="7" t="s">
        <v>53</v>
      </c>
    </row>
    <row r="5" spans="1:3" x14ac:dyDescent="0.25">
      <c r="A5" t="s">
        <v>49</v>
      </c>
    </row>
    <row r="7" spans="1:3" ht="15.75" x14ac:dyDescent="0.25">
      <c r="A7" s="6" t="s">
        <v>50</v>
      </c>
      <c r="B7" s="6" t="s">
        <v>61</v>
      </c>
      <c r="C7" s="6" t="s">
        <v>56</v>
      </c>
    </row>
    <row r="8" spans="1:3" x14ac:dyDescent="0.25">
      <c r="B8" t="s">
        <v>52</v>
      </c>
    </row>
    <row r="10" spans="1:3" x14ac:dyDescent="0.25">
      <c r="A10" s="4" t="s">
        <v>49</v>
      </c>
    </row>
    <row r="11" spans="1:3" x14ac:dyDescent="0.25">
      <c r="A11" s="2" t="s">
        <v>62</v>
      </c>
    </row>
    <row r="12" spans="1:3" x14ac:dyDescent="0.25">
      <c r="A12" t="s">
        <v>51</v>
      </c>
      <c r="B12">
        <v>4</v>
      </c>
    </row>
    <row r="13" spans="1:3" x14ac:dyDescent="0.25">
      <c r="A13" t="s">
        <v>54</v>
      </c>
      <c r="B13">
        <v>1</v>
      </c>
    </row>
    <row r="14" spans="1:3" x14ac:dyDescent="0.25">
      <c r="A14" s="2" t="s">
        <v>16</v>
      </c>
    </row>
    <row r="15" spans="1:3" x14ac:dyDescent="0.25">
      <c r="A15" t="s">
        <v>55</v>
      </c>
      <c r="B15">
        <v>3</v>
      </c>
      <c r="C15" t="s">
        <v>59</v>
      </c>
    </row>
    <row r="16" spans="1:3" x14ac:dyDescent="0.25">
      <c r="A16" t="s">
        <v>60</v>
      </c>
      <c r="B16">
        <v>10</v>
      </c>
    </row>
    <row r="21" spans="1:6" x14ac:dyDescent="0.25">
      <c r="A21" s="4" t="s">
        <v>64</v>
      </c>
    </row>
    <row r="22" spans="1:6" x14ac:dyDescent="0.25">
      <c r="A22" s="2" t="s">
        <v>62</v>
      </c>
    </row>
    <row r="23" spans="1:6" x14ac:dyDescent="0.25">
      <c r="A23" t="s">
        <v>51</v>
      </c>
      <c r="B23">
        <v>4</v>
      </c>
    </row>
    <row r="24" spans="1:6" x14ac:dyDescent="0.25">
      <c r="A24" t="s">
        <v>57</v>
      </c>
      <c r="B24">
        <v>1</v>
      </c>
    </row>
    <row r="25" spans="1:6" x14ac:dyDescent="0.25">
      <c r="A25" s="2" t="s">
        <v>16</v>
      </c>
    </row>
    <row r="26" spans="1:6" x14ac:dyDescent="0.25">
      <c r="A26" t="s">
        <v>55</v>
      </c>
      <c r="B26">
        <v>3</v>
      </c>
      <c r="C26" t="s">
        <v>59</v>
      </c>
    </row>
    <row r="29" spans="1:6" x14ac:dyDescent="0.25">
      <c r="A29" t="s">
        <v>58</v>
      </c>
    </row>
    <row r="30" spans="1:6" x14ac:dyDescent="0.25">
      <c r="F30" t="s">
        <v>48</v>
      </c>
    </row>
    <row r="32" spans="1:6" x14ac:dyDescent="0.25">
      <c r="A32" s="4" t="s">
        <v>63</v>
      </c>
    </row>
    <row r="33" spans="1:3" x14ac:dyDescent="0.25">
      <c r="A33" s="2" t="s">
        <v>62</v>
      </c>
    </row>
    <row r="34" spans="1:3" x14ac:dyDescent="0.25">
      <c r="A34" t="s">
        <v>51</v>
      </c>
      <c r="B34">
        <v>4</v>
      </c>
    </row>
    <row r="35" spans="1:3" x14ac:dyDescent="0.25">
      <c r="A35" t="s">
        <v>57</v>
      </c>
      <c r="B35">
        <v>1</v>
      </c>
    </row>
    <row r="36" spans="1:3" x14ac:dyDescent="0.25">
      <c r="A36" s="2" t="s">
        <v>16</v>
      </c>
    </row>
    <row r="37" spans="1:3" x14ac:dyDescent="0.25">
      <c r="A37" t="s">
        <v>55</v>
      </c>
      <c r="B37">
        <v>3</v>
      </c>
      <c r="C37" t="s">
        <v>59</v>
      </c>
    </row>
    <row r="40" spans="1:3" x14ac:dyDescent="0.25">
      <c r="A4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 Budgets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Obrien</dc:creator>
  <cp:lastModifiedBy>Coles, Rebecca</cp:lastModifiedBy>
  <cp:lastPrinted>2017-07-07T16:36:44Z</cp:lastPrinted>
  <dcterms:created xsi:type="dcterms:W3CDTF">2017-06-30T18:45:55Z</dcterms:created>
  <dcterms:modified xsi:type="dcterms:W3CDTF">2018-02-08T17:01:04Z</dcterms:modified>
</cp:coreProperties>
</file>