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sportsball/afl/"/>
    </mc:Choice>
  </mc:AlternateContent>
  <xr:revisionPtr revIDLastSave="0" documentId="13_ncr:1_{C4C995B1-1ACD-E84C-A68D-CCA7E7571006}" xr6:coauthVersionLast="43" xr6:coauthVersionMax="43" xr10:uidLastSave="{00000000-0000-0000-0000-000000000000}"/>
  <bookViews>
    <workbookView xWindow="2900" yWindow="460" windowWidth="27240" windowHeight="16520" xr2:uid="{5A1C098B-552E-354E-A120-6BADF078A5E7}"/>
  </bookViews>
  <sheets>
    <sheet name="All scores" sheetId="1" r:id="rId1"/>
    <sheet name="FLIPPED" sheetId="4" r:id="rId2"/>
    <sheet name="Calculations" sheetId="3" r:id="rId3"/>
    <sheet name="Predictions" sheetId="6" r:id="rId4"/>
    <sheet name="Graph" sheetId="5" r:id="rId5"/>
    <sheet name="Model fitting" sheetId="2" r:id="rId6"/>
  </sheets>
  <definedNames>
    <definedName name="_xlnm._FilterDatabase" localSheetId="0" hidden="1">'All scores'!$B$1:$B$199</definedName>
    <definedName name="_xlnm._FilterDatabase" localSheetId="2" hidden="1">Calculations!$A$26:$U$422</definedName>
    <definedName name="_xlnm.Extract" localSheetId="0">'All scores'!$Q$1</definedName>
    <definedName name="HFA">'Model fitting'!$B$4</definedName>
    <definedName name="k">'Model fitting'!$B$1</definedName>
    <definedName name="MVC">'Model fitting'!$B$3</definedName>
    <definedName name="scale">'Model fitting'!$B$2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6" l="1"/>
  <c r="T26" i="6" s="1"/>
  <c r="S11" i="6" l="1"/>
  <c r="S15" i="6"/>
  <c r="S19" i="6"/>
  <c r="S23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7" i="6"/>
  <c r="A8" i="6"/>
  <c r="B8" i="6"/>
  <c r="C8" i="6"/>
  <c r="D8" i="6"/>
  <c r="E8" i="6"/>
  <c r="S8" i="6" s="1"/>
  <c r="F8" i="6"/>
  <c r="G8" i="6"/>
  <c r="H8" i="6"/>
  <c r="I8" i="6"/>
  <c r="J8" i="6"/>
  <c r="A9" i="6"/>
  <c r="B9" i="6"/>
  <c r="C9" i="6"/>
  <c r="D9" i="6"/>
  <c r="E9" i="6"/>
  <c r="S9" i="6" s="1"/>
  <c r="F9" i="6"/>
  <c r="G9" i="6"/>
  <c r="H9" i="6"/>
  <c r="I9" i="6"/>
  <c r="J9" i="6"/>
  <c r="A10" i="6"/>
  <c r="B10" i="6"/>
  <c r="C10" i="6"/>
  <c r="D10" i="6"/>
  <c r="E10" i="6"/>
  <c r="S10" i="6" s="1"/>
  <c r="F10" i="6"/>
  <c r="G10" i="6"/>
  <c r="H10" i="6"/>
  <c r="I10" i="6"/>
  <c r="J10" i="6"/>
  <c r="A11" i="6"/>
  <c r="B11" i="6"/>
  <c r="C11" i="6"/>
  <c r="D11" i="6"/>
  <c r="E11" i="6"/>
  <c r="F11" i="6"/>
  <c r="G11" i="6"/>
  <c r="H11" i="6"/>
  <c r="I11" i="6"/>
  <c r="J11" i="6"/>
  <c r="A12" i="6"/>
  <c r="B12" i="6"/>
  <c r="C12" i="6"/>
  <c r="D12" i="6"/>
  <c r="E12" i="6"/>
  <c r="S12" i="6" s="1"/>
  <c r="F12" i="6"/>
  <c r="G12" i="6"/>
  <c r="H12" i="6"/>
  <c r="I12" i="6"/>
  <c r="J12" i="6"/>
  <c r="A13" i="6"/>
  <c r="B13" i="6"/>
  <c r="C13" i="6"/>
  <c r="D13" i="6"/>
  <c r="E13" i="6"/>
  <c r="S13" i="6" s="1"/>
  <c r="F13" i="6"/>
  <c r="G13" i="6"/>
  <c r="H13" i="6"/>
  <c r="I13" i="6"/>
  <c r="J13" i="6"/>
  <c r="A14" i="6"/>
  <c r="B14" i="6"/>
  <c r="C14" i="6"/>
  <c r="D14" i="6"/>
  <c r="E14" i="6"/>
  <c r="S14" i="6" s="1"/>
  <c r="F14" i="6"/>
  <c r="G14" i="6"/>
  <c r="H14" i="6"/>
  <c r="I14" i="6"/>
  <c r="J14" i="6"/>
  <c r="A15" i="6"/>
  <c r="B15" i="6"/>
  <c r="C15" i="6"/>
  <c r="D15" i="6"/>
  <c r="E15" i="6"/>
  <c r="F15" i="6"/>
  <c r="G15" i="6"/>
  <c r="H15" i="6"/>
  <c r="I15" i="6"/>
  <c r="J15" i="6"/>
  <c r="A16" i="6"/>
  <c r="B16" i="6"/>
  <c r="C16" i="6"/>
  <c r="D16" i="6"/>
  <c r="E16" i="6"/>
  <c r="S16" i="6" s="1"/>
  <c r="F16" i="6"/>
  <c r="G16" i="6"/>
  <c r="H16" i="6"/>
  <c r="I16" i="6"/>
  <c r="J16" i="6"/>
  <c r="A17" i="6"/>
  <c r="B17" i="6"/>
  <c r="C17" i="6"/>
  <c r="D17" i="6"/>
  <c r="E17" i="6"/>
  <c r="S17" i="6" s="1"/>
  <c r="F17" i="6"/>
  <c r="G17" i="6"/>
  <c r="H17" i="6"/>
  <c r="I17" i="6"/>
  <c r="J17" i="6"/>
  <c r="A18" i="6"/>
  <c r="B18" i="6"/>
  <c r="C18" i="6"/>
  <c r="D18" i="6"/>
  <c r="E18" i="6"/>
  <c r="S18" i="6" s="1"/>
  <c r="F18" i="6"/>
  <c r="G18" i="6"/>
  <c r="H18" i="6"/>
  <c r="I18" i="6"/>
  <c r="J18" i="6"/>
  <c r="A19" i="6"/>
  <c r="B19" i="6"/>
  <c r="C19" i="6"/>
  <c r="D19" i="6"/>
  <c r="E19" i="6"/>
  <c r="F19" i="6"/>
  <c r="G19" i="6"/>
  <c r="H19" i="6"/>
  <c r="I19" i="6"/>
  <c r="J19" i="6"/>
  <c r="A20" i="6"/>
  <c r="B20" i="6"/>
  <c r="C20" i="6"/>
  <c r="D20" i="6"/>
  <c r="E20" i="6"/>
  <c r="S20" i="6" s="1"/>
  <c r="F20" i="6"/>
  <c r="G20" i="6"/>
  <c r="H20" i="6"/>
  <c r="I20" i="6"/>
  <c r="J20" i="6"/>
  <c r="A21" i="6"/>
  <c r="B21" i="6"/>
  <c r="C21" i="6"/>
  <c r="D21" i="6"/>
  <c r="E21" i="6"/>
  <c r="S21" i="6" s="1"/>
  <c r="F21" i="6"/>
  <c r="G21" i="6"/>
  <c r="H21" i="6"/>
  <c r="I21" i="6"/>
  <c r="J21" i="6"/>
  <c r="A22" i="6"/>
  <c r="B22" i="6"/>
  <c r="C22" i="6"/>
  <c r="D22" i="6"/>
  <c r="E22" i="6"/>
  <c r="S22" i="6" s="1"/>
  <c r="F22" i="6"/>
  <c r="G22" i="6"/>
  <c r="H22" i="6"/>
  <c r="I22" i="6"/>
  <c r="J22" i="6"/>
  <c r="A23" i="6"/>
  <c r="B23" i="6"/>
  <c r="C23" i="6"/>
  <c r="D23" i="6"/>
  <c r="E23" i="6"/>
  <c r="F23" i="6"/>
  <c r="G23" i="6"/>
  <c r="H23" i="6"/>
  <c r="I23" i="6"/>
  <c r="J23" i="6"/>
  <c r="A24" i="6"/>
  <c r="B24" i="6"/>
  <c r="C24" i="6"/>
  <c r="D24" i="6"/>
  <c r="E24" i="6"/>
  <c r="S24" i="6" s="1"/>
  <c r="F24" i="6"/>
  <c r="G24" i="6"/>
  <c r="H24" i="6"/>
  <c r="I24" i="6"/>
  <c r="J24" i="6"/>
  <c r="B7" i="6"/>
  <c r="C7" i="6"/>
  <c r="D7" i="6"/>
  <c r="E7" i="6"/>
  <c r="S7" i="6" s="1"/>
  <c r="F7" i="6"/>
  <c r="G7" i="6"/>
  <c r="H7" i="6"/>
  <c r="I7" i="6"/>
  <c r="J7" i="6"/>
  <c r="L7" i="6" s="1"/>
  <c r="A7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B11" i="4"/>
  <c r="C11" i="4"/>
  <c r="D11" i="4"/>
  <c r="E11" i="4"/>
  <c r="L11" i="4" s="1"/>
  <c r="F11" i="4"/>
  <c r="G11" i="4"/>
  <c r="H11" i="4"/>
  <c r="I11" i="4"/>
  <c r="K11" i="4" s="1"/>
  <c r="J11" i="4"/>
  <c r="B12" i="4"/>
  <c r="C12" i="4"/>
  <c r="D12" i="4"/>
  <c r="E12" i="4"/>
  <c r="L12" i="4" s="1"/>
  <c r="F12" i="4"/>
  <c r="G12" i="4"/>
  <c r="H12" i="4"/>
  <c r="I12" i="4"/>
  <c r="K12" i="4" s="1"/>
  <c r="J12" i="4"/>
  <c r="B13" i="4"/>
  <c r="C13" i="4"/>
  <c r="D13" i="4"/>
  <c r="E13" i="4"/>
  <c r="F13" i="4"/>
  <c r="G13" i="4"/>
  <c r="H13" i="4"/>
  <c r="I13" i="4"/>
  <c r="J13" i="4"/>
  <c r="K13" i="4"/>
  <c r="L13" i="4"/>
  <c r="B14" i="4"/>
  <c r="C14" i="4"/>
  <c r="D14" i="4"/>
  <c r="E14" i="4"/>
  <c r="F14" i="4"/>
  <c r="G14" i="4"/>
  <c r="H14" i="4"/>
  <c r="I14" i="4"/>
  <c r="J14" i="4"/>
  <c r="K14" i="4"/>
  <c r="L14" i="4"/>
  <c r="B15" i="4"/>
  <c r="C15" i="4"/>
  <c r="D15" i="4"/>
  <c r="E15" i="4"/>
  <c r="L15" i="4" s="1"/>
  <c r="F15" i="4"/>
  <c r="G15" i="4"/>
  <c r="H15" i="4"/>
  <c r="I15" i="4"/>
  <c r="K15" i="4" s="1"/>
  <c r="J15" i="4"/>
  <c r="B16" i="4"/>
  <c r="C16" i="4"/>
  <c r="D16" i="4"/>
  <c r="E16" i="4"/>
  <c r="L16" i="4" s="1"/>
  <c r="F16" i="4"/>
  <c r="G16" i="4"/>
  <c r="H16" i="4"/>
  <c r="I16" i="4"/>
  <c r="K16" i="4" s="1"/>
  <c r="J16" i="4"/>
  <c r="B17" i="4"/>
  <c r="C17" i="4"/>
  <c r="D17" i="4"/>
  <c r="E17" i="4"/>
  <c r="F17" i="4"/>
  <c r="G17" i="4"/>
  <c r="H17" i="4"/>
  <c r="I17" i="4"/>
  <c r="J17" i="4"/>
  <c r="K17" i="4"/>
  <c r="L17" i="4"/>
  <c r="B18" i="4"/>
  <c r="C18" i="4"/>
  <c r="D18" i="4"/>
  <c r="E18" i="4"/>
  <c r="F18" i="4"/>
  <c r="G18" i="4"/>
  <c r="H18" i="4"/>
  <c r="I18" i="4"/>
  <c r="J18" i="4"/>
  <c r="K18" i="4"/>
  <c r="L18" i="4"/>
  <c r="B19" i="4"/>
  <c r="C19" i="4"/>
  <c r="D19" i="4"/>
  <c r="E19" i="4"/>
  <c r="L19" i="4" s="1"/>
  <c r="F19" i="4"/>
  <c r="G19" i="4"/>
  <c r="H19" i="4"/>
  <c r="I19" i="4"/>
  <c r="K19" i="4" s="1"/>
  <c r="J19" i="4"/>
  <c r="K19" i="1"/>
  <c r="L19" i="1"/>
  <c r="K18" i="1"/>
  <c r="L18" i="1"/>
  <c r="K17" i="1"/>
  <c r="L17" i="1"/>
  <c r="K16" i="1"/>
  <c r="L16" i="1"/>
  <c r="K15" i="1"/>
  <c r="L15" i="1"/>
  <c r="K14" i="1"/>
  <c r="L14" i="1"/>
  <c r="K13" i="1"/>
  <c r="L13" i="1"/>
  <c r="K12" i="1"/>
  <c r="L12" i="1"/>
  <c r="K11" i="1"/>
  <c r="L11" i="1"/>
  <c r="F46" i="3"/>
  <c r="H55" i="3"/>
  <c r="L55" i="3"/>
  <c r="L48" i="3"/>
  <c r="L56" i="3"/>
  <c r="H56" i="3"/>
  <c r="O50" i="3"/>
  <c r="F45" i="3"/>
  <c r="O62" i="3"/>
  <c r="F49" i="3"/>
  <c r="I46" i="3"/>
  <c r="L57" i="3"/>
  <c r="O45" i="3"/>
  <c r="F50" i="3"/>
  <c r="F58" i="3"/>
  <c r="H60" i="3"/>
  <c r="L47" i="3"/>
  <c r="H54" i="3"/>
  <c r="H48" i="3"/>
  <c r="H51" i="3"/>
  <c r="H45" i="3"/>
  <c r="I45" i="3"/>
  <c r="H47" i="3"/>
  <c r="L51" i="3"/>
  <c r="O59" i="3"/>
  <c r="I49" i="3"/>
  <c r="H50" i="3"/>
  <c r="O54" i="3"/>
  <c r="F57" i="3"/>
  <c r="I57" i="3" s="1"/>
  <c r="I50" i="3"/>
  <c r="H46" i="3"/>
  <c r="H59" i="3"/>
  <c r="O58" i="3"/>
  <c r="L52" i="3"/>
  <c r="H52" i="3"/>
  <c r="F54" i="3"/>
  <c r="I54" i="3" s="1"/>
  <c r="O46" i="3"/>
  <c r="O61" i="3"/>
  <c r="H58" i="3"/>
  <c r="F53" i="3"/>
  <c r="I53" i="3" s="1"/>
  <c r="N46" i="6" l="1"/>
  <c r="M7" i="6"/>
  <c r="V7" i="6"/>
  <c r="N7" i="6"/>
  <c r="O46" i="6"/>
  <c r="N52" i="3"/>
  <c r="P62" i="3"/>
  <c r="P61" i="3"/>
  <c r="M47" i="3"/>
  <c r="N47" i="3"/>
  <c r="P59" i="3"/>
  <c r="P58" i="3"/>
  <c r="P54" i="3"/>
  <c r="P50" i="3"/>
  <c r="P46" i="3"/>
  <c r="J45" i="3"/>
  <c r="N51" i="3"/>
  <c r="N56" i="3"/>
  <c r="M56" i="3"/>
  <c r="N48" i="3"/>
  <c r="J46" i="3"/>
  <c r="P45" i="3"/>
  <c r="M55" i="3"/>
  <c r="N55" i="3"/>
  <c r="J48" i="3"/>
  <c r="M57" i="3"/>
  <c r="N57" i="3"/>
  <c r="J58" i="3"/>
  <c r="J54" i="3"/>
  <c r="J50" i="3"/>
  <c r="A59" i="6"/>
  <c r="B59" i="6"/>
  <c r="F59" i="6"/>
  <c r="J59" i="6"/>
  <c r="A60" i="6"/>
  <c r="B60" i="6"/>
  <c r="F60" i="6"/>
  <c r="J60" i="6"/>
  <c r="A61" i="6"/>
  <c r="B61" i="6"/>
  <c r="F61" i="6"/>
  <c r="J61" i="6"/>
  <c r="A62" i="6"/>
  <c r="B62" i="6"/>
  <c r="F62" i="6"/>
  <c r="J62" i="6"/>
  <c r="A63" i="6"/>
  <c r="B63" i="6"/>
  <c r="F63" i="6"/>
  <c r="J63" i="6"/>
  <c r="A64" i="6"/>
  <c r="B64" i="6"/>
  <c r="F64" i="6"/>
  <c r="J64" i="6"/>
  <c r="A65" i="6"/>
  <c r="B65" i="6"/>
  <c r="F65" i="6"/>
  <c r="J65" i="6"/>
  <c r="A66" i="6"/>
  <c r="B66" i="6"/>
  <c r="F66" i="6"/>
  <c r="J66" i="6"/>
  <c r="J58" i="6"/>
  <c r="F58" i="6"/>
  <c r="B58" i="6"/>
  <c r="A58" i="6"/>
  <c r="K50" i="6"/>
  <c r="K59" i="6" s="1"/>
  <c r="K51" i="6"/>
  <c r="K60" i="6" s="1"/>
  <c r="K52" i="6"/>
  <c r="K61" i="6" s="1"/>
  <c r="K53" i="6"/>
  <c r="K62" i="6" s="1"/>
  <c r="K54" i="6"/>
  <c r="K63" i="6" s="1"/>
  <c r="K55" i="6"/>
  <c r="K64" i="6" s="1"/>
  <c r="K56" i="6"/>
  <c r="K65" i="6" s="1"/>
  <c r="K57" i="6"/>
  <c r="K66" i="6" s="1"/>
  <c r="K49" i="6"/>
  <c r="K58" i="6" s="1"/>
  <c r="V22" i="6"/>
  <c r="V23" i="6"/>
  <c r="V8" i="6"/>
  <c r="V9" i="6"/>
  <c r="V10" i="6"/>
  <c r="V11" i="6"/>
  <c r="V12" i="6"/>
  <c r="V13" i="6"/>
  <c r="V14" i="6"/>
  <c r="V15" i="6"/>
  <c r="L8" i="6"/>
  <c r="L17" i="6" s="1"/>
  <c r="L9" i="6"/>
  <c r="L18" i="6" s="1"/>
  <c r="L10" i="6"/>
  <c r="L19" i="6" s="1"/>
  <c r="L11" i="6"/>
  <c r="L20" i="6" s="1"/>
  <c r="L12" i="6"/>
  <c r="L21" i="6" s="1"/>
  <c r="L13" i="6"/>
  <c r="L22" i="6" s="1"/>
  <c r="L14" i="6"/>
  <c r="L23" i="6" s="1"/>
  <c r="L15" i="6"/>
  <c r="L24" i="6" s="1"/>
  <c r="L16" i="6"/>
  <c r="M8" i="6"/>
  <c r="N17" i="6" s="1"/>
  <c r="N8" i="6"/>
  <c r="M17" i="6" s="1"/>
  <c r="M9" i="6"/>
  <c r="N18" i="6" s="1"/>
  <c r="N9" i="6"/>
  <c r="M18" i="6" s="1"/>
  <c r="M10" i="6"/>
  <c r="N19" i="6" s="1"/>
  <c r="N10" i="6"/>
  <c r="M19" i="6" s="1"/>
  <c r="M11" i="6"/>
  <c r="N20" i="6" s="1"/>
  <c r="N11" i="6"/>
  <c r="M20" i="6" s="1"/>
  <c r="M12" i="6"/>
  <c r="N21" i="6" s="1"/>
  <c r="N12" i="6"/>
  <c r="M21" i="6" s="1"/>
  <c r="M13" i="6"/>
  <c r="N22" i="6" s="1"/>
  <c r="N13" i="6"/>
  <c r="M22" i="6" s="1"/>
  <c r="M14" i="6"/>
  <c r="N23" i="6" s="1"/>
  <c r="N14" i="6"/>
  <c r="M23" i="6" s="1"/>
  <c r="M15" i="6"/>
  <c r="N24" i="6" s="1"/>
  <c r="N15" i="6"/>
  <c r="M24" i="6" s="1"/>
  <c r="M16" i="6"/>
  <c r="N16" i="6"/>
  <c r="L62" i="3"/>
  <c r="O55" i="3"/>
  <c r="F59" i="3"/>
  <c r="I59" i="3" s="1"/>
  <c r="O53" i="3"/>
  <c r="O47" i="3"/>
  <c r="H62" i="3"/>
  <c r="F55" i="3"/>
  <c r="L46" i="3"/>
  <c r="O57" i="3"/>
  <c r="I58" i="3"/>
  <c r="L58" i="3"/>
  <c r="L50" i="3"/>
  <c r="L49" i="3"/>
  <c r="I55" i="3"/>
  <c r="O56" i="3"/>
  <c r="O49" i="3"/>
  <c r="F51" i="3"/>
  <c r="I51" i="3" s="1"/>
  <c r="L45" i="3"/>
  <c r="L60" i="3"/>
  <c r="F56" i="3"/>
  <c r="I56" i="3" s="1"/>
  <c r="O51" i="3"/>
  <c r="O48" i="3"/>
  <c r="H61" i="3"/>
  <c r="F52" i="3"/>
  <c r="L61" i="3"/>
  <c r="F60" i="3"/>
  <c r="L53" i="3"/>
  <c r="O60" i="3"/>
  <c r="H53" i="3"/>
  <c r="O52" i="3"/>
  <c r="H57" i="3"/>
  <c r="F47" i="3"/>
  <c r="I47" i="3" s="1"/>
  <c r="H49" i="3"/>
  <c r="F61" i="3"/>
  <c r="I61" i="3" s="1"/>
  <c r="L59" i="3"/>
  <c r="F48" i="3"/>
  <c r="F62" i="3"/>
  <c r="I62" i="3" s="1"/>
  <c r="L54" i="3"/>
  <c r="I60" i="3"/>
  <c r="I52" i="3"/>
  <c r="I48" i="3"/>
  <c r="P7" i="6" l="1"/>
  <c r="R7" i="6" s="1"/>
  <c r="T7" i="6" s="1"/>
  <c r="M48" i="3"/>
  <c r="J47" i="3"/>
  <c r="M52" i="3"/>
  <c r="J51" i="3"/>
  <c r="O7" i="6"/>
  <c r="U7" i="6" s="1"/>
  <c r="V16" i="6"/>
  <c r="V24" i="6"/>
  <c r="J60" i="3"/>
  <c r="M58" i="3"/>
  <c r="N58" i="3"/>
  <c r="J52" i="3"/>
  <c r="P57" i="3"/>
  <c r="J53" i="3"/>
  <c r="N61" i="3"/>
  <c r="M61" i="3"/>
  <c r="J61" i="3"/>
  <c r="M46" i="3"/>
  <c r="N46" i="3"/>
  <c r="M59" i="3"/>
  <c r="N59" i="3"/>
  <c r="P48" i="3"/>
  <c r="M54" i="3"/>
  <c r="N54" i="3"/>
  <c r="P51" i="3"/>
  <c r="J56" i="3"/>
  <c r="P60" i="3"/>
  <c r="J62" i="3"/>
  <c r="M49" i="3"/>
  <c r="N49" i="3"/>
  <c r="N60" i="3"/>
  <c r="M60" i="3"/>
  <c r="P47" i="3"/>
  <c r="J49" i="3"/>
  <c r="M45" i="3"/>
  <c r="N45" i="3"/>
  <c r="P53" i="3"/>
  <c r="M53" i="3"/>
  <c r="N53" i="3"/>
  <c r="M51" i="3"/>
  <c r="M50" i="3"/>
  <c r="N50" i="3"/>
  <c r="J57" i="3"/>
  <c r="P49" i="3"/>
  <c r="P55" i="3"/>
  <c r="P52" i="3"/>
  <c r="P56" i="3"/>
  <c r="M62" i="3"/>
  <c r="N62" i="3"/>
  <c r="J55" i="3"/>
  <c r="J59" i="3"/>
  <c r="V17" i="6"/>
  <c r="O23" i="6"/>
  <c r="U23" i="6" s="1"/>
  <c r="O19" i="6"/>
  <c r="U19" i="6" s="1"/>
  <c r="O17" i="6"/>
  <c r="U17" i="6" s="1"/>
  <c r="V20" i="6"/>
  <c r="O21" i="6"/>
  <c r="U21" i="6" s="1"/>
  <c r="V21" i="6"/>
  <c r="V18" i="6"/>
  <c r="O18" i="6"/>
  <c r="U18" i="6" s="1"/>
  <c r="V19" i="6"/>
  <c r="P24" i="6"/>
  <c r="R24" i="6" s="1"/>
  <c r="T24" i="6" s="1"/>
  <c r="P22" i="6"/>
  <c r="R22" i="6" s="1"/>
  <c r="T22" i="6" s="1"/>
  <c r="P20" i="6"/>
  <c r="R20" i="6" s="1"/>
  <c r="T20" i="6" s="1"/>
  <c r="P16" i="6"/>
  <c r="R16" i="6" s="1"/>
  <c r="T16" i="6" s="1"/>
  <c r="O16" i="6"/>
  <c r="U16" i="6" s="1"/>
  <c r="P18" i="6"/>
  <c r="R18" i="6" s="1"/>
  <c r="T18" i="6" s="1"/>
  <c r="P23" i="6"/>
  <c r="R23" i="6" s="1"/>
  <c r="T23" i="6" s="1"/>
  <c r="P19" i="6"/>
  <c r="R19" i="6" s="1"/>
  <c r="T19" i="6" s="1"/>
  <c r="O22" i="6"/>
  <c r="U22" i="6" s="1"/>
  <c r="O20" i="6"/>
  <c r="U20" i="6" s="1"/>
  <c r="O24" i="6"/>
  <c r="U24" i="6" s="1"/>
  <c r="P21" i="6"/>
  <c r="R21" i="6" s="1"/>
  <c r="T21" i="6" s="1"/>
  <c r="P17" i="6"/>
  <c r="R17" i="6" s="1"/>
  <c r="T17" i="6" s="1"/>
  <c r="O14" i="6"/>
  <c r="U14" i="6" s="1"/>
  <c r="O10" i="6"/>
  <c r="U10" i="6" s="1"/>
  <c r="P15" i="6"/>
  <c r="P11" i="6"/>
  <c r="P12" i="6"/>
  <c r="P8" i="6"/>
  <c r="P13" i="6"/>
  <c r="P9" i="6"/>
  <c r="O12" i="6"/>
  <c r="U12" i="6" s="1"/>
  <c r="O8" i="6"/>
  <c r="U8" i="6" s="1"/>
  <c r="P14" i="6"/>
  <c r="P10" i="6"/>
  <c r="O15" i="6"/>
  <c r="U15" i="6" s="1"/>
  <c r="O13" i="6"/>
  <c r="U13" i="6" s="1"/>
  <c r="O11" i="6"/>
  <c r="U11" i="6" s="1"/>
  <c r="O9" i="6"/>
  <c r="U9" i="6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Z18" i="6" l="1"/>
  <c r="X18" i="6"/>
  <c r="C2" i="6"/>
  <c r="G2" i="6"/>
  <c r="R8" i="6"/>
  <c r="T8" i="6" s="1"/>
  <c r="R10" i="6"/>
  <c r="T10" i="6" s="1"/>
  <c r="R9" i="6"/>
  <c r="T9" i="6" s="1"/>
  <c r="R12" i="6"/>
  <c r="T12" i="6" s="1"/>
  <c r="R14" i="6"/>
  <c r="T14" i="6" s="1"/>
  <c r="R13" i="6"/>
  <c r="T13" i="6" s="1"/>
  <c r="R11" i="6"/>
  <c r="T11" i="6" s="1"/>
  <c r="R15" i="6"/>
  <c r="T15" i="6" s="1"/>
  <c r="G29" i="2"/>
  <c r="G26" i="2"/>
  <c r="G25" i="2"/>
  <c r="G24" i="2"/>
  <c r="G22" i="2"/>
  <c r="G21" i="2"/>
  <c r="G20" i="2"/>
  <c r="G19" i="2"/>
  <c r="G18" i="2"/>
  <c r="G17" i="2"/>
  <c r="G16" i="2"/>
  <c r="G13" i="2"/>
  <c r="G12" i="2"/>
  <c r="G11" i="2"/>
  <c r="G10" i="2"/>
  <c r="G9" i="2"/>
  <c r="G8" i="2"/>
  <c r="X8" i="6" l="1"/>
  <c r="X1" i="6" s="1"/>
  <c r="Z8" i="6"/>
  <c r="Z1" i="6" s="1"/>
  <c r="E2" i="6"/>
  <c r="D2" i="6"/>
  <c r="D28" i="3"/>
  <c r="D29" i="3"/>
  <c r="D30" i="3"/>
  <c r="D31" i="3"/>
  <c r="D32" i="3"/>
  <c r="D33" i="3"/>
  <c r="D34" i="3"/>
  <c r="D35" i="3"/>
  <c r="D36" i="3"/>
  <c r="D37" i="3"/>
  <c r="D38" i="3"/>
  <c r="D39" i="3"/>
  <c r="E40" i="3"/>
  <c r="E42" i="3"/>
  <c r="D43" i="3"/>
  <c r="E44" i="3"/>
  <c r="D44" i="3" l="1"/>
  <c r="D42" i="3"/>
  <c r="E29" i="3"/>
  <c r="E37" i="3"/>
  <c r="E33" i="3"/>
  <c r="E38" i="3"/>
  <c r="E34" i="3"/>
  <c r="E30" i="3"/>
  <c r="D40" i="3"/>
  <c r="E35" i="3"/>
  <c r="E31" i="3"/>
  <c r="E43" i="3"/>
  <c r="E39" i="3"/>
  <c r="E36" i="3"/>
  <c r="E32" i="3"/>
  <c r="E28" i="3"/>
  <c r="D41" i="3"/>
  <c r="E41" i="3"/>
  <c r="I37" i="3"/>
  <c r="L41" i="3"/>
  <c r="F41" i="3"/>
  <c r="I29" i="3"/>
  <c r="F29" i="3"/>
  <c r="F35" i="3"/>
  <c r="H41" i="3"/>
  <c r="F37" i="3"/>
  <c r="H35" i="3"/>
  <c r="H29" i="3"/>
  <c r="H37" i="3"/>
  <c r="O41" i="3"/>
  <c r="O37" i="3"/>
  <c r="L35" i="3"/>
  <c r="O35" i="3"/>
  <c r="L37" i="3"/>
  <c r="J29" i="3" l="1"/>
  <c r="N35" i="3"/>
  <c r="M35" i="3"/>
  <c r="P35" i="3"/>
  <c r="P41" i="3"/>
  <c r="N41" i="3"/>
  <c r="M41" i="3"/>
  <c r="J37" i="3"/>
  <c r="N37" i="3"/>
  <c r="M37" i="3"/>
  <c r="P37" i="3"/>
  <c r="D27" i="3"/>
  <c r="I35" i="3"/>
  <c r="I41" i="3"/>
  <c r="J41" i="3" l="1"/>
  <c r="J35" i="3"/>
  <c r="E27" i="3"/>
  <c r="L2" i="1"/>
  <c r="K2" i="1"/>
  <c r="G41" i="3"/>
  <c r="G35" i="3"/>
  <c r="K1" i="3"/>
  <c r="D3" i="3"/>
  <c r="E3" i="3" s="1"/>
  <c r="F2" i="3"/>
  <c r="E2" i="3"/>
  <c r="B3" i="4"/>
  <c r="C3" i="4"/>
  <c r="D3" i="4"/>
  <c r="E3" i="4"/>
  <c r="F3" i="4"/>
  <c r="G3" i="4"/>
  <c r="H3" i="4"/>
  <c r="I3" i="4"/>
  <c r="K3" i="4" s="1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K5" i="4" s="1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K7" i="4" s="1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K9" i="4" s="1"/>
  <c r="J9" i="4"/>
  <c r="B10" i="4"/>
  <c r="C10" i="4"/>
  <c r="D10" i="4"/>
  <c r="E10" i="4"/>
  <c r="F10" i="4"/>
  <c r="G10" i="4"/>
  <c r="H10" i="4"/>
  <c r="I10" i="4"/>
  <c r="J10" i="4"/>
  <c r="J2" i="4"/>
  <c r="I2" i="4"/>
  <c r="H2" i="4"/>
  <c r="G2" i="4"/>
  <c r="F2" i="4"/>
  <c r="E2" i="4"/>
  <c r="D2" i="4"/>
  <c r="C2" i="4"/>
  <c r="B2" i="4"/>
  <c r="F34" i="3"/>
  <c r="H30" i="3"/>
  <c r="F28" i="3"/>
  <c r="F42" i="3"/>
  <c r="F31" i="3"/>
  <c r="O30" i="3"/>
  <c r="O27" i="3"/>
  <c r="I42" i="3"/>
  <c r="F38" i="3"/>
  <c r="F40" i="3"/>
  <c r="H43" i="3"/>
  <c r="L30" i="3"/>
  <c r="H33" i="3"/>
  <c r="O32" i="3"/>
  <c r="F32" i="3"/>
  <c r="F33" i="3"/>
  <c r="L31" i="3"/>
  <c r="H31" i="3"/>
  <c r="L33" i="3"/>
  <c r="H40" i="3"/>
  <c r="F43" i="3"/>
  <c r="L32" i="3"/>
  <c r="L27" i="3"/>
  <c r="H34" i="3"/>
  <c r="H28" i="3"/>
  <c r="F27" i="3"/>
  <c r="F36" i="3"/>
  <c r="H38" i="3"/>
  <c r="L28" i="3"/>
  <c r="O44" i="3"/>
  <c r="F39" i="3"/>
  <c r="L44" i="3"/>
  <c r="O29" i="3"/>
  <c r="O28" i="3"/>
  <c r="H27" i="3"/>
  <c r="I34" i="3"/>
  <c r="F30" i="3"/>
  <c r="H44" i="3"/>
  <c r="H39" i="3"/>
  <c r="H36" i="3"/>
  <c r="H32" i="3"/>
  <c r="H42" i="3"/>
  <c r="F44" i="3"/>
  <c r="L36" i="3"/>
  <c r="L42" i="3"/>
  <c r="M36" i="3" l="1"/>
  <c r="R36" i="3" s="1"/>
  <c r="N36" i="3"/>
  <c r="G31" i="3"/>
  <c r="J34" i="3"/>
  <c r="N31" i="3"/>
  <c r="M31" i="3"/>
  <c r="R31" i="3" s="1"/>
  <c r="Q31" i="3"/>
  <c r="G39" i="3"/>
  <c r="G36" i="3"/>
  <c r="G34" i="3"/>
  <c r="K8" i="4"/>
  <c r="K4" i="4"/>
  <c r="L10" i="4"/>
  <c r="L6" i="4"/>
  <c r="J42" i="3"/>
  <c r="J33" i="3"/>
  <c r="P32" i="3"/>
  <c r="J40" i="3"/>
  <c r="N28" i="3"/>
  <c r="M28" i="3"/>
  <c r="R28" i="3" s="1"/>
  <c r="G40" i="3"/>
  <c r="G33" i="3"/>
  <c r="M42" i="3"/>
  <c r="R42" i="3" s="1"/>
  <c r="N42" i="3"/>
  <c r="N32" i="3"/>
  <c r="M32" i="3"/>
  <c r="R32" i="3" s="1"/>
  <c r="P30" i="3"/>
  <c r="G42" i="3"/>
  <c r="M44" i="3"/>
  <c r="R44" i="3" s="1"/>
  <c r="N44" i="3"/>
  <c r="M30" i="3"/>
  <c r="R30" i="3" s="1"/>
  <c r="N30" i="3"/>
  <c r="P44" i="3"/>
  <c r="M33" i="3"/>
  <c r="R33" i="3" s="1"/>
  <c r="N33" i="3"/>
  <c r="J30" i="3"/>
  <c r="P28" i="3"/>
  <c r="L2" i="4"/>
  <c r="P29" i="3"/>
  <c r="Q28" i="3"/>
  <c r="G28" i="3"/>
  <c r="Q41" i="3"/>
  <c r="G37" i="3"/>
  <c r="Q33" i="3"/>
  <c r="Q37" i="3"/>
  <c r="R41" i="3"/>
  <c r="G29" i="3"/>
  <c r="Q30" i="3"/>
  <c r="G30" i="3"/>
  <c r="Q36" i="3"/>
  <c r="R37" i="3"/>
  <c r="Q32" i="3"/>
  <c r="G32" i="3"/>
  <c r="G44" i="3"/>
  <c r="Q35" i="3"/>
  <c r="Q44" i="3"/>
  <c r="L1" i="3"/>
  <c r="G43" i="3"/>
  <c r="Q42" i="3"/>
  <c r="G38" i="3"/>
  <c r="R35" i="3"/>
  <c r="P27" i="3"/>
  <c r="Q27" i="3"/>
  <c r="M27" i="3"/>
  <c r="N27" i="3"/>
  <c r="G27" i="3"/>
  <c r="C42" i="3"/>
  <c r="C38" i="3"/>
  <c r="C34" i="3"/>
  <c r="C30" i="3"/>
  <c r="C41" i="3"/>
  <c r="U41" i="3" s="1"/>
  <c r="C37" i="3"/>
  <c r="C33" i="3"/>
  <c r="C29" i="3"/>
  <c r="C44" i="3"/>
  <c r="C40" i="3"/>
  <c r="C36" i="3"/>
  <c r="C32" i="3"/>
  <c r="C28" i="3"/>
  <c r="C43" i="3"/>
  <c r="C39" i="3"/>
  <c r="C35" i="3"/>
  <c r="U35" i="3" s="1"/>
  <c r="C31" i="3"/>
  <c r="C27" i="3"/>
  <c r="L7" i="4"/>
  <c r="L3" i="4"/>
  <c r="K2" i="4"/>
  <c r="K10" i="4"/>
  <c r="K6" i="4"/>
  <c r="L9" i="4"/>
  <c r="L5" i="4"/>
  <c r="L8" i="4"/>
  <c r="L4" i="4"/>
  <c r="D4" i="3"/>
  <c r="F4" i="3" s="1"/>
  <c r="F3" i="3"/>
  <c r="I39" i="3"/>
  <c r="I31" i="3"/>
  <c r="L29" i="3"/>
  <c r="O33" i="3"/>
  <c r="I44" i="3"/>
  <c r="I36" i="3"/>
  <c r="O34" i="3"/>
  <c r="O38" i="3"/>
  <c r="I33" i="3"/>
  <c r="L38" i="3"/>
  <c r="O40" i="3"/>
  <c r="L39" i="3"/>
  <c r="I32" i="3"/>
  <c r="I30" i="3"/>
  <c r="I38" i="3"/>
  <c r="L40" i="3"/>
  <c r="I28" i="3"/>
  <c r="I40" i="3"/>
  <c r="I43" i="3"/>
  <c r="O39" i="3"/>
  <c r="O31" i="3"/>
  <c r="L34" i="3"/>
  <c r="O42" i="3"/>
  <c r="L43" i="3"/>
  <c r="I27" i="3"/>
  <c r="O36" i="3"/>
  <c r="O43" i="3"/>
  <c r="U39" i="3" l="1"/>
  <c r="J36" i="3"/>
  <c r="K36" i="3" s="1"/>
  <c r="J31" i="3"/>
  <c r="J39" i="3"/>
  <c r="K39" i="3" s="1"/>
  <c r="J44" i="3"/>
  <c r="K44" i="3" s="1"/>
  <c r="J32" i="3"/>
  <c r="K32" i="3" s="1"/>
  <c r="J28" i="3"/>
  <c r="J38" i="3"/>
  <c r="K38" i="3" s="1"/>
  <c r="J27" i="3"/>
  <c r="K27" i="3" s="1"/>
  <c r="J43" i="3"/>
  <c r="U40" i="3"/>
  <c r="U33" i="3"/>
  <c r="U34" i="3"/>
  <c r="U42" i="3"/>
  <c r="P36" i="3"/>
  <c r="S36" i="3" s="1"/>
  <c r="P39" i="3"/>
  <c r="P31" i="3"/>
  <c r="S31" i="3" s="1"/>
  <c r="N43" i="3"/>
  <c r="M43" i="3"/>
  <c r="R43" i="3" s="1"/>
  <c r="Q43" i="3"/>
  <c r="N34" i="3"/>
  <c r="M34" i="3"/>
  <c r="R34" i="3" s="1"/>
  <c r="Q34" i="3"/>
  <c r="N38" i="3"/>
  <c r="Q38" i="3"/>
  <c r="M38" i="3"/>
  <c r="R38" i="3" s="1"/>
  <c r="P33" i="3"/>
  <c r="S33" i="3" s="1"/>
  <c r="P43" i="3"/>
  <c r="N39" i="3"/>
  <c r="M39" i="3"/>
  <c r="R39" i="3" s="1"/>
  <c r="Q39" i="3"/>
  <c r="P34" i="3"/>
  <c r="P42" i="3"/>
  <c r="S42" i="3" s="1"/>
  <c r="P38" i="3"/>
  <c r="U31" i="3"/>
  <c r="S44" i="3"/>
  <c r="M40" i="3"/>
  <c r="R40" i="3" s="1"/>
  <c r="N40" i="3"/>
  <c r="Q40" i="3"/>
  <c r="P40" i="3"/>
  <c r="N29" i="3"/>
  <c r="M29" i="3"/>
  <c r="R29" i="3" s="1"/>
  <c r="Q29" i="3"/>
  <c r="U38" i="3"/>
  <c r="U44" i="3"/>
  <c r="U30" i="3"/>
  <c r="U28" i="3"/>
  <c r="U43" i="3"/>
  <c r="U32" i="3"/>
  <c r="U29" i="3"/>
  <c r="U37" i="3"/>
  <c r="U36" i="3"/>
  <c r="U27" i="3"/>
  <c r="S32" i="3"/>
  <c r="T32" i="3" s="1"/>
  <c r="S35" i="3"/>
  <c r="S41" i="3"/>
  <c r="K40" i="3"/>
  <c r="K28" i="3"/>
  <c r="K42" i="3"/>
  <c r="K41" i="3"/>
  <c r="K33" i="3"/>
  <c r="S28" i="3"/>
  <c r="M1" i="3"/>
  <c r="K29" i="3"/>
  <c r="K37" i="3"/>
  <c r="K43" i="3"/>
  <c r="K30" i="3"/>
  <c r="S37" i="3"/>
  <c r="K31" i="3"/>
  <c r="K34" i="3"/>
  <c r="S30" i="3"/>
  <c r="K35" i="3"/>
  <c r="R27" i="3"/>
  <c r="D5" i="3"/>
  <c r="D6" i="3" s="1"/>
  <c r="D7" i="3" s="1"/>
  <c r="D8" i="3" s="1"/>
  <c r="E4" i="3"/>
  <c r="T36" i="3" l="1"/>
  <c r="T30" i="3"/>
  <c r="T28" i="3"/>
  <c r="T35" i="3"/>
  <c r="T37" i="3"/>
  <c r="T33" i="3"/>
  <c r="T42" i="3"/>
  <c r="T31" i="3"/>
  <c r="T41" i="3"/>
  <c r="T44" i="3"/>
  <c r="S38" i="3"/>
  <c r="T38" i="3" s="1"/>
  <c r="S39" i="3"/>
  <c r="T39" i="3" s="1"/>
  <c r="S34" i="3"/>
  <c r="T34" i="3" s="1"/>
  <c r="S43" i="3"/>
  <c r="T43" i="3" s="1"/>
  <c r="S29" i="3"/>
  <c r="T29" i="3" s="1"/>
  <c r="S40" i="3"/>
  <c r="T40" i="3" s="1"/>
  <c r="N1" i="3"/>
  <c r="E7" i="3"/>
  <c r="E6" i="3"/>
  <c r="F6" i="3"/>
  <c r="S27" i="3"/>
  <c r="T27" i="3" s="1"/>
  <c r="F7" i="3"/>
  <c r="F5" i="3"/>
  <c r="E5" i="3"/>
  <c r="F8" i="3"/>
  <c r="E8" i="3"/>
  <c r="D9" i="3"/>
  <c r="K11" i="3"/>
  <c r="K10" i="3"/>
  <c r="K13" i="3"/>
  <c r="K7" i="3"/>
  <c r="K3" i="3"/>
  <c r="K8" i="3"/>
  <c r="K5" i="3"/>
  <c r="K9" i="3"/>
  <c r="K17" i="3"/>
  <c r="K15" i="3"/>
  <c r="K14" i="3"/>
  <c r="K16" i="3"/>
  <c r="K18" i="3"/>
  <c r="K19" i="3"/>
  <c r="K4" i="3"/>
  <c r="K6" i="3"/>
  <c r="K12" i="3"/>
  <c r="Q56" i="3" l="1"/>
  <c r="G56" i="3"/>
  <c r="G46" i="3"/>
  <c r="R56" i="3"/>
  <c r="R46" i="3"/>
  <c r="C55" i="3"/>
  <c r="R55" i="3"/>
  <c r="G51" i="3"/>
  <c r="R51" i="3"/>
  <c r="C49" i="3"/>
  <c r="G59" i="3"/>
  <c r="R59" i="3"/>
  <c r="R49" i="3"/>
  <c r="C47" i="3"/>
  <c r="G57" i="3"/>
  <c r="R57" i="3"/>
  <c r="R47" i="3"/>
  <c r="C62" i="3"/>
  <c r="G54" i="3"/>
  <c r="Q54" i="3"/>
  <c r="Q62" i="3"/>
  <c r="C61" i="3"/>
  <c r="G53" i="3"/>
  <c r="Q61" i="3"/>
  <c r="Q53" i="3"/>
  <c r="C59" i="3"/>
  <c r="G49" i="3"/>
  <c r="Q49" i="3"/>
  <c r="Q59" i="3"/>
  <c r="C57" i="3"/>
  <c r="Q57" i="3"/>
  <c r="Q47" i="3"/>
  <c r="G47" i="3"/>
  <c r="C58" i="3"/>
  <c r="G48" i="3"/>
  <c r="R48" i="3"/>
  <c r="R58" i="3"/>
  <c r="C60" i="3"/>
  <c r="G45" i="3"/>
  <c r="R45" i="3"/>
  <c r="R60" i="3"/>
  <c r="C52" i="3"/>
  <c r="Q52" i="3"/>
  <c r="G50" i="3"/>
  <c r="Q50" i="3"/>
  <c r="C48" i="3"/>
  <c r="G58" i="3"/>
  <c r="Q48" i="3"/>
  <c r="S48" i="3" s="1"/>
  <c r="Q58" i="3"/>
  <c r="S58" i="3" s="1"/>
  <c r="C51" i="3"/>
  <c r="Q51" i="3"/>
  <c r="S51" i="3" s="1"/>
  <c r="Q55" i="3"/>
  <c r="S55" i="3" s="1"/>
  <c r="G55" i="3"/>
  <c r="C46" i="3"/>
  <c r="Q46" i="3"/>
  <c r="S46" i="3" s="1"/>
  <c r="C50" i="3"/>
  <c r="G52" i="3"/>
  <c r="R52" i="3"/>
  <c r="R50" i="3"/>
  <c r="C56" i="3"/>
  <c r="C53" i="3"/>
  <c r="G61" i="3"/>
  <c r="K61" i="3" s="1"/>
  <c r="R53" i="3"/>
  <c r="R61" i="3"/>
  <c r="C54" i="3"/>
  <c r="G62" i="3"/>
  <c r="K62" i="3" s="1"/>
  <c r="R62" i="3"/>
  <c r="R54" i="3"/>
  <c r="L56" i="6"/>
  <c r="M65" i="6" s="1"/>
  <c r="L54" i="6"/>
  <c r="M54" i="6"/>
  <c r="L63" i="6" s="1"/>
  <c r="M51" i="6"/>
  <c r="L60" i="6" s="1"/>
  <c r="L55" i="6"/>
  <c r="M64" i="6" s="1"/>
  <c r="M55" i="6"/>
  <c r="L52" i="6"/>
  <c r="M61" i="6" s="1"/>
  <c r="L57" i="6"/>
  <c r="M66" i="6" s="1"/>
  <c r="M52" i="6"/>
  <c r="L61" i="6" s="1"/>
  <c r="L53" i="6"/>
  <c r="M62" i="6" s="1"/>
  <c r="M53" i="6"/>
  <c r="L62" i="6" s="1"/>
  <c r="M57" i="6"/>
  <c r="L66" i="6" s="1"/>
  <c r="N66" i="6" s="1"/>
  <c r="T45" i="6" s="1"/>
  <c r="M56" i="6"/>
  <c r="L50" i="6"/>
  <c r="M59" i="6" s="1"/>
  <c r="L51" i="6"/>
  <c r="M60" i="6" s="1"/>
  <c r="M49" i="6"/>
  <c r="L58" i="6" s="1"/>
  <c r="L49" i="6"/>
  <c r="M58" i="6" s="1"/>
  <c r="O1" i="3"/>
  <c r="D10" i="3"/>
  <c r="F9" i="3"/>
  <c r="E9" i="3"/>
  <c r="K2" i="3"/>
  <c r="K52" i="3" l="1"/>
  <c r="K55" i="3"/>
  <c r="T55" i="3" s="1"/>
  <c r="K58" i="3"/>
  <c r="K49" i="3"/>
  <c r="S57" i="3"/>
  <c r="U53" i="3"/>
  <c r="K47" i="3"/>
  <c r="S59" i="3"/>
  <c r="S56" i="3"/>
  <c r="S52" i="3"/>
  <c r="T52" i="3" s="1"/>
  <c r="K48" i="3"/>
  <c r="T48" i="3" s="1"/>
  <c r="S47" i="3"/>
  <c r="S49" i="3"/>
  <c r="U48" i="3"/>
  <c r="C45" i="3"/>
  <c r="U45" i="3" s="1"/>
  <c r="Q60" i="3"/>
  <c r="S60" i="3" s="1"/>
  <c r="G60" i="3"/>
  <c r="K60" i="3" s="1"/>
  <c r="Q45" i="3"/>
  <c r="S45" i="3" s="1"/>
  <c r="T58" i="3"/>
  <c r="S50" i="3"/>
  <c r="S53" i="3"/>
  <c r="S62" i="3"/>
  <c r="K56" i="3"/>
  <c r="U56" i="3"/>
  <c r="U50" i="3"/>
  <c r="K50" i="3"/>
  <c r="S61" i="3"/>
  <c r="T61" i="3" s="1"/>
  <c r="S54" i="3"/>
  <c r="K51" i="3"/>
  <c r="T51" i="3" s="1"/>
  <c r="K53" i="3"/>
  <c r="U54" i="3"/>
  <c r="K54" i="3"/>
  <c r="K57" i="3"/>
  <c r="T57" i="3" s="1"/>
  <c r="K59" i="3"/>
  <c r="T59" i="3" s="1"/>
  <c r="K46" i="3"/>
  <c r="T46" i="3" s="1"/>
  <c r="U46" i="3"/>
  <c r="U51" i="3"/>
  <c r="U52" i="3"/>
  <c r="U58" i="3"/>
  <c r="U57" i="3"/>
  <c r="U59" i="3"/>
  <c r="U61" i="3"/>
  <c r="U62" i="3"/>
  <c r="T62" i="3"/>
  <c r="U47" i="3"/>
  <c r="U49" i="3"/>
  <c r="U55" i="3"/>
  <c r="O66" i="6"/>
  <c r="O60" i="6"/>
  <c r="O62" i="6"/>
  <c r="O55" i="6"/>
  <c r="L64" i="6"/>
  <c r="O64" i="6" s="1"/>
  <c r="N54" i="6"/>
  <c r="T33" i="6" s="1"/>
  <c r="M63" i="6"/>
  <c r="N60" i="6"/>
  <c r="T39" i="6" s="1"/>
  <c r="N62" i="6"/>
  <c r="T41" i="6" s="1"/>
  <c r="O61" i="6"/>
  <c r="O58" i="6"/>
  <c r="O56" i="6"/>
  <c r="L65" i="6"/>
  <c r="N61" i="6"/>
  <c r="T40" i="6" s="1"/>
  <c r="N58" i="6"/>
  <c r="T37" i="6" s="1"/>
  <c r="O57" i="6"/>
  <c r="N51" i="6"/>
  <c r="T30" i="6" s="1"/>
  <c r="O52" i="6"/>
  <c r="N53" i="6"/>
  <c r="T32" i="6" s="1"/>
  <c r="M50" i="6"/>
  <c r="N55" i="6"/>
  <c r="T34" i="6" s="1"/>
  <c r="O49" i="6"/>
  <c r="N56" i="6"/>
  <c r="T35" i="6" s="1"/>
  <c r="N57" i="6"/>
  <c r="T36" i="6" s="1"/>
  <c r="O51" i="6"/>
  <c r="O53" i="6"/>
  <c r="N52" i="6"/>
  <c r="T31" i="6" s="1"/>
  <c r="O54" i="6"/>
  <c r="N49" i="6"/>
  <c r="T28" i="6" s="1"/>
  <c r="P1" i="3"/>
  <c r="D11" i="3"/>
  <c r="F10" i="3"/>
  <c r="E10" i="3"/>
  <c r="L12" i="3"/>
  <c r="L9" i="3"/>
  <c r="L19" i="3"/>
  <c r="L5" i="3"/>
  <c r="L15" i="3"/>
  <c r="L18" i="3"/>
  <c r="L3" i="3"/>
  <c r="L16" i="3"/>
  <c r="L8" i="3"/>
  <c r="L14" i="3"/>
  <c r="U60" i="3" l="1"/>
  <c r="T49" i="3"/>
  <c r="N30" i="6"/>
  <c r="N26" i="6"/>
  <c r="N27" i="6"/>
  <c r="N34" i="6"/>
  <c r="M30" i="6"/>
  <c r="O30" i="6" s="1"/>
  <c r="Q30" i="6" s="1"/>
  <c r="N31" i="6"/>
  <c r="P31" i="6" s="1"/>
  <c r="R31" i="6" s="1"/>
  <c r="N29" i="6"/>
  <c r="M31" i="6"/>
  <c r="M32" i="6"/>
  <c r="N32" i="6"/>
  <c r="M27" i="6"/>
  <c r="O27" i="6" s="1"/>
  <c r="Q27" i="6" s="1"/>
  <c r="T56" i="3"/>
  <c r="T47" i="3"/>
  <c r="N33" i="6"/>
  <c r="T60" i="3"/>
  <c r="T54" i="3"/>
  <c r="T53" i="3"/>
  <c r="K45" i="3"/>
  <c r="T45" i="3" s="1"/>
  <c r="T50" i="3"/>
  <c r="N65" i="6"/>
  <c r="T44" i="6" s="1"/>
  <c r="O65" i="6"/>
  <c r="N64" i="6"/>
  <c r="T43" i="6" s="1"/>
  <c r="O63" i="6"/>
  <c r="N63" i="6"/>
  <c r="T42" i="6" s="1"/>
  <c r="O50" i="6"/>
  <c r="C3" i="6" s="1"/>
  <c r="L59" i="6"/>
  <c r="N50" i="6"/>
  <c r="T29" i="6" s="1"/>
  <c r="Q1" i="3"/>
  <c r="E11" i="3"/>
  <c r="D12" i="3"/>
  <c r="F11" i="3"/>
  <c r="L6" i="3"/>
  <c r="L17" i="3"/>
  <c r="L11" i="3"/>
  <c r="L2" i="3"/>
  <c r="L4" i="3"/>
  <c r="L13" i="3"/>
  <c r="L7" i="3"/>
  <c r="L10" i="3"/>
  <c r="P32" i="6" l="1"/>
  <c r="R32" i="6" s="1"/>
  <c r="P27" i="6"/>
  <c r="M29" i="6"/>
  <c r="O29" i="6" s="1"/>
  <c r="Q29" i="6" s="1"/>
  <c r="O32" i="6"/>
  <c r="Q32" i="6" s="1"/>
  <c r="M34" i="6"/>
  <c r="O34" i="6" s="1"/>
  <c r="Q34" i="6" s="1"/>
  <c r="O31" i="6"/>
  <c r="Q31" i="6" s="1"/>
  <c r="P30" i="6"/>
  <c r="R30" i="6" s="1"/>
  <c r="M28" i="6"/>
  <c r="M26" i="6"/>
  <c r="O26" i="6" s="1"/>
  <c r="M33" i="6"/>
  <c r="O33" i="6" s="1"/>
  <c r="Q33" i="6" s="1"/>
  <c r="N28" i="6"/>
  <c r="R27" i="6"/>
  <c r="P34" i="6"/>
  <c r="R34" i="6" s="1"/>
  <c r="P26" i="6"/>
  <c r="P29" i="6"/>
  <c r="R29" i="6" s="1"/>
  <c r="N59" i="6"/>
  <c r="T38" i="6" s="1"/>
  <c r="O59" i="6"/>
  <c r="R1" i="3"/>
  <c r="F12" i="3"/>
  <c r="E12" i="3"/>
  <c r="D13" i="3"/>
  <c r="P28" i="6" l="1"/>
  <c r="R28" i="6" s="1"/>
  <c r="P33" i="6"/>
  <c r="R33" i="6" s="1"/>
  <c r="O28" i="6"/>
  <c r="Q28" i="6" s="1"/>
  <c r="S1" i="3"/>
  <c r="D14" i="3"/>
  <c r="F13" i="3"/>
  <c r="E13" i="3"/>
  <c r="T1" i="3" l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D15" i="3"/>
  <c r="F14" i="3"/>
  <c r="E14" i="3"/>
  <c r="E15" i="3" l="1"/>
  <c r="D16" i="3"/>
  <c r="F15" i="3"/>
  <c r="F16" i="3" l="1"/>
  <c r="E16" i="3"/>
  <c r="D17" i="3"/>
  <c r="D18" i="3" l="1"/>
  <c r="F17" i="3"/>
  <c r="E17" i="3"/>
  <c r="D19" i="3" l="1"/>
  <c r="F18" i="3"/>
  <c r="E18" i="3"/>
  <c r="E19" i="3" l="1"/>
  <c r="D20" i="3"/>
  <c r="F19" i="3"/>
  <c r="F20" i="3" l="1"/>
  <c r="E20" i="3"/>
  <c r="D21" i="3"/>
  <c r="D22" i="3" l="1"/>
  <c r="F21" i="3"/>
  <c r="E21" i="3"/>
  <c r="D23" i="3" l="1"/>
  <c r="F22" i="3"/>
  <c r="E22" i="3"/>
  <c r="E23" i="3" l="1"/>
  <c r="D24" i="3"/>
  <c r="F23" i="3"/>
  <c r="F24" i="3" l="1"/>
  <c r="E24" i="3"/>
  <c r="AC28" i="3" l="1"/>
  <c r="F2" i="2" s="1"/>
  <c r="AC27" i="3"/>
  <c r="E2" i="2" s="1"/>
  <c r="AC26" i="3" l="1"/>
  <c r="D2" i="2" s="1"/>
</calcChain>
</file>

<file path=xl/sharedStrings.xml><?xml version="1.0" encoding="utf-8"?>
<sst xmlns="http://schemas.openxmlformats.org/spreadsheetml/2006/main" count="246" uniqueCount="85">
  <si>
    <t>Week</t>
  </si>
  <si>
    <t>Home</t>
  </si>
  <si>
    <t>G</t>
  </si>
  <si>
    <t>B</t>
  </si>
  <si>
    <t>Score</t>
  </si>
  <si>
    <t>Visitor</t>
  </si>
  <si>
    <t>Winner</t>
  </si>
  <si>
    <t>Richmond</t>
  </si>
  <si>
    <t>Carlton</t>
  </si>
  <si>
    <t>Essendon</t>
  </si>
  <si>
    <t>Adelaide</t>
  </si>
  <si>
    <t>St. Kilda</t>
  </si>
  <si>
    <t>Brisbane Lions</t>
  </si>
  <si>
    <t>Port Adelaide</t>
  </si>
  <si>
    <t>Fremantle</t>
  </si>
  <si>
    <t>Gold Coast</t>
  </si>
  <si>
    <t>North Melbourne</t>
  </si>
  <si>
    <t>Hawthorn</t>
  </si>
  <si>
    <t>Collingwood</t>
  </si>
  <si>
    <t>GWS</t>
  </si>
  <si>
    <t>Western Bulldogs</t>
  </si>
  <si>
    <t>Melbourne</t>
  </si>
  <si>
    <t>Geelong</t>
  </si>
  <si>
    <t>West Coast</t>
  </si>
  <si>
    <t>Sydney</t>
  </si>
  <si>
    <t>k</t>
  </si>
  <si>
    <t>scale</t>
  </si>
  <si>
    <t>MVC</t>
  </si>
  <si>
    <t>HFA</t>
  </si>
  <si>
    <t>Home?</t>
  </si>
  <si>
    <t>Shared field?</t>
  </si>
  <si>
    <t>Team</t>
  </si>
  <si>
    <t>Prior Elo</t>
  </si>
  <si>
    <t>Opp prior Elo</t>
  </si>
  <si>
    <t>Opponent</t>
  </si>
  <si>
    <t>Start row</t>
  </si>
  <si>
    <t>End row</t>
  </si>
  <si>
    <t>FLIP Visitor</t>
  </si>
  <si>
    <t>FLIP G</t>
  </si>
  <si>
    <t>FLIP B</t>
  </si>
  <si>
    <t>FLIP Score</t>
  </si>
  <si>
    <t>FLIP Home</t>
  </si>
  <si>
    <t>FLIP Shared?</t>
  </si>
  <si>
    <t>startrow</t>
  </si>
  <si>
    <t>endrow</t>
  </si>
  <si>
    <t>TEAMS</t>
  </si>
  <si>
    <t>Shared site?</t>
  </si>
  <si>
    <t>Expected</t>
  </si>
  <si>
    <t>Actual</t>
  </si>
  <si>
    <t>PtDiff</t>
  </si>
  <si>
    <t>FLIP Winner</t>
  </si>
  <si>
    <t>FLIP PtDiff</t>
  </si>
  <si>
    <t>Loser</t>
  </si>
  <si>
    <t>Margin of victory factor</t>
  </si>
  <si>
    <t>Winner Prior Elo</t>
  </si>
  <si>
    <t>Loser Prior Elo</t>
  </si>
  <si>
    <t>ln(abs(1+PD))</t>
  </si>
  <si>
    <t>Team New Elo</t>
  </si>
  <si>
    <t>Exp x actual</t>
  </si>
  <si>
    <t>Elodiff vs ptdiff</t>
  </si>
  <si>
    <t>Range</t>
  </si>
  <si>
    <t>end row</t>
  </si>
  <si>
    <t>Elodiff x ptdiff</t>
  </si>
  <si>
    <t>elodiff</t>
  </si>
  <si>
    <t>r^2 of fit</t>
  </si>
  <si>
    <t>Elo diff</t>
  </si>
  <si>
    <t>Factor</t>
  </si>
  <si>
    <t>Pred margin</t>
  </si>
  <si>
    <t>Actual margin</t>
  </si>
  <si>
    <t>Prob win</t>
  </si>
  <si>
    <t>Result</t>
  </si>
  <si>
    <t>Pred result</t>
  </si>
  <si>
    <t>Pred x actual</t>
  </si>
  <si>
    <t>Correct?</t>
  </si>
  <si>
    <t>Hits</t>
  </si>
  <si>
    <t>Misses</t>
  </si>
  <si>
    <t>Team A prior Elo</t>
  </si>
  <si>
    <t>Tean B prior Elo</t>
  </si>
  <si>
    <t>New factor</t>
  </si>
  <si>
    <t>Avg prob</t>
  </si>
  <si>
    <t>North Melborune</t>
  </si>
  <si>
    <t>-</t>
  </si>
  <si>
    <t>Wk</t>
  </si>
  <si>
    <t>OVERALL</t>
  </si>
  <si>
    <t>Math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</si>
</sst>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2" tint="-0.499984740745262"/>
      <name val="Calibri"/>
      <family val="2"/>
      <scheme val="minor"/>
    </font>
    <font>
      <i/>
      <sz val="12"/>
      <color theme="2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NumberFormat="1" applyFont="1" applyAlignment="1">
      <alignment wrapText="1"/>
    </xf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4" fillId="0" borderId="0" xfId="0" applyNumberFormat="1" applyFont="1" applyAlignment="1">
      <alignment wrapText="1"/>
    </xf>
    <xf numFmtId="0" fontId="5" fillId="0" borderId="0" xfId="0" applyFont="1"/>
    <xf numFmtId="0" fontId="6" fillId="0" borderId="0" xfId="0" applyFont="1"/>
    <xf numFmtId="1" fontId="1" fillId="0" borderId="0" xfId="0" applyNumberFormat="1" applyFon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" fontId="0" fillId="0" borderId="0" xfId="0" applyNumberFormat="1" applyFont="1"/>
    <xf numFmtId="0" fontId="7" fillId="0" borderId="0" xfId="0" applyFont="1"/>
    <xf numFmtId="0" fontId="7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8088968129588157"/>
                  <c:y val="-0.5240829652391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Predictions!$O$7:$O$24</c:f>
              <c:numCache>
                <c:formatCode>0</c:formatCode>
                <c:ptCount val="18"/>
                <c:pt idx="0">
                  <c:v>-460.51482905934267</c:v>
                </c:pt>
                <c:pt idx="1">
                  <c:v>-3.6183613497821625</c:v>
                </c:pt>
                <c:pt idx="2">
                  <c:v>112.68825047218843</c:v>
                </c:pt>
                <c:pt idx="3">
                  <c:v>-105.36326009105005</c:v>
                </c:pt>
                <c:pt idx="4">
                  <c:v>-214.42629067985649</c:v>
                </c:pt>
                <c:pt idx="5">
                  <c:v>-161.24937033844617</c:v>
                </c:pt>
                <c:pt idx="6">
                  <c:v>42.86054949138088</c:v>
                </c:pt>
                <c:pt idx="7">
                  <c:v>-59.363231938076751</c:v>
                </c:pt>
                <c:pt idx="8">
                  <c:v>-116.65851652256379</c:v>
                </c:pt>
                <c:pt idx="9">
                  <c:v>460.51482905934267</c:v>
                </c:pt>
                <c:pt idx="10">
                  <c:v>3.6183613497821625</c:v>
                </c:pt>
                <c:pt idx="11">
                  <c:v>-112.68825047218843</c:v>
                </c:pt>
                <c:pt idx="12">
                  <c:v>105.36326009105005</c:v>
                </c:pt>
                <c:pt idx="13">
                  <c:v>214.42629067985649</c:v>
                </c:pt>
                <c:pt idx="14">
                  <c:v>161.24937033844617</c:v>
                </c:pt>
                <c:pt idx="15">
                  <c:v>-42.86054949138088</c:v>
                </c:pt>
                <c:pt idx="16">
                  <c:v>59.363231938076751</c:v>
                </c:pt>
                <c:pt idx="17">
                  <c:v>116.65851652256379</c:v>
                </c:pt>
              </c:numCache>
            </c:numRef>
          </c:xVal>
          <c:yVal>
            <c:numRef>
              <c:f>Predictions!$V$7:$V$24</c:f>
              <c:numCache>
                <c:formatCode>General</c:formatCode>
                <c:ptCount val="18"/>
                <c:pt idx="0">
                  <c:v>-33</c:v>
                </c:pt>
                <c:pt idx="1">
                  <c:v>-7</c:v>
                </c:pt>
                <c:pt idx="2">
                  <c:v>-26</c:v>
                </c:pt>
                <c:pt idx="3">
                  <c:v>-32</c:v>
                </c:pt>
                <c:pt idx="4">
                  <c:v>44</c:v>
                </c:pt>
                <c:pt idx="5">
                  <c:v>17</c:v>
                </c:pt>
                <c:pt idx="6">
                  <c:v>1</c:v>
                </c:pt>
                <c:pt idx="7">
                  <c:v>72</c:v>
                </c:pt>
                <c:pt idx="8">
                  <c:v>82</c:v>
                </c:pt>
                <c:pt idx="9">
                  <c:v>-44</c:v>
                </c:pt>
                <c:pt idx="10">
                  <c:v>-26</c:v>
                </c:pt>
                <c:pt idx="11">
                  <c:v>-11</c:v>
                </c:pt>
                <c:pt idx="12">
                  <c:v>16</c:v>
                </c:pt>
                <c:pt idx="13">
                  <c:v>52</c:v>
                </c:pt>
                <c:pt idx="14">
                  <c:v>80</c:v>
                </c:pt>
                <c:pt idx="15">
                  <c:v>-20</c:v>
                </c:pt>
                <c:pt idx="16">
                  <c:v>-19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8-E94C-A087-571EE4E1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73775"/>
        <c:axId val="1017376815"/>
      </c:scatterChart>
      <c:valAx>
        <c:axId val="10162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376815"/>
        <c:crosses val="autoZero"/>
        <c:crossBetween val="midCat"/>
      </c:valAx>
      <c:valAx>
        <c:axId val="101737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27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Elo ratings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42093081304315E-2"/>
          <c:y val="5.8312227293244402E-2"/>
          <c:w val="0.93953283487258621"/>
          <c:h val="0.79638698028988419"/>
        </c:manualLayout>
      </c:layout>
      <c:lineChart>
        <c:grouping val="standard"/>
        <c:varyColors val="0"/>
        <c:ser>
          <c:idx val="1"/>
          <c:order val="0"/>
          <c:tx>
            <c:strRef>
              <c:f>Calculations!$I$2</c:f>
              <c:strCache>
                <c:ptCount val="1"/>
                <c:pt idx="0">
                  <c:v>Adelaide</c:v>
                </c:pt>
              </c:strCache>
            </c:strRef>
          </c:tx>
          <c:spPr>
            <a:ln w="6350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Calculations!$J$2:$AG$2</c:f>
              <c:numCache>
                <c:formatCode>0</c:formatCode>
                <c:ptCount val="24"/>
                <c:pt idx="0">
                  <c:v>1490.9311019254426</c:v>
                </c:pt>
                <c:pt idx="1">
                  <c:v>1531.7472311179511</c:v>
                </c:pt>
                <c:pt idx="2">
                  <c:v>1462.2529411121789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A-4B40-9D05-59AF873A8988}"/>
            </c:ext>
          </c:extLst>
        </c:ser>
        <c:ser>
          <c:idx val="0"/>
          <c:order val="1"/>
          <c:tx>
            <c:strRef>
              <c:f>Calculations!$I$3</c:f>
              <c:strCache>
                <c:ptCount val="1"/>
                <c:pt idx="0">
                  <c:v>Brisbane Lions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Calculations!$J$3:$AG$3</c:f>
              <c:numCache>
                <c:formatCode>0</c:formatCode>
                <c:ptCount val="24"/>
                <c:pt idx="0">
                  <c:v>1397.9857413105381</c:v>
                </c:pt>
                <c:pt idx="1">
                  <c:v>1311.2754335136724</c:v>
                </c:pt>
                <c:pt idx="2">
                  <c:v>1231.5758965344385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F-844A-88C1-BA3CE65199F8}"/>
            </c:ext>
          </c:extLst>
        </c:ser>
        <c:ser>
          <c:idx val="2"/>
          <c:order val="2"/>
          <c:tx>
            <c:strRef>
              <c:f>Calculations!$I$4</c:f>
              <c:strCache>
                <c:ptCount val="1"/>
                <c:pt idx="0">
                  <c:v>Carlton</c:v>
                </c:pt>
              </c:strCache>
            </c:strRef>
          </c:tx>
          <c:spPr>
            <a:ln w="603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1"/>
              </a:solidFill>
              <a:ln w="2857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Calculations!$J$4:$AG$4</c:f>
              <c:numCache>
                <c:formatCode>0</c:formatCode>
                <c:ptCount val="24"/>
                <c:pt idx="0">
                  <c:v>1238.724123734798</c:v>
                </c:pt>
                <c:pt idx="1">
                  <c:v>1245.3919863973142</c:v>
                </c:pt>
                <c:pt idx="2">
                  <c:v>1264.1913979126564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F-844A-88C1-BA3CE65199F8}"/>
            </c:ext>
          </c:extLst>
        </c:ser>
        <c:ser>
          <c:idx val="3"/>
          <c:order val="3"/>
          <c:tx>
            <c:strRef>
              <c:f>Calculations!$I$5</c:f>
              <c:strCache>
                <c:ptCount val="1"/>
                <c:pt idx="0">
                  <c:v>Collingwood</c:v>
                </c:pt>
              </c:strCache>
            </c:strRef>
          </c:tx>
          <c:spPr>
            <a:ln w="476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Calculations!$J$5:$AG$5</c:f>
              <c:numCache>
                <c:formatCode>0</c:formatCode>
                <c:ptCount val="24"/>
                <c:pt idx="0">
                  <c:v>1608.618441772051</c:v>
                </c:pt>
                <c:pt idx="1">
                  <c:v>1639.4740673902973</c:v>
                </c:pt>
                <c:pt idx="2">
                  <c:v>1573.3640858996971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F-844A-88C1-BA3CE65199F8}"/>
            </c:ext>
          </c:extLst>
        </c:ser>
        <c:ser>
          <c:idx val="4"/>
          <c:order val="4"/>
          <c:tx>
            <c:strRef>
              <c:f>Calculations!$I$6</c:f>
              <c:strCache>
                <c:ptCount val="1"/>
                <c:pt idx="0">
                  <c:v>Essendon</c:v>
                </c:pt>
              </c:strCache>
            </c:strRef>
          </c:tx>
          <c:spPr>
            <a:ln w="47625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Calculations!$J$6:$AG$6</c:f>
              <c:numCache>
                <c:formatCode>0</c:formatCode>
                <c:ptCount val="24"/>
                <c:pt idx="0">
                  <c:v>1601.4282319365727</c:v>
                </c:pt>
                <c:pt idx="1">
                  <c:v>1671.6280088387439</c:v>
                </c:pt>
                <c:pt idx="2">
                  <c:v>1740.2003717172806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8F-844A-88C1-BA3CE65199F8}"/>
            </c:ext>
          </c:extLst>
        </c:ser>
        <c:ser>
          <c:idx val="5"/>
          <c:order val="5"/>
          <c:tx>
            <c:strRef>
              <c:f>Calculations!$I$7</c:f>
              <c:strCache>
                <c:ptCount val="1"/>
                <c:pt idx="0">
                  <c:v>Fremantle</c:v>
                </c:pt>
              </c:strCache>
            </c:strRef>
          </c:tx>
          <c:spPr>
            <a:ln w="4762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Calculations!$J$7:$AG$7</c:f>
              <c:numCache>
                <c:formatCode>0</c:formatCode>
                <c:ptCount val="24"/>
                <c:pt idx="0">
                  <c:v>1381.1866660838568</c:v>
                </c:pt>
                <c:pt idx="1">
                  <c:v>1297.7325858586607</c:v>
                </c:pt>
                <c:pt idx="2">
                  <c:v>1317.3735860179418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8F-844A-88C1-BA3CE65199F8}"/>
            </c:ext>
          </c:extLst>
        </c:ser>
        <c:ser>
          <c:idx val="6"/>
          <c:order val="6"/>
          <c:tx>
            <c:strRef>
              <c:f>Calculations!$I$8</c:f>
              <c:strCache>
                <c:ptCount val="1"/>
                <c:pt idx="0">
                  <c:v>Geelong</c:v>
                </c:pt>
              </c:strCache>
            </c:strRef>
          </c:tx>
          <c:spPr>
            <a:ln w="476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Calculations!$J$8:$AG$8</c:f>
              <c:numCache>
                <c:formatCode>0</c:formatCode>
                <c:ptCount val="24"/>
                <c:pt idx="0">
                  <c:v>1612.2368031218332</c:v>
                </c:pt>
                <c:pt idx="1">
                  <c:v>1581.381177503587</c:v>
                </c:pt>
                <c:pt idx="2">
                  <c:v>1501.5249946390281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8F-844A-88C1-BA3CE65199F8}"/>
            </c:ext>
          </c:extLst>
        </c:ser>
        <c:ser>
          <c:idx val="7"/>
          <c:order val="7"/>
          <c:tx>
            <c:strRef>
              <c:f>Calculations!$I$9</c:f>
              <c:strCache>
                <c:ptCount val="1"/>
                <c:pt idx="0">
                  <c:v>Gold Coast</c:v>
                </c:pt>
              </c:strCache>
            </c:strRef>
          </c:tx>
          <c:spPr>
            <a:ln w="476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Calculations!$J$9:$AG$9</c:f>
              <c:numCache>
                <c:formatCode>0</c:formatCode>
                <c:ptCount val="24"/>
                <c:pt idx="0">
                  <c:v>1279.1520561496998</c:v>
                </c:pt>
                <c:pt idx="1">
                  <c:v>1287.365079697151</c:v>
                </c:pt>
                <c:pt idx="2">
                  <c:v>1267.72407953787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8F-844A-88C1-BA3CE65199F8}"/>
            </c:ext>
          </c:extLst>
        </c:ser>
        <c:ser>
          <c:idx val="8"/>
          <c:order val="8"/>
          <c:tx>
            <c:strRef>
              <c:f>Calculations!$I$10</c:f>
              <c:strCache>
                <c:ptCount val="1"/>
                <c:pt idx="0">
                  <c:v>GWS</c:v>
                </c:pt>
              </c:strCache>
            </c:strRef>
          </c:tx>
          <c:spPr>
            <a:ln w="476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Calculations!$J$10:$AG$10</c:f>
              <c:numCache>
                <c:formatCode>0</c:formatCode>
                <c:ptCount val="24"/>
                <c:pt idx="0">
                  <c:v>1542.064999998496</c:v>
                </c:pt>
                <c:pt idx="1">
                  <c:v>1471.8652230963248</c:v>
                </c:pt>
                <c:pt idx="2">
                  <c:v>1493.4448157117281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8F-844A-88C1-BA3CE65199F8}"/>
            </c:ext>
          </c:extLst>
        </c:ser>
        <c:ser>
          <c:idx val="9"/>
          <c:order val="9"/>
          <c:tx>
            <c:strRef>
              <c:f>Calculations!$I$11</c:f>
              <c:strCache>
                <c:ptCount val="1"/>
                <c:pt idx="0">
                  <c:v>Hawthorn</c:v>
                </c:pt>
              </c:strCache>
            </c:strRef>
          </c:tx>
          <c:spPr>
            <a:ln w="47625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11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Calculations!$J$11:$AG$11</c:f>
              <c:numCache>
                <c:formatCode>0</c:formatCode>
                <c:ptCount val="24"/>
                <c:pt idx="0">
                  <c:v>1596.2943620164926</c:v>
                </c:pt>
                <c:pt idx="1">
                  <c:v>1555.4782328239842</c:v>
                </c:pt>
                <c:pt idx="2">
                  <c:v>1627.1341195580198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8F-844A-88C1-BA3CE65199F8}"/>
            </c:ext>
          </c:extLst>
        </c:ser>
        <c:ser>
          <c:idx val="10"/>
          <c:order val="10"/>
          <c:tx>
            <c:strRef>
              <c:f>Calculations!$I$12</c:f>
              <c:strCache>
                <c:ptCount val="1"/>
                <c:pt idx="0">
                  <c:v>Melbourne</c:v>
                </c:pt>
              </c:strCache>
            </c:strRef>
          </c:tx>
          <c:spPr>
            <a:ln w="476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Calculations!$J$12:$AG$12</c:f>
              <c:numCache>
                <c:formatCode>0</c:formatCode>
                <c:ptCount val="24"/>
                <c:pt idx="0">
                  <c:v>1612.1217188843602</c:v>
                </c:pt>
                <c:pt idx="1">
                  <c:v>1681.5760268443969</c:v>
                </c:pt>
                <c:pt idx="2">
                  <c:v>1761.4322097089557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8-744C-86C9-BF674F47F8BB}"/>
            </c:ext>
          </c:extLst>
        </c:ser>
        <c:ser>
          <c:idx val="11"/>
          <c:order val="11"/>
          <c:tx>
            <c:strRef>
              <c:f>Calculations!$I$13</c:f>
              <c:strCache>
                <c:ptCount val="1"/>
                <c:pt idx="0">
                  <c:v>North Melbourne</c:v>
                </c:pt>
              </c:strCache>
            </c:strRef>
          </c:tx>
          <c:spPr>
            <a:ln w="47625" cap="rnd">
              <a:solidFill>
                <a:schemeClr val="accent1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square"/>
            <c:size val="11"/>
            <c:spPr>
              <a:solidFill>
                <a:schemeClr val="bg1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Calculations!$J$13:$AG$13</c:f>
              <c:numCache>
                <c:formatCode>0</c:formatCode>
                <c:ptCount val="24"/>
                <c:pt idx="0">
                  <c:v>1497.8451826064206</c:v>
                </c:pt>
                <c:pt idx="1">
                  <c:v>1581.2992628316167</c:v>
                </c:pt>
                <c:pt idx="2">
                  <c:v>1660.9987998108509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8-744C-86C9-BF674F47F8BB}"/>
            </c:ext>
          </c:extLst>
        </c:ser>
        <c:ser>
          <c:idx val="12"/>
          <c:order val="12"/>
          <c:tx>
            <c:strRef>
              <c:f>Calculations!$I$14</c:f>
              <c:strCache>
                <c:ptCount val="1"/>
                <c:pt idx="0">
                  <c:v>Port Adelaide</c:v>
                </c:pt>
              </c:strCache>
            </c:strRef>
          </c:tx>
          <c:spPr>
            <a:ln w="476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13"/>
            <c:spPr>
              <a:solidFill>
                <a:schemeClr val="tx1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Calculations!$J$14:$AG$14</c:f>
              <c:numCache>
                <c:formatCode>0</c:formatCode>
                <c:ptCount val="24"/>
                <c:pt idx="0">
                  <c:v>1499.4334684121718</c:v>
                </c:pt>
                <c:pt idx="1">
                  <c:v>1429.9791604521351</c:v>
                </c:pt>
                <c:pt idx="2">
                  <c:v>1411.179748936793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8-744C-86C9-BF674F47F8BB}"/>
            </c:ext>
          </c:extLst>
        </c:ser>
        <c:ser>
          <c:idx val="13"/>
          <c:order val="13"/>
          <c:tx>
            <c:strRef>
              <c:f>Calculations!$I$15</c:f>
              <c:strCache>
                <c:ptCount val="1"/>
                <c:pt idx="0">
                  <c:v>Richmond</c:v>
                </c:pt>
              </c:strCache>
            </c:strRef>
          </c:tx>
          <c:spPr>
            <a:ln w="476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Calculations!$J$15:$AG$15</c:f>
              <c:numCache>
                <c:formatCode>0</c:formatCode>
                <c:ptCount val="24"/>
                <c:pt idx="0">
                  <c:v>1699.2389527941407</c:v>
                </c:pt>
                <c:pt idx="1">
                  <c:v>1692.5710901316245</c:v>
                </c:pt>
                <c:pt idx="2">
                  <c:v>1758.6810716222246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8-744C-86C9-BF674F47F8BB}"/>
            </c:ext>
          </c:extLst>
        </c:ser>
        <c:ser>
          <c:idx val="14"/>
          <c:order val="14"/>
          <c:tx>
            <c:strRef>
              <c:f>Calculations!$I$16</c:f>
              <c:strCache>
                <c:ptCount val="1"/>
                <c:pt idx="0">
                  <c:v>St. Kilda</c:v>
                </c:pt>
              </c:strCache>
            </c:strRef>
          </c:tx>
          <c:spPr>
            <a:ln w="476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  <a:ln w="25400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Calculations!$J$16:$AG$16</c:f>
              <c:numCache>
                <c:formatCode>0</c:formatCode>
                <c:ptCount val="24"/>
                <c:pt idx="0">
                  <c:v>1322.0126056410807</c:v>
                </c:pt>
                <c:pt idx="1">
                  <c:v>1313.7995820936294</c:v>
                </c:pt>
                <c:pt idx="2">
                  <c:v>1245.2272192150926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D8-744C-86C9-BF674F47F8BB}"/>
            </c:ext>
          </c:extLst>
        </c:ser>
        <c:ser>
          <c:idx val="15"/>
          <c:order val="15"/>
          <c:tx>
            <c:strRef>
              <c:f>Calculations!$I$17</c:f>
              <c:strCache>
                <c:ptCount val="1"/>
                <c:pt idx="0">
                  <c:v>Sydney</c:v>
                </c:pt>
              </c:strCache>
            </c:strRef>
          </c:tx>
          <c:spPr>
            <a:ln w="47625" cap="rnd">
              <a:solidFill>
                <a:srgbClr val="FF515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bg1"/>
              </a:solidFill>
              <a:ln w="9525">
                <a:solidFill>
                  <a:srgbClr val="FF5154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Calculations!$J$17:$AG$17</c:f>
              <c:numCache>
                <c:formatCode>0</c:formatCode>
                <c:ptCount val="24"/>
                <c:pt idx="0">
                  <c:v>1584.7814409800485</c:v>
                </c:pt>
                <c:pt idx="1">
                  <c:v>1644.7451392469115</c:v>
                </c:pt>
                <c:pt idx="2">
                  <c:v>1714.2394292526837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D8-744C-86C9-BF674F47F8BB}"/>
            </c:ext>
          </c:extLst>
        </c:ser>
        <c:ser>
          <c:idx val="16"/>
          <c:order val="16"/>
          <c:tx>
            <c:strRef>
              <c:f>Calculations!$I$18</c:f>
              <c:strCache>
                <c:ptCount val="1"/>
                <c:pt idx="0">
                  <c:v>West Coast</c:v>
                </c:pt>
              </c:strCache>
            </c:strRef>
          </c:tx>
          <c:spPr>
            <a:ln w="476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Calculations!$J$18:$AG$18</c:f>
              <c:numCache>
                <c:formatCode>0</c:formatCode>
                <c:ptCount val="24"/>
                <c:pt idx="0">
                  <c:v>1612.4120319903946</c:v>
                </c:pt>
                <c:pt idx="1">
                  <c:v>1699.1223397872602</c:v>
                </c:pt>
                <c:pt idx="2">
                  <c:v>1677.5427471718569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D8-744C-86C9-BF674F47F8BB}"/>
            </c:ext>
          </c:extLst>
        </c:ser>
        <c:ser>
          <c:idx val="17"/>
          <c:order val="17"/>
          <c:tx>
            <c:strRef>
              <c:f>Calculations!$I$19</c:f>
              <c:strCache>
                <c:ptCount val="1"/>
                <c:pt idx="0">
                  <c:v>Western Bulldogs</c:v>
                </c:pt>
              </c:strCache>
            </c:strRef>
          </c:tx>
          <c:spPr>
            <a:ln w="476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cat>
            <c:numRef>
              <c:f>Calculations!$J$1:$AG$1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Calculations!$J$19:$AG$19</c:f>
              <c:numCache>
                <c:formatCode>0</c:formatCode>
                <c:ptCount val="24"/>
                <c:pt idx="0">
                  <c:v>1423.5320706416023</c:v>
                </c:pt>
                <c:pt idx="1">
                  <c:v>1363.5683723747393</c:v>
                </c:pt>
                <c:pt idx="2">
                  <c:v>1291.9124856407036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D8-744C-86C9-BF674F47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780560"/>
        <c:axId val="758782240"/>
      </c:lineChart>
      <c:catAx>
        <c:axId val="7587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2240"/>
        <c:crosses val="autoZero"/>
        <c:auto val="1"/>
        <c:lblAlgn val="ctr"/>
        <c:lblOffset val="100"/>
        <c:noMultiLvlLbl val="0"/>
      </c:catAx>
      <c:valAx>
        <c:axId val="758782240"/>
        <c:scaling>
          <c:orientation val="minMax"/>
          <c:max val="1800"/>
          <c:min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Regression: Are Elo ratings predictive</a:t>
            </a:r>
            <a:r>
              <a:rPr lang="en-US" sz="2000" baseline="0"/>
              <a:t> of margin of victory?</a:t>
            </a:r>
            <a:endParaRPr lang="en-US" sz="2000"/>
          </a:p>
        </c:rich>
      </c:tx>
      <c:layout>
        <c:manualLayout>
          <c:xMode val="edge"/>
          <c:yMode val="edge"/>
          <c:x val="1.5739828604847027E-2"/>
          <c:y val="2.2174374391375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013316244550899E-2"/>
                  <c:y val="-0.27090180815594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Calculations!$U$45:$U$422</c:f>
              <c:numCache>
                <c:formatCode>0</c:formatCode>
                <c:ptCount val="378"/>
                <c:pt idx="0">
                  <c:v>-112.99790812896049</c:v>
                </c:pt>
                <c:pt idx="1">
                  <c:v>-270.02382931794432</c:v>
                </c:pt>
                <c:pt idx="2">
                  <c:v>-184.58717405482093</c:v>
                </c:pt>
                <c:pt idx="3">
                  <c:v>-53.097022741327237</c:v>
                </c:pt>
                <c:pt idx="4">
                  <c:v>357.82842674511448</c:v>
                </c:pt>
                <c:pt idx="5">
                  <c:v>10.367506161509709</c:v>
                </c:pt>
                <c:pt idx="6">
                  <c:v>-100.19484934080992</c:v>
                </c:pt>
                <c:pt idx="7">
                  <c:v>-10.367506161509709</c:v>
                </c:pt>
                <c:pt idx="8">
                  <c:v>-227.25711669093539</c:v>
                </c:pt>
                <c:pt idx="9">
                  <c:v>191.90986044924489</c:v>
                </c:pt>
                <c:pt idx="10">
                  <c:v>100.19484934080992</c:v>
                </c:pt>
                <c:pt idx="11">
                  <c:v>270.02382931794432</c:v>
                </c:pt>
                <c:pt idx="12">
                  <c:v>184.58717405482093</c:v>
                </c:pt>
                <c:pt idx="13">
                  <c:v>53.097022741327237</c:v>
                </c:pt>
                <c:pt idx="14">
                  <c:v>-357.82842674511448</c:v>
                </c:pt>
                <c:pt idx="15">
                  <c:v>112.99790812896049</c:v>
                </c:pt>
                <c:pt idx="16">
                  <c:v>227.25711669093539</c:v>
                </c:pt>
                <c:pt idx="17">
                  <c:v>-191.90986044924489</c:v>
                </c:pt>
              </c:numCache>
            </c:numRef>
          </c:xVal>
          <c:yVal>
            <c:numRef>
              <c:f>Calculations!$O$45:$O$422</c:f>
              <c:numCache>
                <c:formatCode>General</c:formatCode>
                <c:ptCount val="378"/>
                <c:pt idx="0">
                  <c:v>26</c:v>
                </c:pt>
                <c:pt idx="1">
                  <c:v>20</c:v>
                </c:pt>
                <c:pt idx="2">
                  <c:v>-16</c:v>
                </c:pt>
                <c:pt idx="3">
                  <c:v>44</c:v>
                </c:pt>
                <c:pt idx="4">
                  <c:v>-11</c:v>
                </c:pt>
                <c:pt idx="5">
                  <c:v>-3</c:v>
                </c:pt>
                <c:pt idx="6">
                  <c:v>80</c:v>
                </c:pt>
                <c:pt idx="7">
                  <c:v>3</c:v>
                </c:pt>
                <c:pt idx="8">
                  <c:v>-52</c:v>
                </c:pt>
                <c:pt idx="9">
                  <c:v>-19</c:v>
                </c:pt>
                <c:pt idx="10">
                  <c:v>-80</c:v>
                </c:pt>
                <c:pt idx="11">
                  <c:v>-20</c:v>
                </c:pt>
                <c:pt idx="12">
                  <c:v>16</c:v>
                </c:pt>
                <c:pt idx="13">
                  <c:v>-44</c:v>
                </c:pt>
                <c:pt idx="14">
                  <c:v>11</c:v>
                </c:pt>
                <c:pt idx="15">
                  <c:v>-26</c:v>
                </c:pt>
                <c:pt idx="16">
                  <c:v>52</c:v>
                </c:pt>
                <c:pt idx="1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5-4C40-B6B0-60AB954A8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39232"/>
        <c:axId val="2067929904"/>
      </c:scatterChart>
      <c:valAx>
        <c:axId val="2068539232"/>
        <c:scaling>
          <c:orientation val="minMax"/>
          <c:max val="5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Difference in teams' Elo ratings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929904"/>
        <c:crossesAt val="-150"/>
        <c:crossBetween val="midCat"/>
      </c:valAx>
      <c:valAx>
        <c:axId val="20679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Point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39232"/>
        <c:crossesAt val="-5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730250</xdr:colOff>
      <xdr:row>2</xdr:row>
      <xdr:rowOff>50800</xdr:rowOff>
    </xdr:from>
    <xdr:to>
      <xdr:col>33</xdr:col>
      <xdr:colOff>254000</xdr:colOff>
      <xdr:row>14</xdr:row>
      <xdr:rowOff>171076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C9DDD-2196-CA48-B206-83EB00431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38100</xdr:rowOff>
    </xdr:from>
    <xdr:to>
      <xdr:col>21</xdr:col>
      <xdr:colOff>12700</xdr:colOff>
      <xdr:row>42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6DF874-D6F3-C44F-91D6-78F2DFAB3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1</xdr:row>
      <xdr:rowOff>12700</xdr:rowOff>
    </xdr:from>
    <xdr:to>
      <xdr:col>21</xdr:col>
      <xdr:colOff>54553</xdr:colOff>
      <xdr:row>32</xdr:row>
      <xdr:rowOff>13565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D17F9-ED13-794E-B36E-434CFF3C2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DDAF-CE9B-8C44-861F-CD1BA0BF8B01}">
  <dimension ref="A1:T42"/>
  <sheetViews>
    <sheetView tabSelected="1" workbookViewId="0">
      <selection activeCell="B18" sqref="B18"/>
    </sheetView>
  </sheetViews>
  <sheetFormatPr baseColWidth="10" defaultRowHeight="16"/>
  <cols>
    <col min="2" max="2" width="18.83203125" customWidth="1"/>
    <col min="3" max="5" width="10.83203125" customWidth="1"/>
    <col min="6" max="6" width="17.83203125" customWidth="1"/>
    <col min="7" max="9" width="10.83203125" customWidth="1"/>
    <col min="10" max="10" width="13.6640625" customWidth="1"/>
    <col min="12" max="12" width="18.6640625" customWidth="1"/>
    <col min="20" max="20" width="13.83203125" customWidth="1"/>
  </cols>
  <sheetData>
    <row r="1" spans="1:20" ht="17" customHeigh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30</v>
      </c>
      <c r="K1" s="1" t="s">
        <v>6</v>
      </c>
      <c r="L1" s="1" t="s">
        <v>49</v>
      </c>
      <c r="M1" s="1"/>
      <c r="N1" s="1"/>
      <c r="O1" s="1"/>
      <c r="P1" s="1"/>
      <c r="Q1" s="1"/>
      <c r="R1" s="1"/>
      <c r="S1" s="1"/>
      <c r="T1" s="1"/>
    </row>
    <row r="2" spans="1:20">
      <c r="A2">
        <v>1</v>
      </c>
      <c r="B2" t="s">
        <v>8</v>
      </c>
      <c r="C2">
        <v>9</v>
      </c>
      <c r="D2">
        <v>10</v>
      </c>
      <c r="E2">
        <v>64</v>
      </c>
      <c r="F2" t="s">
        <v>7</v>
      </c>
      <c r="G2">
        <v>14</v>
      </c>
      <c r="H2">
        <v>13</v>
      </c>
      <c r="I2">
        <v>97</v>
      </c>
      <c r="J2" t="b">
        <v>1</v>
      </c>
      <c r="K2" t="str">
        <f>IF(I2=E2,"Draw",IF(I2&gt;E2,F2,B2))</f>
        <v>Richmond</v>
      </c>
      <c r="L2">
        <f>E2-I2</f>
        <v>-33</v>
      </c>
    </row>
    <row r="3" spans="1:20">
      <c r="A3">
        <v>1</v>
      </c>
      <c r="B3" t="s">
        <v>18</v>
      </c>
      <c r="C3">
        <v>9</v>
      </c>
      <c r="D3">
        <v>11</v>
      </c>
      <c r="E3">
        <v>65</v>
      </c>
      <c r="F3" t="s">
        <v>22</v>
      </c>
      <c r="G3">
        <v>10</v>
      </c>
      <c r="H3">
        <v>12</v>
      </c>
      <c r="I3">
        <v>72</v>
      </c>
      <c r="J3" t="b">
        <v>1</v>
      </c>
      <c r="K3" t="str">
        <f t="shared" ref="K3:K19" si="0">IF(I3=E3,"Draw",IF(I3&gt;E3,F3,B3))</f>
        <v>Geelong</v>
      </c>
      <c r="L3">
        <f t="shared" ref="L3:L19" si="1">E3-I3</f>
        <v>-7</v>
      </c>
    </row>
    <row r="4" spans="1:20">
      <c r="A4">
        <v>1</v>
      </c>
      <c r="B4" t="s">
        <v>21</v>
      </c>
      <c r="C4">
        <v>9</v>
      </c>
      <c r="D4">
        <v>7</v>
      </c>
      <c r="E4">
        <v>61</v>
      </c>
      <c r="F4" t="s">
        <v>13</v>
      </c>
      <c r="G4">
        <v>12</v>
      </c>
      <c r="H4">
        <v>15</v>
      </c>
      <c r="I4">
        <v>87</v>
      </c>
      <c r="J4" t="b">
        <v>0</v>
      </c>
      <c r="K4" t="str">
        <f t="shared" si="0"/>
        <v>Port Adelaide</v>
      </c>
      <c r="L4">
        <f t="shared" si="1"/>
        <v>-26</v>
      </c>
    </row>
    <row r="5" spans="1:20">
      <c r="A5">
        <v>1</v>
      </c>
      <c r="B5" t="s">
        <v>10</v>
      </c>
      <c r="C5">
        <v>7</v>
      </c>
      <c r="D5">
        <v>13</v>
      </c>
      <c r="E5">
        <v>55</v>
      </c>
      <c r="F5" t="s">
        <v>17</v>
      </c>
      <c r="G5">
        <v>12</v>
      </c>
      <c r="H5">
        <v>15</v>
      </c>
      <c r="I5">
        <v>87</v>
      </c>
      <c r="J5" t="b">
        <v>0</v>
      </c>
      <c r="K5" t="str">
        <f t="shared" si="0"/>
        <v>Hawthorn</v>
      </c>
      <c r="L5">
        <f t="shared" si="1"/>
        <v>-32</v>
      </c>
    </row>
    <row r="6" spans="1:20">
      <c r="A6">
        <v>1</v>
      </c>
      <c r="B6" t="s">
        <v>12</v>
      </c>
      <c r="C6">
        <v>15</v>
      </c>
      <c r="D6">
        <v>12</v>
      </c>
      <c r="E6">
        <v>102</v>
      </c>
      <c r="F6" t="s">
        <v>23</v>
      </c>
      <c r="G6">
        <v>8</v>
      </c>
      <c r="H6">
        <v>10</v>
      </c>
      <c r="I6">
        <v>58</v>
      </c>
      <c r="J6" t="b">
        <v>0</v>
      </c>
      <c r="K6" t="str">
        <f t="shared" si="0"/>
        <v>Brisbane Lions</v>
      </c>
      <c r="L6">
        <f t="shared" si="1"/>
        <v>44</v>
      </c>
    </row>
    <row r="7" spans="1:20">
      <c r="A7">
        <v>1</v>
      </c>
      <c r="B7" t="s">
        <v>20</v>
      </c>
      <c r="C7">
        <v>11</v>
      </c>
      <c r="D7">
        <v>16</v>
      </c>
      <c r="E7">
        <v>82</v>
      </c>
      <c r="F7" t="s">
        <v>24</v>
      </c>
      <c r="G7">
        <v>9</v>
      </c>
      <c r="H7">
        <v>11</v>
      </c>
      <c r="I7">
        <v>65</v>
      </c>
      <c r="J7" t="b">
        <v>0</v>
      </c>
      <c r="K7" t="str">
        <f t="shared" si="0"/>
        <v>Western Bulldogs</v>
      </c>
      <c r="L7">
        <f t="shared" si="1"/>
        <v>17</v>
      </c>
    </row>
    <row r="8" spans="1:20">
      <c r="A8">
        <v>1</v>
      </c>
      <c r="B8" t="s">
        <v>11</v>
      </c>
      <c r="C8">
        <v>13</v>
      </c>
      <c r="D8">
        <v>7</v>
      </c>
      <c r="E8">
        <v>85</v>
      </c>
      <c r="F8" t="s">
        <v>15</v>
      </c>
      <c r="G8">
        <v>13</v>
      </c>
      <c r="H8">
        <v>6</v>
      </c>
      <c r="I8">
        <v>84</v>
      </c>
      <c r="J8" t="b">
        <v>0</v>
      </c>
      <c r="K8" t="str">
        <f t="shared" si="0"/>
        <v>St. Kilda</v>
      </c>
      <c r="L8">
        <f t="shared" si="1"/>
        <v>1</v>
      </c>
    </row>
    <row r="9" spans="1:20">
      <c r="A9">
        <v>1</v>
      </c>
      <c r="B9" t="s">
        <v>19</v>
      </c>
      <c r="C9">
        <v>16</v>
      </c>
      <c r="D9">
        <v>16</v>
      </c>
      <c r="E9">
        <v>112</v>
      </c>
      <c r="F9" t="s">
        <v>9</v>
      </c>
      <c r="G9">
        <v>5</v>
      </c>
      <c r="H9">
        <v>10</v>
      </c>
      <c r="I9">
        <v>40</v>
      </c>
      <c r="J9" t="b">
        <v>0</v>
      </c>
      <c r="K9" t="str">
        <f t="shared" si="0"/>
        <v>GWS</v>
      </c>
      <c r="L9">
        <f t="shared" si="1"/>
        <v>72</v>
      </c>
    </row>
    <row r="10" spans="1:20">
      <c r="A10">
        <v>1</v>
      </c>
      <c r="B10" t="s">
        <v>14</v>
      </c>
      <c r="C10">
        <v>21</v>
      </c>
      <c r="D10">
        <v>15</v>
      </c>
      <c r="E10">
        <v>141</v>
      </c>
      <c r="F10" t="s">
        <v>16</v>
      </c>
      <c r="G10">
        <v>9</v>
      </c>
      <c r="H10">
        <v>5</v>
      </c>
      <c r="I10">
        <v>59</v>
      </c>
      <c r="J10" t="b">
        <v>0</v>
      </c>
      <c r="K10" t="str">
        <f t="shared" si="0"/>
        <v>Fremantle</v>
      </c>
      <c r="L10">
        <f t="shared" si="1"/>
        <v>82</v>
      </c>
    </row>
    <row r="11" spans="1:20">
      <c r="A11" s="3">
        <v>2</v>
      </c>
      <c r="B11" t="s">
        <v>7</v>
      </c>
      <c r="C11">
        <v>10</v>
      </c>
      <c r="D11">
        <v>6</v>
      </c>
      <c r="E11">
        <v>66</v>
      </c>
      <c r="F11" t="s">
        <v>18</v>
      </c>
      <c r="G11">
        <v>17</v>
      </c>
      <c r="H11">
        <v>8</v>
      </c>
      <c r="I11">
        <v>110</v>
      </c>
      <c r="J11" t="b">
        <v>1</v>
      </c>
      <c r="K11" t="str">
        <f t="shared" si="0"/>
        <v>Collingwood</v>
      </c>
      <c r="L11">
        <f t="shared" si="1"/>
        <v>-44</v>
      </c>
    </row>
    <row r="12" spans="1:20">
      <c r="A12" s="3">
        <v>2</v>
      </c>
      <c r="B12" t="s">
        <v>24</v>
      </c>
      <c r="C12">
        <v>8</v>
      </c>
      <c r="D12">
        <v>14</v>
      </c>
      <c r="E12">
        <v>62</v>
      </c>
      <c r="F12" t="s">
        <v>10</v>
      </c>
      <c r="G12">
        <v>12</v>
      </c>
      <c r="H12">
        <v>6</v>
      </c>
      <c r="I12">
        <v>88</v>
      </c>
      <c r="J12" t="b">
        <v>0</v>
      </c>
      <c r="K12" t="str">
        <f t="shared" si="0"/>
        <v>Adelaide</v>
      </c>
      <c r="L12">
        <f t="shared" si="1"/>
        <v>-26</v>
      </c>
    </row>
    <row r="13" spans="1:20">
      <c r="A13" s="3">
        <v>2</v>
      </c>
      <c r="B13" t="s">
        <v>9</v>
      </c>
      <c r="C13">
        <v>9</v>
      </c>
      <c r="D13">
        <v>11</v>
      </c>
      <c r="E13">
        <v>65</v>
      </c>
      <c r="F13" t="s">
        <v>11</v>
      </c>
      <c r="G13">
        <v>10</v>
      </c>
      <c r="H13">
        <v>16</v>
      </c>
      <c r="I13">
        <v>76</v>
      </c>
      <c r="J13" t="b">
        <v>1</v>
      </c>
      <c r="K13" t="str">
        <f t="shared" si="0"/>
        <v>St. Kilda</v>
      </c>
      <c r="L13">
        <f t="shared" si="1"/>
        <v>-11</v>
      </c>
    </row>
    <row r="14" spans="1:20">
      <c r="A14" s="3">
        <v>2</v>
      </c>
      <c r="B14" t="s">
        <v>13</v>
      </c>
      <c r="C14">
        <v>13</v>
      </c>
      <c r="D14">
        <v>10</v>
      </c>
      <c r="E14">
        <v>88</v>
      </c>
      <c r="F14" t="s">
        <v>8</v>
      </c>
      <c r="G14">
        <v>11</v>
      </c>
      <c r="H14">
        <v>6</v>
      </c>
      <c r="I14">
        <v>72</v>
      </c>
      <c r="J14" t="b">
        <v>0</v>
      </c>
      <c r="K14" t="str">
        <f t="shared" si="0"/>
        <v>Port Adelaide</v>
      </c>
      <c r="L14">
        <f t="shared" si="1"/>
        <v>16</v>
      </c>
    </row>
    <row r="15" spans="1:20">
      <c r="A15" s="3">
        <v>2</v>
      </c>
      <c r="B15" t="s">
        <v>23</v>
      </c>
      <c r="C15">
        <v>16</v>
      </c>
      <c r="D15">
        <v>8</v>
      </c>
      <c r="E15">
        <v>104</v>
      </c>
      <c r="F15" t="s">
        <v>19</v>
      </c>
      <c r="G15">
        <v>7</v>
      </c>
      <c r="H15">
        <v>10</v>
      </c>
      <c r="I15">
        <v>52</v>
      </c>
      <c r="J15" t="b">
        <v>0</v>
      </c>
      <c r="K15" t="str">
        <f t="shared" si="0"/>
        <v>West Coast</v>
      </c>
      <c r="L15">
        <f t="shared" si="1"/>
        <v>52</v>
      </c>
    </row>
    <row r="16" spans="1:20">
      <c r="A16" s="3">
        <v>2</v>
      </c>
      <c r="B16" t="s">
        <v>22</v>
      </c>
      <c r="C16">
        <v>20</v>
      </c>
      <c r="D16">
        <v>6</v>
      </c>
      <c r="E16">
        <v>126</v>
      </c>
      <c r="F16" t="s">
        <v>21</v>
      </c>
      <c r="G16">
        <v>6</v>
      </c>
      <c r="H16">
        <v>10</v>
      </c>
      <c r="I16">
        <v>46</v>
      </c>
      <c r="J16" t="b">
        <v>0</v>
      </c>
      <c r="K16" t="str">
        <f t="shared" si="0"/>
        <v>Geelong</v>
      </c>
      <c r="L16">
        <f t="shared" si="1"/>
        <v>80</v>
      </c>
    </row>
    <row r="17" spans="1:12">
      <c r="A17" s="3">
        <v>2</v>
      </c>
      <c r="B17" t="s">
        <v>16</v>
      </c>
      <c r="C17">
        <v>13</v>
      </c>
      <c r="D17">
        <v>9</v>
      </c>
      <c r="E17">
        <v>87</v>
      </c>
      <c r="F17" t="s">
        <v>12</v>
      </c>
      <c r="G17">
        <v>16</v>
      </c>
      <c r="H17">
        <v>11</v>
      </c>
      <c r="I17">
        <v>107</v>
      </c>
      <c r="J17" t="b">
        <v>0</v>
      </c>
      <c r="K17" t="str">
        <f t="shared" si="0"/>
        <v>Brisbane Lions</v>
      </c>
      <c r="L17">
        <f t="shared" si="1"/>
        <v>-20</v>
      </c>
    </row>
    <row r="18" spans="1:12">
      <c r="A18">
        <v>2</v>
      </c>
      <c r="B18" t="s">
        <v>17</v>
      </c>
      <c r="C18">
        <v>13</v>
      </c>
      <c r="D18">
        <v>9</v>
      </c>
      <c r="E18">
        <v>87</v>
      </c>
      <c r="F18" t="s">
        <v>20</v>
      </c>
      <c r="G18">
        <v>16</v>
      </c>
      <c r="H18">
        <v>10</v>
      </c>
      <c r="I18">
        <v>106</v>
      </c>
      <c r="J18" t="b">
        <v>0</v>
      </c>
      <c r="K18" t="str">
        <f t="shared" si="0"/>
        <v>Western Bulldogs</v>
      </c>
      <c r="L18">
        <f t="shared" si="1"/>
        <v>-19</v>
      </c>
    </row>
    <row r="19" spans="1:12">
      <c r="A19">
        <v>2</v>
      </c>
      <c r="B19" t="s">
        <v>15</v>
      </c>
      <c r="C19">
        <v>7</v>
      </c>
      <c r="D19">
        <v>19</v>
      </c>
      <c r="E19">
        <v>61</v>
      </c>
      <c r="F19" t="s">
        <v>14</v>
      </c>
      <c r="G19">
        <v>8</v>
      </c>
      <c r="H19">
        <v>10</v>
      </c>
      <c r="I19">
        <v>58</v>
      </c>
      <c r="J19" t="b">
        <v>0</v>
      </c>
      <c r="K19" t="str">
        <f t="shared" si="0"/>
        <v>Gold Coast</v>
      </c>
      <c r="L19">
        <f t="shared" si="1"/>
        <v>3</v>
      </c>
    </row>
    <row r="39" spans="1:10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J40" s="3"/>
    </row>
    <row r="41" spans="1:10">
      <c r="J41" s="3"/>
    </row>
    <row r="42" spans="1:10">
      <c r="J4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42A3-9FB6-AC4B-A1B6-F2781C4D024D}">
  <dimension ref="A1:L39"/>
  <sheetViews>
    <sheetView workbookViewId="0">
      <selection activeCell="A11" sqref="A11:A19"/>
    </sheetView>
  </sheetViews>
  <sheetFormatPr baseColWidth="10" defaultRowHeight="16"/>
  <sheetData>
    <row r="1" spans="1:12" ht="34">
      <c r="A1" s="2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38</v>
      </c>
      <c r="H1" s="1" t="s">
        <v>39</v>
      </c>
      <c r="I1" s="1" t="s">
        <v>40</v>
      </c>
      <c r="J1" s="1" t="s">
        <v>42</v>
      </c>
      <c r="K1" s="1" t="s">
        <v>50</v>
      </c>
      <c r="L1" s="1" t="s">
        <v>51</v>
      </c>
    </row>
    <row r="2" spans="1:12">
      <c r="A2">
        <v>1</v>
      </c>
      <c r="B2" t="str">
        <f>'All scores'!F2</f>
        <v>Richmond</v>
      </c>
      <c r="C2">
        <f>'All scores'!G2</f>
        <v>14</v>
      </c>
      <c r="D2">
        <f>'All scores'!H2</f>
        <v>13</v>
      </c>
      <c r="E2">
        <f>'All scores'!I2</f>
        <v>97</v>
      </c>
      <c r="F2" t="str">
        <f>'All scores'!B2</f>
        <v>Carlton</v>
      </c>
      <c r="G2">
        <f>'All scores'!C2</f>
        <v>9</v>
      </c>
      <c r="H2">
        <f>'All scores'!D2</f>
        <v>10</v>
      </c>
      <c r="I2">
        <f>'All scores'!E2</f>
        <v>64</v>
      </c>
      <c r="J2" t="b">
        <f>'All scores'!J2</f>
        <v>1</v>
      </c>
      <c r="K2" t="str">
        <f>IF(I2=E2,"Draw",IF(I2&gt;E2,F2,B2))</f>
        <v>Richmond</v>
      </c>
      <c r="L2">
        <f>E2-I2</f>
        <v>33</v>
      </c>
    </row>
    <row r="3" spans="1:12">
      <c r="A3">
        <v>1</v>
      </c>
      <c r="B3" t="str">
        <f>'All scores'!F3</f>
        <v>Geelong</v>
      </c>
      <c r="C3">
        <f>'All scores'!G3</f>
        <v>10</v>
      </c>
      <c r="D3">
        <f>'All scores'!H3</f>
        <v>12</v>
      </c>
      <c r="E3">
        <f>'All scores'!I3</f>
        <v>72</v>
      </c>
      <c r="F3" t="str">
        <f>'All scores'!B3</f>
        <v>Collingwood</v>
      </c>
      <c r="G3">
        <f>'All scores'!C3</f>
        <v>9</v>
      </c>
      <c r="H3">
        <f>'All scores'!D3</f>
        <v>11</v>
      </c>
      <c r="I3">
        <f>'All scores'!E3</f>
        <v>65</v>
      </c>
      <c r="J3" t="b">
        <f>'All scores'!J3</f>
        <v>1</v>
      </c>
      <c r="K3" t="str">
        <f t="shared" ref="K3:K10" si="0">IF(I3=E3,"Draw",IF(I3&gt;E3,F3,B3))</f>
        <v>Geelong</v>
      </c>
      <c r="L3">
        <f t="shared" ref="L3:L10" si="1">E3-I3</f>
        <v>7</v>
      </c>
    </row>
    <row r="4" spans="1:12">
      <c r="A4">
        <v>1</v>
      </c>
      <c r="B4" t="str">
        <f>'All scores'!F4</f>
        <v>Port Adelaide</v>
      </c>
      <c r="C4">
        <f>'All scores'!G4</f>
        <v>12</v>
      </c>
      <c r="D4">
        <f>'All scores'!H4</f>
        <v>15</v>
      </c>
      <c r="E4">
        <f>'All scores'!I4</f>
        <v>87</v>
      </c>
      <c r="F4" t="str">
        <f>'All scores'!B4</f>
        <v>Melbourne</v>
      </c>
      <c r="G4">
        <f>'All scores'!C4</f>
        <v>9</v>
      </c>
      <c r="H4">
        <f>'All scores'!D4</f>
        <v>7</v>
      </c>
      <c r="I4">
        <f>'All scores'!E4</f>
        <v>61</v>
      </c>
      <c r="J4" t="b">
        <f>'All scores'!J4</f>
        <v>0</v>
      </c>
      <c r="K4" t="str">
        <f t="shared" si="0"/>
        <v>Port Adelaide</v>
      </c>
      <c r="L4">
        <f t="shared" si="1"/>
        <v>26</v>
      </c>
    </row>
    <row r="5" spans="1:12">
      <c r="A5">
        <v>1</v>
      </c>
      <c r="B5" t="str">
        <f>'All scores'!F5</f>
        <v>Hawthorn</v>
      </c>
      <c r="C5">
        <f>'All scores'!G5</f>
        <v>12</v>
      </c>
      <c r="D5">
        <f>'All scores'!H5</f>
        <v>15</v>
      </c>
      <c r="E5">
        <f>'All scores'!I5</f>
        <v>87</v>
      </c>
      <c r="F5" t="str">
        <f>'All scores'!B5</f>
        <v>Adelaide</v>
      </c>
      <c r="G5">
        <f>'All scores'!C5</f>
        <v>7</v>
      </c>
      <c r="H5">
        <f>'All scores'!D5</f>
        <v>13</v>
      </c>
      <c r="I5">
        <f>'All scores'!E5</f>
        <v>55</v>
      </c>
      <c r="J5" t="b">
        <f>'All scores'!J5</f>
        <v>0</v>
      </c>
      <c r="K5" t="str">
        <f t="shared" si="0"/>
        <v>Hawthorn</v>
      </c>
      <c r="L5">
        <f t="shared" si="1"/>
        <v>32</v>
      </c>
    </row>
    <row r="6" spans="1:12">
      <c r="A6">
        <v>1</v>
      </c>
      <c r="B6" t="str">
        <f>'All scores'!F6</f>
        <v>West Coast</v>
      </c>
      <c r="C6">
        <f>'All scores'!G6</f>
        <v>8</v>
      </c>
      <c r="D6">
        <f>'All scores'!H6</f>
        <v>10</v>
      </c>
      <c r="E6">
        <f>'All scores'!I6</f>
        <v>58</v>
      </c>
      <c r="F6" t="str">
        <f>'All scores'!B6</f>
        <v>Brisbane Lions</v>
      </c>
      <c r="G6">
        <f>'All scores'!C6</f>
        <v>15</v>
      </c>
      <c r="H6">
        <f>'All scores'!D6</f>
        <v>12</v>
      </c>
      <c r="I6">
        <f>'All scores'!E6</f>
        <v>102</v>
      </c>
      <c r="J6" t="b">
        <f>'All scores'!J6</f>
        <v>0</v>
      </c>
      <c r="K6" t="str">
        <f t="shared" si="0"/>
        <v>Brisbane Lions</v>
      </c>
      <c r="L6">
        <f t="shared" si="1"/>
        <v>-44</v>
      </c>
    </row>
    <row r="7" spans="1:12">
      <c r="A7">
        <v>1</v>
      </c>
      <c r="B7" t="str">
        <f>'All scores'!F7</f>
        <v>Sydney</v>
      </c>
      <c r="C7">
        <f>'All scores'!G7</f>
        <v>9</v>
      </c>
      <c r="D7">
        <f>'All scores'!H7</f>
        <v>11</v>
      </c>
      <c r="E7">
        <f>'All scores'!I7</f>
        <v>65</v>
      </c>
      <c r="F7" t="str">
        <f>'All scores'!B7</f>
        <v>Western Bulldogs</v>
      </c>
      <c r="G7">
        <f>'All scores'!C7</f>
        <v>11</v>
      </c>
      <c r="H7">
        <f>'All scores'!D7</f>
        <v>16</v>
      </c>
      <c r="I7">
        <f>'All scores'!E7</f>
        <v>82</v>
      </c>
      <c r="J7" t="b">
        <f>'All scores'!J7</f>
        <v>0</v>
      </c>
      <c r="K7" t="str">
        <f t="shared" si="0"/>
        <v>Western Bulldogs</v>
      </c>
      <c r="L7">
        <f t="shared" si="1"/>
        <v>-17</v>
      </c>
    </row>
    <row r="8" spans="1:12">
      <c r="A8">
        <v>1</v>
      </c>
      <c r="B8" t="str">
        <f>'All scores'!F8</f>
        <v>Gold Coast</v>
      </c>
      <c r="C8">
        <f>'All scores'!G8</f>
        <v>13</v>
      </c>
      <c r="D8">
        <f>'All scores'!H8</f>
        <v>6</v>
      </c>
      <c r="E8">
        <f>'All scores'!I8</f>
        <v>84</v>
      </c>
      <c r="F8" t="str">
        <f>'All scores'!B8</f>
        <v>St. Kilda</v>
      </c>
      <c r="G8">
        <f>'All scores'!C8</f>
        <v>13</v>
      </c>
      <c r="H8">
        <f>'All scores'!D8</f>
        <v>7</v>
      </c>
      <c r="I8">
        <f>'All scores'!E8</f>
        <v>85</v>
      </c>
      <c r="J8" t="b">
        <f>'All scores'!J8</f>
        <v>0</v>
      </c>
      <c r="K8" t="str">
        <f t="shared" si="0"/>
        <v>St. Kilda</v>
      </c>
      <c r="L8">
        <f t="shared" si="1"/>
        <v>-1</v>
      </c>
    </row>
    <row r="9" spans="1:12">
      <c r="A9">
        <v>1</v>
      </c>
      <c r="B9" t="str">
        <f>'All scores'!F9</f>
        <v>Essendon</v>
      </c>
      <c r="C9">
        <f>'All scores'!G9</f>
        <v>5</v>
      </c>
      <c r="D9">
        <f>'All scores'!H9</f>
        <v>10</v>
      </c>
      <c r="E9">
        <f>'All scores'!I9</f>
        <v>40</v>
      </c>
      <c r="F9" t="str">
        <f>'All scores'!B9</f>
        <v>GWS</v>
      </c>
      <c r="G9">
        <f>'All scores'!C9</f>
        <v>16</v>
      </c>
      <c r="H9">
        <f>'All scores'!D9</f>
        <v>16</v>
      </c>
      <c r="I9">
        <f>'All scores'!E9</f>
        <v>112</v>
      </c>
      <c r="J9" t="b">
        <f>'All scores'!J9</f>
        <v>0</v>
      </c>
      <c r="K9" t="str">
        <f t="shared" si="0"/>
        <v>GWS</v>
      </c>
      <c r="L9">
        <f t="shared" si="1"/>
        <v>-72</v>
      </c>
    </row>
    <row r="10" spans="1:12">
      <c r="A10">
        <v>1</v>
      </c>
      <c r="B10" t="str">
        <f>'All scores'!F10</f>
        <v>North Melbourne</v>
      </c>
      <c r="C10">
        <f>'All scores'!G10</f>
        <v>9</v>
      </c>
      <c r="D10">
        <f>'All scores'!H10</f>
        <v>5</v>
      </c>
      <c r="E10">
        <f>'All scores'!I10</f>
        <v>59</v>
      </c>
      <c r="F10" t="str">
        <f>'All scores'!B10</f>
        <v>Fremantle</v>
      </c>
      <c r="G10">
        <f>'All scores'!C10</f>
        <v>21</v>
      </c>
      <c r="H10">
        <f>'All scores'!D10</f>
        <v>15</v>
      </c>
      <c r="I10">
        <f>'All scores'!E10</f>
        <v>141</v>
      </c>
      <c r="J10" t="b">
        <f>'All scores'!J10</f>
        <v>0</v>
      </c>
      <c r="K10" t="str">
        <f t="shared" si="0"/>
        <v>Fremantle</v>
      </c>
      <c r="L10">
        <f t="shared" si="1"/>
        <v>-82</v>
      </c>
    </row>
    <row r="11" spans="1:12">
      <c r="A11">
        <v>2</v>
      </c>
      <c r="B11" t="str">
        <f>'All scores'!F11</f>
        <v>Collingwood</v>
      </c>
      <c r="C11">
        <f>'All scores'!G11</f>
        <v>17</v>
      </c>
      <c r="D11">
        <f>'All scores'!H11</f>
        <v>8</v>
      </c>
      <c r="E11">
        <f>'All scores'!I11</f>
        <v>110</v>
      </c>
      <c r="F11" t="str">
        <f>'All scores'!B11</f>
        <v>Richmond</v>
      </c>
      <c r="G11">
        <f>'All scores'!C11</f>
        <v>10</v>
      </c>
      <c r="H11">
        <f>'All scores'!D11</f>
        <v>6</v>
      </c>
      <c r="I11">
        <f>'All scores'!E11</f>
        <v>66</v>
      </c>
      <c r="J11" t="b">
        <f>'All scores'!J11</f>
        <v>1</v>
      </c>
      <c r="K11" t="str">
        <f t="shared" ref="K11:K19" si="2">IF(I11=E11,"Draw",IF(I11&gt;E11,F11,B11))</f>
        <v>Collingwood</v>
      </c>
      <c r="L11">
        <f t="shared" ref="L11:L19" si="3">E11-I11</f>
        <v>44</v>
      </c>
    </row>
    <row r="12" spans="1:12">
      <c r="A12">
        <v>2</v>
      </c>
      <c r="B12" t="str">
        <f>'All scores'!F12</f>
        <v>Adelaide</v>
      </c>
      <c r="C12">
        <f>'All scores'!G12</f>
        <v>12</v>
      </c>
      <c r="D12">
        <f>'All scores'!H12</f>
        <v>6</v>
      </c>
      <c r="E12">
        <f>'All scores'!I12</f>
        <v>88</v>
      </c>
      <c r="F12" t="str">
        <f>'All scores'!B12</f>
        <v>Sydney</v>
      </c>
      <c r="G12">
        <f>'All scores'!C12</f>
        <v>8</v>
      </c>
      <c r="H12">
        <f>'All scores'!D12</f>
        <v>14</v>
      </c>
      <c r="I12">
        <f>'All scores'!E12</f>
        <v>62</v>
      </c>
      <c r="J12" t="b">
        <f>'All scores'!J12</f>
        <v>0</v>
      </c>
      <c r="K12" t="str">
        <f t="shared" si="2"/>
        <v>Adelaide</v>
      </c>
      <c r="L12">
        <f t="shared" si="3"/>
        <v>26</v>
      </c>
    </row>
    <row r="13" spans="1:12">
      <c r="A13">
        <v>2</v>
      </c>
      <c r="B13" t="str">
        <f>'All scores'!F13</f>
        <v>St. Kilda</v>
      </c>
      <c r="C13">
        <f>'All scores'!G13</f>
        <v>10</v>
      </c>
      <c r="D13">
        <f>'All scores'!H13</f>
        <v>16</v>
      </c>
      <c r="E13">
        <f>'All scores'!I13</f>
        <v>76</v>
      </c>
      <c r="F13" t="str">
        <f>'All scores'!B13</f>
        <v>Essendon</v>
      </c>
      <c r="G13">
        <f>'All scores'!C13</f>
        <v>9</v>
      </c>
      <c r="H13">
        <f>'All scores'!D13</f>
        <v>11</v>
      </c>
      <c r="I13">
        <f>'All scores'!E13</f>
        <v>65</v>
      </c>
      <c r="J13" t="b">
        <f>'All scores'!J13</f>
        <v>1</v>
      </c>
      <c r="K13" t="str">
        <f t="shared" si="2"/>
        <v>St. Kilda</v>
      </c>
      <c r="L13">
        <f t="shared" si="3"/>
        <v>11</v>
      </c>
    </row>
    <row r="14" spans="1:12">
      <c r="A14">
        <v>2</v>
      </c>
      <c r="B14" t="str">
        <f>'All scores'!F14</f>
        <v>Carlton</v>
      </c>
      <c r="C14">
        <f>'All scores'!G14</f>
        <v>11</v>
      </c>
      <c r="D14">
        <f>'All scores'!H14</f>
        <v>6</v>
      </c>
      <c r="E14">
        <f>'All scores'!I14</f>
        <v>72</v>
      </c>
      <c r="F14" t="str">
        <f>'All scores'!B14</f>
        <v>Port Adelaide</v>
      </c>
      <c r="G14">
        <f>'All scores'!C14</f>
        <v>13</v>
      </c>
      <c r="H14">
        <f>'All scores'!D14</f>
        <v>10</v>
      </c>
      <c r="I14">
        <f>'All scores'!E14</f>
        <v>88</v>
      </c>
      <c r="J14" t="b">
        <f>'All scores'!J14</f>
        <v>0</v>
      </c>
      <c r="K14" t="str">
        <f t="shared" si="2"/>
        <v>Port Adelaide</v>
      </c>
      <c r="L14">
        <f t="shared" si="3"/>
        <v>-16</v>
      </c>
    </row>
    <row r="15" spans="1:12">
      <c r="A15">
        <v>2</v>
      </c>
      <c r="B15" t="str">
        <f>'All scores'!F15</f>
        <v>GWS</v>
      </c>
      <c r="C15">
        <f>'All scores'!G15</f>
        <v>7</v>
      </c>
      <c r="D15">
        <f>'All scores'!H15</f>
        <v>10</v>
      </c>
      <c r="E15">
        <f>'All scores'!I15</f>
        <v>52</v>
      </c>
      <c r="F15" t="str">
        <f>'All scores'!B15</f>
        <v>West Coast</v>
      </c>
      <c r="G15">
        <f>'All scores'!C15</f>
        <v>16</v>
      </c>
      <c r="H15">
        <f>'All scores'!D15</f>
        <v>8</v>
      </c>
      <c r="I15">
        <f>'All scores'!E15</f>
        <v>104</v>
      </c>
      <c r="J15" t="b">
        <f>'All scores'!J15</f>
        <v>0</v>
      </c>
      <c r="K15" t="str">
        <f t="shared" si="2"/>
        <v>West Coast</v>
      </c>
      <c r="L15">
        <f t="shared" si="3"/>
        <v>-52</v>
      </c>
    </row>
    <row r="16" spans="1:12">
      <c r="A16">
        <v>2</v>
      </c>
      <c r="B16" t="str">
        <f>'All scores'!F16</f>
        <v>Melbourne</v>
      </c>
      <c r="C16">
        <f>'All scores'!G16</f>
        <v>6</v>
      </c>
      <c r="D16">
        <f>'All scores'!H16</f>
        <v>10</v>
      </c>
      <c r="E16">
        <f>'All scores'!I16</f>
        <v>46</v>
      </c>
      <c r="F16" t="str">
        <f>'All scores'!B16</f>
        <v>Geelong</v>
      </c>
      <c r="G16">
        <f>'All scores'!C16</f>
        <v>20</v>
      </c>
      <c r="H16">
        <f>'All scores'!D16</f>
        <v>6</v>
      </c>
      <c r="I16">
        <f>'All scores'!E16</f>
        <v>126</v>
      </c>
      <c r="J16" t="b">
        <f>'All scores'!J16</f>
        <v>0</v>
      </c>
      <c r="K16" t="str">
        <f t="shared" si="2"/>
        <v>Geelong</v>
      </c>
      <c r="L16">
        <f t="shared" si="3"/>
        <v>-80</v>
      </c>
    </row>
    <row r="17" spans="1:12">
      <c r="A17">
        <v>2</v>
      </c>
      <c r="B17" t="str">
        <f>'All scores'!F17</f>
        <v>Brisbane Lions</v>
      </c>
      <c r="C17">
        <f>'All scores'!G17</f>
        <v>16</v>
      </c>
      <c r="D17">
        <f>'All scores'!H17</f>
        <v>11</v>
      </c>
      <c r="E17">
        <f>'All scores'!I17</f>
        <v>107</v>
      </c>
      <c r="F17" t="str">
        <f>'All scores'!B17</f>
        <v>North Melbourne</v>
      </c>
      <c r="G17">
        <f>'All scores'!C17</f>
        <v>13</v>
      </c>
      <c r="H17">
        <f>'All scores'!D17</f>
        <v>9</v>
      </c>
      <c r="I17">
        <f>'All scores'!E17</f>
        <v>87</v>
      </c>
      <c r="J17" t="b">
        <f>'All scores'!J17</f>
        <v>0</v>
      </c>
      <c r="K17" t="str">
        <f t="shared" si="2"/>
        <v>Brisbane Lions</v>
      </c>
      <c r="L17">
        <f t="shared" si="3"/>
        <v>20</v>
      </c>
    </row>
    <row r="18" spans="1:12">
      <c r="A18">
        <v>2</v>
      </c>
      <c r="B18" t="str">
        <f>'All scores'!F18</f>
        <v>Western Bulldogs</v>
      </c>
      <c r="C18">
        <f>'All scores'!G18</f>
        <v>16</v>
      </c>
      <c r="D18">
        <f>'All scores'!H18</f>
        <v>10</v>
      </c>
      <c r="E18">
        <f>'All scores'!I18</f>
        <v>106</v>
      </c>
      <c r="F18" t="str">
        <f>'All scores'!B18</f>
        <v>Hawthorn</v>
      </c>
      <c r="G18">
        <f>'All scores'!C18</f>
        <v>13</v>
      </c>
      <c r="H18">
        <f>'All scores'!D18</f>
        <v>9</v>
      </c>
      <c r="I18">
        <f>'All scores'!E18</f>
        <v>87</v>
      </c>
      <c r="J18" t="b">
        <f>'All scores'!J18</f>
        <v>0</v>
      </c>
      <c r="K18" t="str">
        <f t="shared" si="2"/>
        <v>Western Bulldogs</v>
      </c>
      <c r="L18">
        <f t="shared" si="3"/>
        <v>19</v>
      </c>
    </row>
    <row r="19" spans="1:12">
      <c r="A19">
        <v>2</v>
      </c>
      <c r="B19" t="str">
        <f>'All scores'!F19</f>
        <v>Fremantle</v>
      </c>
      <c r="C19">
        <f>'All scores'!G19</f>
        <v>8</v>
      </c>
      <c r="D19">
        <f>'All scores'!H19</f>
        <v>10</v>
      </c>
      <c r="E19">
        <f>'All scores'!I19</f>
        <v>58</v>
      </c>
      <c r="F19" t="str">
        <f>'All scores'!B19</f>
        <v>Gold Coast</v>
      </c>
      <c r="G19">
        <f>'All scores'!C19</f>
        <v>7</v>
      </c>
      <c r="H19">
        <f>'All scores'!D19</f>
        <v>19</v>
      </c>
      <c r="I19">
        <f>'All scores'!E19</f>
        <v>61</v>
      </c>
      <c r="J19" t="b">
        <f>'All scores'!J19</f>
        <v>0</v>
      </c>
      <c r="K19" t="str">
        <f t="shared" si="2"/>
        <v>Gold Coast</v>
      </c>
      <c r="L19">
        <f t="shared" si="3"/>
        <v>-3</v>
      </c>
    </row>
    <row r="39" spans="1:1">
      <c r="A3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4E0E-ACC1-9248-A312-18E05CD27CAF}">
  <dimension ref="A1:XFD505"/>
  <sheetViews>
    <sheetView zoomScale="88" zoomScaleNormal="88" workbookViewId="0"/>
  </sheetViews>
  <sheetFormatPr baseColWidth="10" defaultRowHeight="16"/>
  <cols>
    <col min="1" max="2" width="17.83203125" customWidth="1"/>
    <col min="3" max="5" width="10.83203125" customWidth="1"/>
    <col min="6" max="6" width="12.83203125" customWidth="1"/>
    <col min="7" max="7" width="16.5" customWidth="1"/>
    <col min="8" max="8" width="13.33203125" customWidth="1"/>
    <col min="9" max="9" width="17.1640625" customWidth="1"/>
    <col min="10" max="10" width="10.6640625" customWidth="1"/>
    <col min="11" max="11" width="13.6640625" customWidth="1"/>
    <col min="12" max="12" width="12.33203125" customWidth="1"/>
    <col min="13" max="16" width="10.83203125" customWidth="1"/>
    <col min="17" max="17" width="13.1640625" customWidth="1"/>
    <col min="18" max="19" width="10.83203125" customWidth="1"/>
    <col min="20" max="20" width="14.33203125" customWidth="1"/>
    <col min="21" max="22" width="10.83203125" customWidth="1"/>
    <col min="23" max="23" width="15.1640625" customWidth="1"/>
    <col min="24" max="24" width="14.1640625" customWidth="1"/>
  </cols>
  <sheetData>
    <row r="1" spans="1:34 16384:16384">
      <c r="A1" s="2" t="s">
        <v>45</v>
      </c>
      <c r="B1" s="2"/>
      <c r="C1" s="2"/>
      <c r="D1" s="2" t="s">
        <v>0</v>
      </c>
      <c r="E1" s="2" t="s">
        <v>35</v>
      </c>
      <c r="F1" s="2" t="s">
        <v>36</v>
      </c>
      <c r="J1">
        <v>0</v>
      </c>
      <c r="K1">
        <f>J1+1</f>
        <v>1</v>
      </c>
      <c r="L1">
        <f t="shared" ref="L1:U1" si="0">K1+1</f>
        <v>2</v>
      </c>
      <c r="M1">
        <f t="shared" si="0"/>
        <v>3</v>
      </c>
      <c r="N1">
        <f t="shared" si="0"/>
        <v>4</v>
      </c>
      <c r="O1">
        <f t="shared" si="0"/>
        <v>5</v>
      </c>
      <c r="P1">
        <f t="shared" si="0"/>
        <v>6</v>
      </c>
      <c r="Q1">
        <f t="shared" si="0"/>
        <v>7</v>
      </c>
      <c r="R1">
        <f t="shared" si="0"/>
        <v>8</v>
      </c>
      <c r="S1">
        <f t="shared" si="0"/>
        <v>9</v>
      </c>
      <c r="T1">
        <f t="shared" si="0"/>
        <v>10</v>
      </c>
      <c r="U1">
        <f t="shared" si="0"/>
        <v>11</v>
      </c>
      <c r="V1">
        <f t="shared" ref="V1" si="1">U1+1</f>
        <v>12</v>
      </c>
      <c r="W1">
        <f t="shared" ref="W1" si="2">V1+1</f>
        <v>13</v>
      </c>
      <c r="X1">
        <f t="shared" ref="X1" si="3">W1+1</f>
        <v>14</v>
      </c>
      <c r="Y1">
        <f t="shared" ref="Y1" si="4">X1+1</f>
        <v>15</v>
      </c>
      <c r="Z1">
        <f t="shared" ref="Z1" si="5">Y1+1</f>
        <v>16</v>
      </c>
      <c r="AA1">
        <f t="shared" ref="AA1" si="6">Z1+1</f>
        <v>17</v>
      </c>
      <c r="AB1">
        <f t="shared" ref="AB1" si="7">AA1+1</f>
        <v>18</v>
      </c>
      <c r="AC1">
        <f t="shared" ref="AC1" si="8">AB1+1</f>
        <v>19</v>
      </c>
      <c r="AD1">
        <f t="shared" ref="AD1" si="9">AC1+1</f>
        <v>20</v>
      </c>
      <c r="AE1">
        <f t="shared" ref="AE1" si="10">AD1+1</f>
        <v>21</v>
      </c>
      <c r="AF1">
        <f t="shared" ref="AF1" si="11">AE1+1</f>
        <v>22</v>
      </c>
      <c r="AG1">
        <f t="shared" ref="AG1" si="12">AF1+1</f>
        <v>23</v>
      </c>
    </row>
    <row r="2" spans="1:34 16384:16384">
      <c r="A2" t="s">
        <v>10</v>
      </c>
      <c r="D2">
        <v>1</v>
      </c>
      <c r="E2">
        <f>MATCH($D2,'All scores'!$A:$A,FALSE)</f>
        <v>2</v>
      </c>
      <c r="F2">
        <f>MATCH($D2,'All scores'!$A:$A,TRUE)</f>
        <v>10</v>
      </c>
      <c r="I2" t="s">
        <v>10</v>
      </c>
      <c r="J2" s="9">
        <v>1490.9311019254426</v>
      </c>
      <c r="K2" s="9">
        <f ca="1">IFERROR(VLOOKUP($I2,INDIRECT(_xlfn.CONCAT("$A$",J$21+1,":$U$",K$21)),20,FALSE),J2)</f>
        <v>1531.7472311179511</v>
      </c>
      <c r="L2" s="9">
        <f ca="1">IFERROR(VLOOKUP($I2,INDIRECT(_xlfn.CONCAT("$A$",K$21+1,":$U$",L$21)),20,FALSE),K2)</f>
        <v>1462.2529411121789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XFD2" s="9"/>
    </row>
    <row r="3" spans="1:34 16384:16384">
      <c r="A3" t="s">
        <v>12</v>
      </c>
      <c r="D3">
        <f t="shared" ref="D3:D24" si="13">D2+1</f>
        <v>2</v>
      </c>
      <c r="E3">
        <f>MATCH($D3,'All scores'!$A:$A,FALSE)</f>
        <v>11</v>
      </c>
      <c r="F3">
        <f>MATCH($D3,'All scores'!$A:$A,TRUE)</f>
        <v>19</v>
      </c>
      <c r="I3" t="s">
        <v>12</v>
      </c>
      <c r="J3" s="9">
        <v>1397.9857413105381</v>
      </c>
      <c r="K3" s="9">
        <f t="shared" ref="K3:L19" ca="1" si="14">IFERROR(VLOOKUP($I3,INDIRECT(_xlfn.CONCAT("$A$",J$21+1,":$U$",K$21)),20,FALSE),J3)</f>
        <v>1311.2754335136724</v>
      </c>
      <c r="L3" s="9">
        <f t="shared" ca="1" si="14"/>
        <v>1231.5758965344385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 16384:16384">
      <c r="A4" t="s">
        <v>8</v>
      </c>
      <c r="D4">
        <f t="shared" si="13"/>
        <v>3</v>
      </c>
      <c r="E4" t="e">
        <f>MATCH($D4,'All scores'!$A:$A,FALSE)</f>
        <v>#N/A</v>
      </c>
      <c r="F4">
        <f>MATCH($D4,'All scores'!$A:$A,TRUE)</f>
        <v>19</v>
      </c>
      <c r="I4" t="s">
        <v>8</v>
      </c>
      <c r="J4" s="9">
        <v>1238.724123734798</v>
      </c>
      <c r="K4" s="9">
        <f t="shared" ca="1" si="14"/>
        <v>1245.3919863973142</v>
      </c>
      <c r="L4" s="9">
        <f t="shared" ca="1" si="14"/>
        <v>1264.1913979126564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 16384:16384">
      <c r="A5" t="s">
        <v>18</v>
      </c>
      <c r="D5">
        <f t="shared" si="13"/>
        <v>4</v>
      </c>
      <c r="E5" t="e">
        <f>MATCH($D5,'All scores'!$A:$A,FALSE)</f>
        <v>#N/A</v>
      </c>
      <c r="F5">
        <f>MATCH($D5,'All scores'!$A:$A,TRUE)</f>
        <v>19</v>
      </c>
      <c r="I5" t="s">
        <v>18</v>
      </c>
      <c r="J5" s="9">
        <v>1608.618441772051</v>
      </c>
      <c r="K5" s="9">
        <f t="shared" ca="1" si="14"/>
        <v>1639.4740673902973</v>
      </c>
      <c r="L5" s="9">
        <f t="shared" ca="1" si="14"/>
        <v>1573.3640858996971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 16384:16384">
      <c r="A6" t="s">
        <v>9</v>
      </c>
      <c r="D6">
        <f t="shared" si="13"/>
        <v>5</v>
      </c>
      <c r="E6" t="e">
        <f>MATCH($D6,'All scores'!$A:$A,FALSE)</f>
        <v>#N/A</v>
      </c>
      <c r="F6">
        <f>MATCH($D6,'All scores'!$A:$A,TRUE)</f>
        <v>19</v>
      </c>
      <c r="I6" t="s">
        <v>9</v>
      </c>
      <c r="J6" s="9">
        <v>1601.4282319365727</v>
      </c>
      <c r="K6" s="9">
        <f t="shared" ca="1" si="14"/>
        <v>1671.6280088387439</v>
      </c>
      <c r="L6" s="9">
        <f t="shared" ca="1" si="14"/>
        <v>1740.2003717172806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 16384:16384">
      <c r="A7" t="s">
        <v>14</v>
      </c>
      <c r="D7">
        <f t="shared" si="13"/>
        <v>6</v>
      </c>
      <c r="E7" t="e">
        <f>MATCH($D7,'All scores'!$A:$A,FALSE)</f>
        <v>#N/A</v>
      </c>
      <c r="F7">
        <f>MATCH($D7,'All scores'!$A:$A,TRUE)</f>
        <v>19</v>
      </c>
      <c r="I7" t="s">
        <v>14</v>
      </c>
      <c r="J7" s="9">
        <v>1381.1866660838568</v>
      </c>
      <c r="K7" s="9">
        <f t="shared" ca="1" si="14"/>
        <v>1297.7325858586607</v>
      </c>
      <c r="L7" s="9">
        <f t="shared" ca="1" si="14"/>
        <v>1317.3735860179418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 16384:16384">
      <c r="A8" t="s">
        <v>22</v>
      </c>
      <c r="D8">
        <f t="shared" si="13"/>
        <v>7</v>
      </c>
      <c r="E8" t="e">
        <f>MATCH($D8,'All scores'!$A:$A,FALSE)</f>
        <v>#N/A</v>
      </c>
      <c r="F8">
        <f>MATCH($D8,'All scores'!$A:$A,TRUE)</f>
        <v>19</v>
      </c>
      <c r="I8" t="s">
        <v>22</v>
      </c>
      <c r="J8" s="9">
        <v>1612.2368031218332</v>
      </c>
      <c r="K8" s="9">
        <f t="shared" ca="1" si="14"/>
        <v>1581.381177503587</v>
      </c>
      <c r="L8" s="9">
        <f t="shared" ca="1" si="14"/>
        <v>1501.5249946390281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 16384:16384">
      <c r="A9" t="s">
        <v>15</v>
      </c>
      <c r="D9">
        <f t="shared" si="13"/>
        <v>8</v>
      </c>
      <c r="E9" t="e">
        <f>MATCH($D9,'All scores'!$A:$A,FALSE)</f>
        <v>#N/A</v>
      </c>
      <c r="F9">
        <f>MATCH($D9,'All scores'!$A:$A,TRUE)</f>
        <v>19</v>
      </c>
      <c r="I9" t="s">
        <v>15</v>
      </c>
      <c r="J9" s="9">
        <v>1279.1520561496998</v>
      </c>
      <c r="K9" s="9">
        <f t="shared" ca="1" si="14"/>
        <v>1287.365079697151</v>
      </c>
      <c r="L9" s="9">
        <f t="shared" ca="1" si="14"/>
        <v>1267.72407953787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 16384:16384">
      <c r="A10" t="s">
        <v>19</v>
      </c>
      <c r="D10">
        <f t="shared" si="13"/>
        <v>9</v>
      </c>
      <c r="E10" t="e">
        <f>MATCH($D10,'All scores'!$A:$A,FALSE)</f>
        <v>#N/A</v>
      </c>
      <c r="F10">
        <f>MATCH($D10,'All scores'!$A:$A,TRUE)</f>
        <v>19</v>
      </c>
      <c r="I10" t="s">
        <v>19</v>
      </c>
      <c r="J10" s="9">
        <v>1542.064999998496</v>
      </c>
      <c r="K10" s="9">
        <f t="shared" ca="1" si="14"/>
        <v>1471.8652230963248</v>
      </c>
      <c r="L10" s="9">
        <f t="shared" ca="1" si="14"/>
        <v>1493.4448157117281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 16384:16384">
      <c r="A11" t="s">
        <v>17</v>
      </c>
      <c r="D11">
        <f t="shared" si="13"/>
        <v>10</v>
      </c>
      <c r="E11" t="e">
        <f>MATCH($D11,'All scores'!$A:$A,FALSE)</f>
        <v>#N/A</v>
      </c>
      <c r="F11">
        <f>MATCH($D11,'All scores'!$A:$A,TRUE)</f>
        <v>19</v>
      </c>
      <c r="I11" t="s">
        <v>17</v>
      </c>
      <c r="J11" s="9">
        <v>1596.2943620164926</v>
      </c>
      <c r="K11" s="9">
        <f t="shared" ca="1" si="14"/>
        <v>1555.4782328239842</v>
      </c>
      <c r="L11" s="9">
        <f t="shared" ca="1" si="14"/>
        <v>1627.1341195580198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spans="1:34 16384:16384">
      <c r="A12" t="s">
        <v>21</v>
      </c>
      <c r="D12">
        <f t="shared" si="13"/>
        <v>11</v>
      </c>
      <c r="E12" t="e">
        <f>MATCH($D12,'All scores'!$A:$A,FALSE)</f>
        <v>#N/A</v>
      </c>
      <c r="F12">
        <f>MATCH($D12,'All scores'!$A:$A,TRUE)</f>
        <v>19</v>
      </c>
      <c r="I12" t="s">
        <v>21</v>
      </c>
      <c r="J12" s="9">
        <v>1612.1217188843602</v>
      </c>
      <c r="K12" s="9">
        <f t="shared" ca="1" si="14"/>
        <v>1681.5760268443969</v>
      </c>
      <c r="L12" s="9">
        <f t="shared" ca="1" si="14"/>
        <v>1761.4322097089557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 16384:16384">
      <c r="A13" t="s">
        <v>16</v>
      </c>
      <c r="D13">
        <f t="shared" si="13"/>
        <v>12</v>
      </c>
      <c r="E13" t="e">
        <f>MATCH($D13,'All scores'!$A:$A,FALSE)</f>
        <v>#N/A</v>
      </c>
      <c r="F13">
        <f>MATCH($D13,'All scores'!$A:$A,TRUE)</f>
        <v>19</v>
      </c>
      <c r="I13" t="s">
        <v>16</v>
      </c>
      <c r="J13" s="9">
        <v>1497.8451826064206</v>
      </c>
      <c r="K13" s="9">
        <f t="shared" ca="1" si="14"/>
        <v>1581.2992628316167</v>
      </c>
      <c r="L13" s="9">
        <f t="shared" ca="1" si="14"/>
        <v>1660.9987998108509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spans="1:34 16384:16384">
      <c r="A14" t="s">
        <v>13</v>
      </c>
      <c r="D14">
        <f t="shared" si="13"/>
        <v>13</v>
      </c>
      <c r="E14" t="e">
        <f>MATCH($D14,'All scores'!$A:$A,FALSE)</f>
        <v>#N/A</v>
      </c>
      <c r="F14">
        <f>MATCH($D14,'All scores'!$A:$A,TRUE)</f>
        <v>19</v>
      </c>
      <c r="I14" t="s">
        <v>13</v>
      </c>
      <c r="J14" s="9">
        <v>1499.4334684121718</v>
      </c>
      <c r="K14" s="9">
        <f t="shared" ca="1" si="14"/>
        <v>1429.9791604521351</v>
      </c>
      <c r="L14" s="9">
        <f t="shared" ca="1" si="14"/>
        <v>1411.179748936793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spans="1:34 16384:16384">
      <c r="A15" t="s">
        <v>7</v>
      </c>
      <c r="D15">
        <f t="shared" si="13"/>
        <v>14</v>
      </c>
      <c r="E15" t="e">
        <f>MATCH($D15,'All scores'!$A:$A,FALSE)</f>
        <v>#N/A</v>
      </c>
      <c r="F15">
        <f>MATCH($D15,'All scores'!$A:$A,TRUE)</f>
        <v>19</v>
      </c>
      <c r="I15" t="s">
        <v>7</v>
      </c>
      <c r="J15" s="9">
        <v>1699.2389527941407</v>
      </c>
      <c r="K15" s="9">
        <f t="shared" ca="1" si="14"/>
        <v>1692.5710901316245</v>
      </c>
      <c r="L15" s="9">
        <f t="shared" ca="1" si="14"/>
        <v>1758.6810716222246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spans="1:34 16384:16384">
      <c r="A16" t="s">
        <v>11</v>
      </c>
      <c r="D16">
        <f t="shared" si="13"/>
        <v>15</v>
      </c>
      <c r="E16" t="e">
        <f>MATCH($D16,'All scores'!$A:$A,FALSE)</f>
        <v>#N/A</v>
      </c>
      <c r="F16">
        <f>MATCH($D16,'All scores'!$A:$A,TRUE)</f>
        <v>19</v>
      </c>
      <c r="I16" t="s">
        <v>11</v>
      </c>
      <c r="J16" s="9">
        <v>1322.0126056410807</v>
      </c>
      <c r="K16" s="9">
        <f t="shared" ca="1" si="14"/>
        <v>1313.7995820936294</v>
      </c>
      <c r="L16" s="9">
        <f t="shared" ca="1" si="14"/>
        <v>1245.2272192150926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spans="1:34">
      <c r="A17" t="s">
        <v>24</v>
      </c>
      <c r="D17">
        <f t="shared" si="13"/>
        <v>16</v>
      </c>
      <c r="E17" t="e">
        <f>MATCH($D17,'All scores'!$A:$A,FALSE)</f>
        <v>#N/A</v>
      </c>
      <c r="F17">
        <f>MATCH($D17,'All scores'!$A:$A,TRUE)</f>
        <v>19</v>
      </c>
      <c r="I17" t="s">
        <v>24</v>
      </c>
      <c r="J17" s="9">
        <v>1584.7814409800485</v>
      </c>
      <c r="K17" s="9">
        <f t="shared" ca="1" si="14"/>
        <v>1644.7451392469115</v>
      </c>
      <c r="L17" s="9">
        <f t="shared" ca="1" si="14"/>
        <v>1714.2394292526837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spans="1:34">
      <c r="A18" t="s">
        <v>23</v>
      </c>
      <c r="D18">
        <f t="shared" si="13"/>
        <v>17</v>
      </c>
      <c r="E18" t="e">
        <f>MATCH($D18,'All scores'!$A:$A,FALSE)</f>
        <v>#N/A</v>
      </c>
      <c r="F18">
        <f>MATCH($D18,'All scores'!$A:$A,TRUE)</f>
        <v>19</v>
      </c>
      <c r="I18" t="s">
        <v>23</v>
      </c>
      <c r="J18" s="9">
        <v>1612.4120319903946</v>
      </c>
      <c r="K18" s="9">
        <f t="shared" ca="1" si="14"/>
        <v>1699.1223397872602</v>
      </c>
      <c r="L18" s="9">
        <f t="shared" ca="1" si="14"/>
        <v>1677.5427471718569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spans="1:34">
      <c r="A19" t="s">
        <v>20</v>
      </c>
      <c r="D19">
        <f t="shared" si="13"/>
        <v>18</v>
      </c>
      <c r="E19" t="e">
        <f>MATCH($D19,'All scores'!$A:$A,FALSE)</f>
        <v>#N/A</v>
      </c>
      <c r="F19">
        <f>MATCH($D19,'All scores'!$A:$A,TRUE)</f>
        <v>19</v>
      </c>
      <c r="I19" t="s">
        <v>20</v>
      </c>
      <c r="J19" s="9">
        <v>1423.5320706416023</v>
      </c>
      <c r="K19" s="9">
        <f t="shared" ca="1" si="14"/>
        <v>1363.5683723747393</v>
      </c>
      <c r="L19" s="9">
        <f t="shared" ca="1" si="14"/>
        <v>1291.9124856407036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1:34">
      <c r="D20">
        <f t="shared" si="13"/>
        <v>19</v>
      </c>
      <c r="E20" t="e">
        <f>MATCH($D20,'All scores'!$A:$A,FALSE)</f>
        <v>#N/A</v>
      </c>
      <c r="F20">
        <f>MATCH($D20,'All scores'!$A:$A,TRUE)</f>
        <v>19</v>
      </c>
    </row>
    <row r="21" spans="1:34">
      <c r="D21">
        <f t="shared" si="13"/>
        <v>20</v>
      </c>
      <c r="E21" t="e">
        <f>MATCH($D21,'All scores'!$A:$A,FALSE)</f>
        <v>#N/A</v>
      </c>
      <c r="F21">
        <f>MATCH($D21,'All scores'!$A:$A,TRUE)</f>
        <v>19</v>
      </c>
      <c r="I21" s="11" t="s">
        <v>61</v>
      </c>
      <c r="J21">
        <v>26</v>
      </c>
      <c r="K21">
        <v>44</v>
      </c>
      <c r="L21">
        <v>62</v>
      </c>
      <c r="M21">
        <v>80</v>
      </c>
      <c r="N21">
        <v>98</v>
      </c>
      <c r="O21">
        <v>116</v>
      </c>
      <c r="P21">
        <v>134</v>
      </c>
      <c r="Q21">
        <v>152</v>
      </c>
      <c r="R21">
        <v>170</v>
      </c>
      <c r="S21">
        <v>188</v>
      </c>
      <c r="T21">
        <v>204</v>
      </c>
      <c r="U21">
        <v>222</v>
      </c>
      <c r="V21">
        <v>236</v>
      </c>
      <c r="W21">
        <v>248</v>
      </c>
      <c r="X21">
        <v>260</v>
      </c>
      <c r="Y21">
        <v>278</v>
      </c>
      <c r="Z21">
        <v>296</v>
      </c>
      <c r="AA21" s="9">
        <v>314</v>
      </c>
      <c r="AB21">
        <v>332</v>
      </c>
      <c r="AC21">
        <v>350</v>
      </c>
      <c r="AD21">
        <v>368</v>
      </c>
      <c r="AE21">
        <v>386</v>
      </c>
      <c r="AF21">
        <v>404</v>
      </c>
      <c r="AG21">
        <v>422</v>
      </c>
    </row>
    <row r="22" spans="1:34">
      <c r="D22">
        <f t="shared" si="13"/>
        <v>21</v>
      </c>
      <c r="E22" t="e">
        <f>MATCH($D22,'All scores'!$A:$A,FALSE)</f>
        <v>#N/A</v>
      </c>
      <c r="F22">
        <f>MATCH($D22,'All scores'!$A:$A,TRUE)</f>
        <v>19</v>
      </c>
    </row>
    <row r="23" spans="1:34">
      <c r="D23">
        <f t="shared" si="13"/>
        <v>22</v>
      </c>
      <c r="E23" t="e">
        <f>MATCH($D23,'All scores'!$A:$A,FALSE)</f>
        <v>#N/A</v>
      </c>
      <c r="F23">
        <f>MATCH($D23,'All scores'!$A:$A,TRUE)</f>
        <v>19</v>
      </c>
    </row>
    <row r="24" spans="1:34">
      <c r="D24">
        <f t="shared" si="13"/>
        <v>23</v>
      </c>
      <c r="E24" t="e">
        <f>MATCH($D24,'All scores'!$A:$A,FALSE)</f>
        <v>#N/A</v>
      </c>
      <c r="F24">
        <f>MATCH($D24,'All scores'!$A:$A,TRUE)</f>
        <v>19</v>
      </c>
    </row>
    <row r="26" spans="1:34" ht="31" customHeight="1">
      <c r="A26" s="2" t="s">
        <v>31</v>
      </c>
      <c r="B26" s="2" t="s">
        <v>0</v>
      </c>
      <c r="C26" s="2" t="s">
        <v>32</v>
      </c>
      <c r="D26" s="2" t="s">
        <v>43</v>
      </c>
      <c r="E26" s="2" t="s">
        <v>44</v>
      </c>
      <c r="F26" s="2" t="s">
        <v>34</v>
      </c>
      <c r="G26" s="2" t="s">
        <v>33</v>
      </c>
      <c r="H26" s="2" t="s">
        <v>46</v>
      </c>
      <c r="I26" s="5" t="s">
        <v>29</v>
      </c>
      <c r="J26" s="2" t="s">
        <v>28</v>
      </c>
      <c r="K26" s="2" t="s">
        <v>47</v>
      </c>
      <c r="L26" s="5" t="s">
        <v>6</v>
      </c>
      <c r="M26" s="5" t="s">
        <v>52</v>
      </c>
      <c r="N26" s="2" t="s">
        <v>48</v>
      </c>
      <c r="O26" s="2" t="s">
        <v>49</v>
      </c>
      <c r="P26" s="1" t="s">
        <v>56</v>
      </c>
      <c r="Q26" s="1" t="s">
        <v>54</v>
      </c>
      <c r="R26" s="1" t="s">
        <v>55</v>
      </c>
      <c r="S26" s="1" t="s">
        <v>53</v>
      </c>
      <c r="T26" s="1" t="s">
        <v>57</v>
      </c>
      <c r="U26" s="10" t="s">
        <v>63</v>
      </c>
      <c r="V26" s="10"/>
      <c r="W26" s="10"/>
      <c r="X26" s="10"/>
      <c r="Z26" s="10"/>
      <c r="AB26" s="1" t="s">
        <v>60</v>
      </c>
      <c r="AC26" s="9">
        <f ca="1">MAX(J2:AG19)-MIN(J2:AG19)</f>
        <v>529.85631317451725</v>
      </c>
    </row>
    <row r="27" spans="1:34">
      <c r="A27" t="s">
        <v>10</v>
      </c>
      <c r="B27">
        <v>1</v>
      </c>
      <c r="C27">
        <f t="shared" ref="C27:C44" si="15">VLOOKUP(A27,$I$2:$AG$19,B27+1,FALSE)</f>
        <v>1490.9311019254426</v>
      </c>
      <c r="D27">
        <f>MATCH($B27,'All scores'!$A:$A,FALSE)</f>
        <v>2</v>
      </c>
      <c r="E27">
        <f>MATCH($B27,'All scores'!$A:$A,TRUE)</f>
        <v>10</v>
      </c>
      <c r="F27" t="str">
        <f t="shared" ref="F27:F62" ca="1" si="16">IFERROR(VLOOKUP($A27,INDIRECT(_xlfn.CONCAT("'All scores'!$B$",$D27,":$T$",$E27)),5,FALSE),VLOOKUP($A27,INDIRECT(_xlfn.CONCAT("'FLIPPED'!$B$",$D27,":$T$",$E27)),5,FALSE))</f>
        <v>Hawthorn</v>
      </c>
      <c r="G27" s="9">
        <f ca="1">VLOOKUP(F27,$I$2:$AG$19,B27+1,FALSE)</f>
        <v>1596.2943620164926</v>
      </c>
      <c r="H27" t="b">
        <f t="shared" ref="H27:H62" ca="1" si="17">IFERROR(VLOOKUP($A27,INDIRECT(_xlfn.CONCAT("'All scores'!$B$",$D27,":$T$",$E27)),9,FALSE),VLOOKUP($A27,INDIRECT(_xlfn.CONCAT("'FLIPPED'!$B$",$D27,":$T$",$E27)),9,FALSE))</f>
        <v>0</v>
      </c>
      <c r="I27" s="6" t="str">
        <f t="shared" ref="I27:I44" ca="1" si="18">IFERROR(VLOOKUP($A27,INDIRECT(_xlfn.CONCAT("'All scores'!$B$",$D27,":$T$",$E27)),1,FALSE),F27)</f>
        <v>Adelaide</v>
      </c>
      <c r="J27">
        <f t="shared" ref="J27:J44" ca="1" si="19">IF(H27=TRUE,0,IF(I27=A27,HFA,-1*HFA))</f>
        <v>30</v>
      </c>
      <c r="K27" s="4">
        <f ca="1">1/(1+(10^((G27-C27-J27)/400)))</f>
        <v>0.39321313730942248</v>
      </c>
      <c r="L27" s="6" t="str">
        <f t="shared" ref="L27:L62" ca="1" si="20">IFERROR(VLOOKUP($A27,INDIRECT(_xlfn.CONCAT("'All scores'!$B$",$D27,":$T$",$E27)),10,FALSE),VLOOKUP($A27,INDIRECT(_xlfn.CONCAT("'FLIPPED'!$B$",$D27,":$T$",$E27)),10,FALSE))</f>
        <v>Hawthorn</v>
      </c>
      <c r="M27" s="6" t="str">
        <f t="shared" ref="M27:M44" ca="1" si="21">IF(L27=A27,F27,A27)</f>
        <v>Adelaide</v>
      </c>
      <c r="N27">
        <f t="shared" ref="N27:N44" ca="1" si="22">IF(L27="Draw",0.5,IF(L27=A27,1,0))</f>
        <v>0</v>
      </c>
      <c r="O27" s="3">
        <f t="shared" ref="O27:O62" ca="1" si="23">IFERROR(IFERROR(VLOOKUP($A27,INDIRECT(_xlfn.CONCAT("'All scores'!$B$",$D27,":$T$",$E27)),11,FALSE),VLOOKUP($A27,INDIRECT(_xlfn.CONCAT("'FLIPPED'!$B$",$D27,":$T$",$E27)),11,FALSE)),"")</f>
        <v>-32</v>
      </c>
      <c r="P27" s="8">
        <f ca="1">LN(1+ABS(O27))</f>
        <v>3.4965075614664802</v>
      </c>
      <c r="Q27" s="7">
        <f t="shared" ref="Q27:Q44" ca="1" si="24">VLOOKUP(L27,$I$2:$AG$19,$B27+1,FALSE)</f>
        <v>1596.2943620164926</v>
      </c>
      <c r="R27" s="7">
        <f t="shared" ref="R27:R44" ca="1" si="25">VLOOKUP(M27,$I$2:$AG$19,$B27+1,FALSE)</f>
        <v>1490.9311019254426</v>
      </c>
      <c r="S27" s="8">
        <f t="shared" ref="S27" ca="1" si="26">IFERROR((MVC/((Q27-R27)*0.001+MVC))*P27,1)</f>
        <v>3.4600513326177813</v>
      </c>
      <c r="T27" s="9">
        <f t="shared" ref="T27:T62" ca="1" si="27">IFERROR(C27-k*S27*(N27-K27),C27)</f>
        <v>1531.7472311179511</v>
      </c>
      <c r="U27" s="9">
        <f ca="1">C27-G27</f>
        <v>-105.36326009105005</v>
      </c>
      <c r="X27" s="9"/>
      <c r="Z27" s="9"/>
      <c r="AB27" s="2" t="s">
        <v>58</v>
      </c>
      <c r="AC27" s="4">
        <f ca="1">CORREL($K$45:$K$422,$N$45:$N$422)</f>
        <v>-0.33731211952736423</v>
      </c>
      <c r="AD27" s="4"/>
    </row>
    <row r="28" spans="1:34">
      <c r="A28" t="s">
        <v>12</v>
      </c>
      <c r="B28">
        <v>1</v>
      </c>
      <c r="C28">
        <f t="shared" si="15"/>
        <v>1397.9857413105381</v>
      </c>
      <c r="D28">
        <f>MATCH($B28,'All scores'!$A:$A,FALSE)</f>
        <v>2</v>
      </c>
      <c r="E28">
        <f>MATCH($B28,'All scores'!$A:$A,TRUE)</f>
        <v>10</v>
      </c>
      <c r="F28" t="str">
        <f t="shared" ca="1" si="16"/>
        <v>West Coast</v>
      </c>
      <c r="G28" s="9">
        <f t="shared" ref="G28:G44" ca="1" si="28">VLOOKUP(F28,$I$2:$AG$19,B28+1,FALSE)</f>
        <v>1612.4120319903946</v>
      </c>
      <c r="H28" t="b">
        <f t="shared" ca="1" si="17"/>
        <v>0</v>
      </c>
      <c r="I28" s="6" t="str">
        <f t="shared" ca="1" si="18"/>
        <v>Brisbane Lions</v>
      </c>
      <c r="J28">
        <f t="shared" ca="1" si="19"/>
        <v>30</v>
      </c>
      <c r="K28" s="4">
        <f t="shared" ref="K28:K44" ca="1" si="29">1/(1+(10^((G28-C28-J28)/400)))</f>
        <v>0.2569955872681336</v>
      </c>
      <c r="L28" s="6" t="str">
        <f t="shared" ca="1" si="20"/>
        <v>Brisbane Lions</v>
      </c>
      <c r="M28" s="6" t="str">
        <f t="shared" ca="1" si="21"/>
        <v>West Coast</v>
      </c>
      <c r="N28">
        <f t="shared" ca="1" si="22"/>
        <v>1</v>
      </c>
      <c r="O28" s="3">
        <f t="shared" ca="1" si="23"/>
        <v>44</v>
      </c>
      <c r="P28" s="8">
        <f t="shared" ref="P28:P44" ca="1" si="30">LN(1+ABS(O28))</f>
        <v>3.8066624897703196</v>
      </c>
      <c r="Q28" s="7">
        <f t="shared" ca="1" si="24"/>
        <v>1397.9857413105381</v>
      </c>
      <c r="R28" s="7">
        <f t="shared" ca="1" si="25"/>
        <v>1612.4120319903946</v>
      </c>
      <c r="S28" s="8">
        <f t="shared" ref="S28:S44" ca="1" si="31">IFERROR((MVC/((Q28-R28)*0.001+MVC))*P28,1)</f>
        <v>3.8900759453119371</v>
      </c>
      <c r="T28" s="9">
        <f t="shared" ca="1" si="27"/>
        <v>1311.2754335136724</v>
      </c>
      <c r="U28" s="9">
        <f t="shared" ref="U28:U44" ca="1" si="32">C28-G28</f>
        <v>-214.42629067985649</v>
      </c>
      <c r="Z28" s="9"/>
      <c r="AB28" s="2" t="s">
        <v>59</v>
      </c>
      <c r="AC28" s="4">
        <f ca="1">CORREL($O$45:$O$422,$U$45:$U$422)</f>
        <v>-0.17207282961992235</v>
      </c>
      <c r="AD28" s="4"/>
    </row>
    <row r="29" spans="1:34">
      <c r="A29" t="s">
        <v>8</v>
      </c>
      <c r="B29">
        <v>1</v>
      </c>
      <c r="C29">
        <f t="shared" si="15"/>
        <v>1238.724123734798</v>
      </c>
      <c r="D29">
        <f>MATCH($B29,'All scores'!$A:$A,FALSE)</f>
        <v>2</v>
      </c>
      <c r="E29">
        <f>MATCH($B29,'All scores'!$A:$A,TRUE)</f>
        <v>10</v>
      </c>
      <c r="F29" t="str">
        <f t="shared" ca="1" si="16"/>
        <v>Richmond</v>
      </c>
      <c r="G29" s="9">
        <f t="shared" ca="1" si="28"/>
        <v>1699.2389527941407</v>
      </c>
      <c r="H29" t="b">
        <f t="shared" ca="1" si="17"/>
        <v>1</v>
      </c>
      <c r="I29" s="6" t="str">
        <f t="shared" ca="1" si="18"/>
        <v>Carlton</v>
      </c>
      <c r="J29">
        <f t="shared" ca="1" si="19"/>
        <v>0</v>
      </c>
      <c r="K29" s="4">
        <f t="shared" ca="1" si="29"/>
        <v>6.593131527769136E-2</v>
      </c>
      <c r="L29" s="6" t="str">
        <f t="shared" ca="1" si="20"/>
        <v>Richmond</v>
      </c>
      <c r="M29" s="6" t="str">
        <f t="shared" ca="1" si="21"/>
        <v>Carlton</v>
      </c>
      <c r="N29">
        <f t="shared" ca="1" si="22"/>
        <v>0</v>
      </c>
      <c r="O29" s="3">
        <f t="shared" ca="1" si="23"/>
        <v>-33</v>
      </c>
      <c r="P29" s="8">
        <f t="shared" ca="1" si="30"/>
        <v>3.5263605246161616</v>
      </c>
      <c r="Q29" s="7">
        <f t="shared" ca="1" si="24"/>
        <v>1699.2389527941407</v>
      </c>
      <c r="R29" s="7">
        <f t="shared" ca="1" si="25"/>
        <v>1238.724123734798</v>
      </c>
      <c r="S29" s="8">
        <f t="shared" ca="1" si="31"/>
        <v>3.3711156498912667</v>
      </c>
      <c r="T29" s="9">
        <f t="shared" ca="1" si="27"/>
        <v>1245.3919863973142</v>
      </c>
      <c r="U29" s="9">
        <f t="shared" ca="1" si="32"/>
        <v>-460.51482905934267</v>
      </c>
      <c r="Z29" s="9"/>
    </row>
    <row r="30" spans="1:34">
      <c r="A30" t="s">
        <v>18</v>
      </c>
      <c r="B30">
        <v>1</v>
      </c>
      <c r="C30">
        <f t="shared" si="15"/>
        <v>1608.618441772051</v>
      </c>
      <c r="D30">
        <f>MATCH($B30,'All scores'!$A:$A,FALSE)</f>
        <v>2</v>
      </c>
      <c r="E30">
        <f>MATCH($B30,'All scores'!$A:$A,TRUE)</f>
        <v>10</v>
      </c>
      <c r="F30" t="str">
        <f t="shared" ca="1" si="16"/>
        <v>Geelong</v>
      </c>
      <c r="G30" s="9">
        <f t="shared" ca="1" si="28"/>
        <v>1612.2368031218332</v>
      </c>
      <c r="H30" t="b">
        <f t="shared" ca="1" si="17"/>
        <v>1</v>
      </c>
      <c r="I30" s="6" t="str">
        <f t="shared" ca="1" si="18"/>
        <v>Collingwood</v>
      </c>
      <c r="J30">
        <f t="shared" ca="1" si="19"/>
        <v>0</v>
      </c>
      <c r="K30" s="4">
        <f t="shared" ca="1" si="29"/>
        <v>0.49479294768772519</v>
      </c>
      <c r="L30" s="6" t="str">
        <f t="shared" ca="1" si="20"/>
        <v>Geelong</v>
      </c>
      <c r="M30" s="6" t="str">
        <f t="shared" ca="1" si="21"/>
        <v>Collingwood</v>
      </c>
      <c r="N30">
        <f t="shared" ca="1" si="22"/>
        <v>0</v>
      </c>
      <c r="O30" s="3">
        <f t="shared" ca="1" si="23"/>
        <v>-7</v>
      </c>
      <c r="P30" s="8">
        <f t="shared" ca="1" si="30"/>
        <v>2.0794415416798357</v>
      </c>
      <c r="Q30" s="7">
        <f t="shared" ca="1" si="24"/>
        <v>1612.2368031218332</v>
      </c>
      <c r="R30" s="7">
        <f t="shared" ca="1" si="25"/>
        <v>1608.618441772051</v>
      </c>
      <c r="S30" s="8">
        <f t="shared" ca="1" si="31"/>
        <v>2.078689396742698</v>
      </c>
      <c r="T30" s="9">
        <f t="shared" ca="1" si="27"/>
        <v>1639.4740673902973</v>
      </c>
      <c r="U30" s="9">
        <f t="shared" ca="1" si="32"/>
        <v>-3.6183613497821625</v>
      </c>
      <c r="Z30" s="9"/>
      <c r="AB30" s="5"/>
    </row>
    <row r="31" spans="1:34">
      <c r="A31" t="s">
        <v>9</v>
      </c>
      <c r="B31">
        <v>1</v>
      </c>
      <c r="C31">
        <f t="shared" si="15"/>
        <v>1601.4282319365727</v>
      </c>
      <c r="D31">
        <f>MATCH($B31,'All scores'!$A:$A,FALSE)</f>
        <v>2</v>
      </c>
      <c r="E31">
        <f>MATCH($B31,'All scores'!$A:$A,TRUE)</f>
        <v>10</v>
      </c>
      <c r="F31" t="str">
        <f t="shared" ca="1" si="16"/>
        <v>GWS</v>
      </c>
      <c r="G31" s="9">
        <f t="shared" ca="1" si="28"/>
        <v>1542.064999998496</v>
      </c>
      <c r="H31" t="b">
        <f t="shared" ca="1" si="17"/>
        <v>0</v>
      </c>
      <c r="I31" s="6" t="str">
        <f t="shared" ca="1" si="18"/>
        <v>GWS</v>
      </c>
      <c r="J31">
        <f t="shared" ca="1" si="19"/>
        <v>-30</v>
      </c>
      <c r="K31" s="4">
        <f t="shared" ca="1" si="29"/>
        <v>0.54215676507027344</v>
      </c>
      <c r="L31" s="6" t="str">
        <f t="shared" ca="1" si="20"/>
        <v>GWS</v>
      </c>
      <c r="M31" s="6" t="str">
        <f t="shared" ca="1" si="21"/>
        <v>Essendon</v>
      </c>
      <c r="N31">
        <f t="shared" ca="1" si="22"/>
        <v>0</v>
      </c>
      <c r="O31" s="3">
        <f t="shared" ca="1" si="23"/>
        <v>-72</v>
      </c>
      <c r="P31" s="8">
        <f t="shared" ca="1" si="30"/>
        <v>4.290459441148391</v>
      </c>
      <c r="Q31" s="7">
        <f t="shared" ca="1" si="24"/>
        <v>1542.064999998496</v>
      </c>
      <c r="R31" s="7">
        <f t="shared" ca="1" si="25"/>
        <v>1601.4282319365727</v>
      </c>
      <c r="S31" s="8">
        <f t="shared" ca="1" si="31"/>
        <v>4.3160810934497915</v>
      </c>
      <c r="T31" s="9">
        <f t="shared" ca="1" si="27"/>
        <v>1671.6280088387439</v>
      </c>
      <c r="U31" s="9">
        <f t="shared" ca="1" si="32"/>
        <v>59.363231938076751</v>
      </c>
      <c r="Z31" s="9"/>
      <c r="AB31" s="6"/>
      <c r="AC31" s="6"/>
    </row>
    <row r="32" spans="1:34">
      <c r="A32" t="s">
        <v>14</v>
      </c>
      <c r="B32">
        <v>1</v>
      </c>
      <c r="C32">
        <f t="shared" si="15"/>
        <v>1381.1866660838568</v>
      </c>
      <c r="D32">
        <f>MATCH($B32,'All scores'!$A:$A,FALSE)</f>
        <v>2</v>
      </c>
      <c r="E32">
        <f>MATCH($B32,'All scores'!$A:$A,TRUE)</f>
        <v>10</v>
      </c>
      <c r="F32" t="str">
        <f t="shared" ca="1" si="16"/>
        <v>North Melbourne</v>
      </c>
      <c r="G32" s="9">
        <f t="shared" ca="1" si="28"/>
        <v>1497.8451826064206</v>
      </c>
      <c r="H32" t="b">
        <f t="shared" ca="1" si="17"/>
        <v>0</v>
      </c>
      <c r="I32" s="6" t="str">
        <f t="shared" ca="1" si="18"/>
        <v>Fremantle</v>
      </c>
      <c r="J32">
        <f t="shared" ca="1" si="19"/>
        <v>30</v>
      </c>
      <c r="K32" s="4">
        <f t="shared" ca="1" si="29"/>
        <v>0.3778117789540783</v>
      </c>
      <c r="L32" s="6" t="str">
        <f t="shared" ca="1" si="20"/>
        <v>Fremantle</v>
      </c>
      <c r="M32" s="6" t="str">
        <f t="shared" ca="1" si="21"/>
        <v>North Melbourne</v>
      </c>
      <c r="N32">
        <f t="shared" ca="1" si="22"/>
        <v>1</v>
      </c>
      <c r="O32" s="3">
        <f t="shared" ca="1" si="23"/>
        <v>82</v>
      </c>
      <c r="P32" s="8">
        <f t="shared" ca="1" si="30"/>
        <v>4.4188406077965983</v>
      </c>
      <c r="Q32" s="7">
        <f t="shared" ca="1" si="24"/>
        <v>1381.1866660838568</v>
      </c>
      <c r="R32" s="7">
        <f t="shared" ca="1" si="25"/>
        <v>1497.8451826064206</v>
      </c>
      <c r="S32" s="8">
        <f t="shared" ca="1" si="31"/>
        <v>4.4709986143692744</v>
      </c>
      <c r="T32" s="9">
        <f t="shared" ca="1" si="27"/>
        <v>1297.7325858586607</v>
      </c>
      <c r="U32" s="9">
        <f t="shared" ca="1" si="32"/>
        <v>-116.65851652256379</v>
      </c>
      <c r="Z32" s="9"/>
      <c r="AB32" s="6"/>
      <c r="AC32" s="6"/>
    </row>
    <row r="33" spans="1:26">
      <c r="A33" t="s">
        <v>22</v>
      </c>
      <c r="B33">
        <v>1</v>
      </c>
      <c r="C33">
        <f t="shared" si="15"/>
        <v>1612.2368031218332</v>
      </c>
      <c r="D33">
        <f>MATCH($B33,'All scores'!$A:$A,FALSE)</f>
        <v>2</v>
      </c>
      <c r="E33">
        <f>MATCH($B33,'All scores'!$A:$A,TRUE)</f>
        <v>10</v>
      </c>
      <c r="F33" t="str">
        <f t="shared" ca="1" si="16"/>
        <v>Collingwood</v>
      </c>
      <c r="G33" s="9">
        <f t="shared" ca="1" si="28"/>
        <v>1608.618441772051</v>
      </c>
      <c r="H33" t="b">
        <f t="shared" ca="1" si="17"/>
        <v>1</v>
      </c>
      <c r="I33" s="6" t="str">
        <f t="shared" ca="1" si="18"/>
        <v>Collingwood</v>
      </c>
      <c r="J33">
        <f t="shared" ca="1" si="19"/>
        <v>0</v>
      </c>
      <c r="K33" s="4">
        <f t="shared" ca="1" si="29"/>
        <v>0.50520705231227481</v>
      </c>
      <c r="L33" s="6" t="str">
        <f t="shared" ca="1" si="20"/>
        <v>Geelong</v>
      </c>
      <c r="M33" s="6" t="str">
        <f t="shared" ca="1" si="21"/>
        <v>Collingwood</v>
      </c>
      <c r="N33">
        <f t="shared" ca="1" si="22"/>
        <v>1</v>
      </c>
      <c r="O33" s="3">
        <f t="shared" ca="1" si="23"/>
        <v>7</v>
      </c>
      <c r="P33" s="8">
        <f t="shared" ca="1" si="30"/>
        <v>2.0794415416798357</v>
      </c>
      <c r="Q33" s="7">
        <f t="shared" ca="1" si="24"/>
        <v>1612.2368031218332</v>
      </c>
      <c r="R33" s="7">
        <f t="shared" ca="1" si="25"/>
        <v>1608.618441772051</v>
      </c>
      <c r="S33" s="8">
        <f t="shared" ca="1" si="31"/>
        <v>2.078689396742698</v>
      </c>
      <c r="T33" s="9">
        <f t="shared" ca="1" si="27"/>
        <v>1581.381177503587</v>
      </c>
      <c r="U33" s="9">
        <f t="shared" ca="1" si="32"/>
        <v>3.6183613497821625</v>
      </c>
      <c r="Z33" s="9"/>
    </row>
    <row r="34" spans="1:26">
      <c r="A34" t="s">
        <v>15</v>
      </c>
      <c r="B34">
        <v>1</v>
      </c>
      <c r="C34">
        <f t="shared" si="15"/>
        <v>1279.1520561496998</v>
      </c>
      <c r="D34">
        <f>MATCH($B34,'All scores'!$A:$A,FALSE)</f>
        <v>2</v>
      </c>
      <c r="E34">
        <f>MATCH($B34,'All scores'!$A:$A,TRUE)</f>
        <v>10</v>
      </c>
      <c r="F34" t="str">
        <f t="shared" ca="1" si="16"/>
        <v>St. Kilda</v>
      </c>
      <c r="G34" s="9">
        <f t="shared" ca="1" si="28"/>
        <v>1322.0126056410807</v>
      </c>
      <c r="H34" t="b">
        <f t="shared" ca="1" si="17"/>
        <v>0</v>
      </c>
      <c r="I34" s="6" t="str">
        <f t="shared" ca="1" si="18"/>
        <v>St. Kilda</v>
      </c>
      <c r="J34">
        <f t="shared" ca="1" si="19"/>
        <v>-30</v>
      </c>
      <c r="K34" s="4">
        <f t="shared" ca="1" si="29"/>
        <v>0.39665577763783005</v>
      </c>
      <c r="L34" s="6" t="str">
        <f t="shared" ca="1" si="20"/>
        <v>St. Kilda</v>
      </c>
      <c r="M34" s="6" t="str">
        <f t="shared" ca="1" si="21"/>
        <v>Gold Coast</v>
      </c>
      <c r="N34">
        <f t="shared" ca="1" si="22"/>
        <v>0</v>
      </c>
      <c r="O34" s="3">
        <f t="shared" ca="1" si="23"/>
        <v>-1</v>
      </c>
      <c r="P34" s="8">
        <f t="shared" ca="1" si="30"/>
        <v>0.69314718055994529</v>
      </c>
      <c r="Q34" s="7">
        <f t="shared" ca="1" si="24"/>
        <v>1322.0126056410807</v>
      </c>
      <c r="R34" s="7">
        <f t="shared" ca="1" si="25"/>
        <v>1279.1520561496998</v>
      </c>
      <c r="S34" s="8">
        <f t="shared" ca="1" si="31"/>
        <v>0.69018899261231859</v>
      </c>
      <c r="T34" s="9">
        <f t="shared" ca="1" si="27"/>
        <v>1287.365079697151</v>
      </c>
      <c r="U34" s="9">
        <f t="shared" ca="1" si="32"/>
        <v>-42.86054949138088</v>
      </c>
      <c r="Z34" s="9"/>
    </row>
    <row r="35" spans="1:26">
      <c r="A35" t="s">
        <v>19</v>
      </c>
      <c r="B35">
        <v>1</v>
      </c>
      <c r="C35">
        <f t="shared" si="15"/>
        <v>1542.064999998496</v>
      </c>
      <c r="D35">
        <f>MATCH($B35,'All scores'!$A:$A,FALSE)</f>
        <v>2</v>
      </c>
      <c r="E35">
        <f>MATCH($B35,'All scores'!$A:$A,TRUE)</f>
        <v>10</v>
      </c>
      <c r="F35" t="str">
        <f t="shared" ca="1" si="16"/>
        <v>Essendon</v>
      </c>
      <c r="G35" s="9">
        <f t="shared" ca="1" si="28"/>
        <v>1601.4282319365727</v>
      </c>
      <c r="H35" t="b">
        <f t="shared" ca="1" si="17"/>
        <v>0</v>
      </c>
      <c r="I35" s="6" t="str">
        <f t="shared" ca="1" si="18"/>
        <v>GWS</v>
      </c>
      <c r="J35">
        <f t="shared" ca="1" si="19"/>
        <v>30</v>
      </c>
      <c r="K35" s="4">
        <f t="shared" ca="1" si="29"/>
        <v>0.45784323492972656</v>
      </c>
      <c r="L35" s="6" t="str">
        <f t="shared" ca="1" si="20"/>
        <v>GWS</v>
      </c>
      <c r="M35" s="6" t="str">
        <f t="shared" ca="1" si="21"/>
        <v>Essendon</v>
      </c>
      <c r="N35">
        <f t="shared" ca="1" si="22"/>
        <v>1</v>
      </c>
      <c r="O35" s="3">
        <f t="shared" ca="1" si="23"/>
        <v>72</v>
      </c>
      <c r="P35" s="8">
        <f t="shared" ca="1" si="30"/>
        <v>4.290459441148391</v>
      </c>
      <c r="Q35" s="7">
        <f t="shared" ca="1" si="24"/>
        <v>1542.064999998496</v>
      </c>
      <c r="R35" s="7">
        <f t="shared" ca="1" si="25"/>
        <v>1601.4282319365727</v>
      </c>
      <c r="S35" s="8">
        <f t="shared" ca="1" si="31"/>
        <v>4.3160810934497915</v>
      </c>
      <c r="T35" s="9">
        <f t="shared" ca="1" si="27"/>
        <v>1471.8652230963248</v>
      </c>
      <c r="U35" s="9">
        <f t="shared" ca="1" si="32"/>
        <v>-59.363231938076751</v>
      </c>
      <c r="Z35" s="9"/>
    </row>
    <row r="36" spans="1:26">
      <c r="A36" t="s">
        <v>17</v>
      </c>
      <c r="B36">
        <v>1</v>
      </c>
      <c r="C36">
        <f t="shared" si="15"/>
        <v>1596.2943620164926</v>
      </c>
      <c r="D36">
        <f>MATCH($B36,'All scores'!$A:$A,FALSE)</f>
        <v>2</v>
      </c>
      <c r="E36">
        <f>MATCH($B36,'All scores'!$A:$A,TRUE)</f>
        <v>10</v>
      </c>
      <c r="F36" t="str">
        <f t="shared" ca="1" si="16"/>
        <v>Adelaide</v>
      </c>
      <c r="G36" s="9">
        <f t="shared" ca="1" si="28"/>
        <v>1490.9311019254426</v>
      </c>
      <c r="H36" t="b">
        <f t="shared" ca="1" si="17"/>
        <v>0</v>
      </c>
      <c r="I36" s="6" t="str">
        <f t="shared" ca="1" si="18"/>
        <v>Adelaide</v>
      </c>
      <c r="J36">
        <f t="shared" ca="1" si="19"/>
        <v>-30</v>
      </c>
      <c r="K36" s="4">
        <f t="shared" ca="1" si="29"/>
        <v>0.60678686269057758</v>
      </c>
      <c r="L36" s="6" t="str">
        <f t="shared" ca="1" si="20"/>
        <v>Hawthorn</v>
      </c>
      <c r="M36" s="6" t="str">
        <f t="shared" ca="1" si="21"/>
        <v>Adelaide</v>
      </c>
      <c r="N36">
        <f t="shared" ca="1" si="22"/>
        <v>1</v>
      </c>
      <c r="O36" s="3">
        <f t="shared" ca="1" si="23"/>
        <v>32</v>
      </c>
      <c r="P36" s="8">
        <f t="shared" ca="1" si="30"/>
        <v>3.4965075614664802</v>
      </c>
      <c r="Q36" s="7">
        <f t="shared" ca="1" si="24"/>
        <v>1596.2943620164926</v>
      </c>
      <c r="R36" s="7">
        <f t="shared" ca="1" si="25"/>
        <v>1490.9311019254426</v>
      </c>
      <c r="S36" s="8">
        <f t="shared" ca="1" si="31"/>
        <v>3.4600513326177813</v>
      </c>
      <c r="T36" s="9">
        <f t="shared" ca="1" si="27"/>
        <v>1555.4782328239842</v>
      </c>
      <c r="U36" s="9">
        <f t="shared" ca="1" si="32"/>
        <v>105.36326009105005</v>
      </c>
      <c r="Z36" s="9"/>
    </row>
    <row r="37" spans="1:26">
      <c r="A37" t="s">
        <v>21</v>
      </c>
      <c r="B37">
        <v>1</v>
      </c>
      <c r="C37">
        <f t="shared" si="15"/>
        <v>1612.1217188843602</v>
      </c>
      <c r="D37">
        <f>MATCH($B37,'All scores'!$A:$A,FALSE)</f>
        <v>2</v>
      </c>
      <c r="E37">
        <f>MATCH($B37,'All scores'!$A:$A,TRUE)</f>
        <v>10</v>
      </c>
      <c r="F37" t="str">
        <f t="shared" ca="1" si="16"/>
        <v>Port Adelaide</v>
      </c>
      <c r="G37" s="9">
        <f t="shared" ca="1" si="28"/>
        <v>1499.4334684121718</v>
      </c>
      <c r="H37" t="b">
        <f t="shared" ca="1" si="17"/>
        <v>0</v>
      </c>
      <c r="I37" s="6" t="str">
        <f t="shared" ca="1" si="18"/>
        <v>Melbourne</v>
      </c>
      <c r="J37">
        <f t="shared" ca="1" si="19"/>
        <v>30</v>
      </c>
      <c r="K37" s="4">
        <f t="shared" ca="1" si="29"/>
        <v>0.69452911159113939</v>
      </c>
      <c r="L37" s="6" t="str">
        <f t="shared" ca="1" si="20"/>
        <v>Port Adelaide</v>
      </c>
      <c r="M37" s="6" t="str">
        <f t="shared" ca="1" si="21"/>
        <v>Melbourne</v>
      </c>
      <c r="N37">
        <f t="shared" ca="1" si="22"/>
        <v>0</v>
      </c>
      <c r="O37" s="3">
        <f t="shared" ca="1" si="23"/>
        <v>-26</v>
      </c>
      <c r="P37" s="8">
        <f t="shared" ca="1" si="30"/>
        <v>3.2958368660043291</v>
      </c>
      <c r="Q37" s="7">
        <f t="shared" ca="1" si="24"/>
        <v>1499.4334684121718</v>
      </c>
      <c r="R37" s="7">
        <f t="shared" ca="1" si="25"/>
        <v>1612.1217188843602</v>
      </c>
      <c r="S37" s="8">
        <f t="shared" ca="1" si="31"/>
        <v>3.3334003716042724</v>
      </c>
      <c r="T37" s="9">
        <f t="shared" ca="1" si="27"/>
        <v>1681.5760268443969</v>
      </c>
      <c r="U37" s="9">
        <f t="shared" ca="1" si="32"/>
        <v>112.68825047218843</v>
      </c>
      <c r="Z37" s="9"/>
    </row>
    <row r="38" spans="1:26">
      <c r="A38" t="s">
        <v>16</v>
      </c>
      <c r="B38">
        <v>1</v>
      </c>
      <c r="C38">
        <f t="shared" si="15"/>
        <v>1497.8451826064206</v>
      </c>
      <c r="D38">
        <f>MATCH($B38,'All scores'!$A:$A,FALSE)</f>
        <v>2</v>
      </c>
      <c r="E38">
        <f>MATCH($B38,'All scores'!$A:$A,TRUE)</f>
        <v>10</v>
      </c>
      <c r="F38" t="str">
        <f t="shared" ca="1" si="16"/>
        <v>Fremantle</v>
      </c>
      <c r="G38" s="9">
        <f t="shared" ca="1" si="28"/>
        <v>1381.1866660838568</v>
      </c>
      <c r="H38" t="b">
        <f t="shared" ca="1" si="17"/>
        <v>0</v>
      </c>
      <c r="I38" s="6" t="str">
        <f t="shared" ca="1" si="18"/>
        <v>Fremantle</v>
      </c>
      <c r="J38">
        <f t="shared" ca="1" si="19"/>
        <v>-30</v>
      </c>
      <c r="K38" s="4">
        <f t="shared" ca="1" si="29"/>
        <v>0.62218822104592175</v>
      </c>
      <c r="L38" s="6" t="str">
        <f t="shared" ca="1" si="20"/>
        <v>Fremantle</v>
      </c>
      <c r="M38" s="6" t="str">
        <f t="shared" ca="1" si="21"/>
        <v>North Melbourne</v>
      </c>
      <c r="N38">
        <f t="shared" ca="1" si="22"/>
        <v>0</v>
      </c>
      <c r="O38" s="3">
        <f t="shared" ca="1" si="23"/>
        <v>-82</v>
      </c>
      <c r="P38" s="8">
        <f t="shared" ca="1" si="30"/>
        <v>4.4188406077965983</v>
      </c>
      <c r="Q38" s="7">
        <f t="shared" ca="1" si="24"/>
        <v>1381.1866660838568</v>
      </c>
      <c r="R38" s="7">
        <f t="shared" ca="1" si="25"/>
        <v>1497.8451826064206</v>
      </c>
      <c r="S38" s="8">
        <f t="shared" ca="1" si="31"/>
        <v>4.4709986143692744</v>
      </c>
      <c r="T38" s="9">
        <f t="shared" ca="1" si="27"/>
        <v>1581.2992628316167</v>
      </c>
      <c r="U38" s="9">
        <f t="shared" ca="1" si="32"/>
        <v>116.65851652256379</v>
      </c>
      <c r="Z38" s="9"/>
    </row>
    <row r="39" spans="1:26">
      <c r="A39" t="s">
        <v>13</v>
      </c>
      <c r="B39">
        <v>1</v>
      </c>
      <c r="C39">
        <f t="shared" si="15"/>
        <v>1499.4334684121718</v>
      </c>
      <c r="D39">
        <f>MATCH($B39,'All scores'!$A:$A,FALSE)</f>
        <v>2</v>
      </c>
      <c r="E39">
        <f>MATCH($B39,'All scores'!$A:$A,TRUE)</f>
        <v>10</v>
      </c>
      <c r="F39" t="str">
        <f t="shared" ca="1" si="16"/>
        <v>Melbourne</v>
      </c>
      <c r="G39" s="9">
        <f t="shared" ca="1" si="28"/>
        <v>1612.1217188843602</v>
      </c>
      <c r="H39" t="b">
        <f t="shared" ca="1" si="17"/>
        <v>0</v>
      </c>
      <c r="I39" s="6" t="str">
        <f t="shared" ca="1" si="18"/>
        <v>Melbourne</v>
      </c>
      <c r="J39">
        <f t="shared" ca="1" si="19"/>
        <v>-30</v>
      </c>
      <c r="K39" s="4">
        <f t="shared" ca="1" si="29"/>
        <v>0.30547088840886066</v>
      </c>
      <c r="L39" s="6" t="str">
        <f t="shared" ca="1" si="20"/>
        <v>Port Adelaide</v>
      </c>
      <c r="M39" s="6" t="str">
        <f t="shared" ca="1" si="21"/>
        <v>Melbourne</v>
      </c>
      <c r="N39">
        <f t="shared" ca="1" si="22"/>
        <v>1</v>
      </c>
      <c r="O39" s="3">
        <f t="shared" ca="1" si="23"/>
        <v>26</v>
      </c>
      <c r="P39" s="8">
        <f t="shared" ca="1" si="30"/>
        <v>3.2958368660043291</v>
      </c>
      <c r="Q39" s="7">
        <f t="shared" ca="1" si="24"/>
        <v>1499.4334684121718</v>
      </c>
      <c r="R39" s="7">
        <f t="shared" ca="1" si="25"/>
        <v>1612.1217188843602</v>
      </c>
      <c r="S39" s="8">
        <f t="shared" ca="1" si="31"/>
        <v>3.3334003716042724</v>
      </c>
      <c r="T39" s="9">
        <f t="shared" ca="1" si="27"/>
        <v>1429.9791604521351</v>
      </c>
      <c r="U39" s="9">
        <f t="shared" ca="1" si="32"/>
        <v>-112.68825047218843</v>
      </c>
      <c r="Z39" s="9"/>
    </row>
    <row r="40" spans="1:26">
      <c r="A40" t="s">
        <v>7</v>
      </c>
      <c r="B40">
        <v>1</v>
      </c>
      <c r="C40">
        <f t="shared" si="15"/>
        <v>1699.2389527941407</v>
      </c>
      <c r="D40">
        <f>MATCH($B40,'All scores'!$A:$A,FALSE)</f>
        <v>2</v>
      </c>
      <c r="E40">
        <f>MATCH($B40,'All scores'!$A:$A,TRUE)</f>
        <v>10</v>
      </c>
      <c r="F40" t="str">
        <f t="shared" ca="1" si="16"/>
        <v>Carlton</v>
      </c>
      <c r="G40" s="9">
        <f t="shared" ca="1" si="28"/>
        <v>1238.724123734798</v>
      </c>
      <c r="H40" t="b">
        <f t="shared" ca="1" si="17"/>
        <v>1</v>
      </c>
      <c r="I40" s="6" t="str">
        <f t="shared" ca="1" si="18"/>
        <v>Carlton</v>
      </c>
      <c r="J40">
        <f t="shared" ca="1" si="19"/>
        <v>0</v>
      </c>
      <c r="K40" s="4">
        <f t="shared" ca="1" si="29"/>
        <v>0.93406868472230853</v>
      </c>
      <c r="L40" s="6" t="str">
        <f t="shared" ca="1" si="20"/>
        <v>Richmond</v>
      </c>
      <c r="M40" s="6" t="str">
        <f t="shared" ca="1" si="21"/>
        <v>Carlton</v>
      </c>
      <c r="N40">
        <f t="shared" ca="1" si="22"/>
        <v>1</v>
      </c>
      <c r="O40" s="3">
        <f t="shared" ca="1" si="23"/>
        <v>33</v>
      </c>
      <c r="P40" s="8">
        <f t="shared" ca="1" si="30"/>
        <v>3.5263605246161616</v>
      </c>
      <c r="Q40" s="7">
        <f t="shared" ca="1" si="24"/>
        <v>1699.2389527941407</v>
      </c>
      <c r="R40" s="7">
        <f t="shared" ca="1" si="25"/>
        <v>1238.724123734798</v>
      </c>
      <c r="S40" s="8">
        <f t="shared" ca="1" si="31"/>
        <v>3.3711156498912667</v>
      </c>
      <c r="T40" s="9">
        <f t="shared" ca="1" si="27"/>
        <v>1692.5710901316245</v>
      </c>
      <c r="U40" s="9">
        <f t="shared" ca="1" si="32"/>
        <v>460.51482905934267</v>
      </c>
      <c r="Z40" s="9"/>
    </row>
    <row r="41" spans="1:26">
      <c r="A41" t="s">
        <v>11</v>
      </c>
      <c r="B41">
        <v>1</v>
      </c>
      <c r="C41">
        <f t="shared" si="15"/>
        <v>1322.0126056410807</v>
      </c>
      <c r="D41">
        <f>MATCH($B41,'All scores'!$A:$A,FALSE)</f>
        <v>2</v>
      </c>
      <c r="E41">
        <f>MATCH($B41,'All scores'!$A:$A,TRUE)</f>
        <v>10</v>
      </c>
      <c r="F41" t="str">
        <f t="shared" ca="1" si="16"/>
        <v>Gold Coast</v>
      </c>
      <c r="G41" s="9">
        <f t="shared" ca="1" si="28"/>
        <v>1279.1520561496998</v>
      </c>
      <c r="H41" t="b">
        <f t="shared" ca="1" si="17"/>
        <v>0</v>
      </c>
      <c r="I41" s="6" t="str">
        <f t="shared" ca="1" si="18"/>
        <v>St. Kilda</v>
      </c>
      <c r="J41">
        <f t="shared" ca="1" si="19"/>
        <v>30</v>
      </c>
      <c r="K41" s="4">
        <f t="shared" ca="1" si="29"/>
        <v>0.60334422236216989</v>
      </c>
      <c r="L41" s="6" t="str">
        <f t="shared" ca="1" si="20"/>
        <v>St. Kilda</v>
      </c>
      <c r="M41" s="6" t="str">
        <f t="shared" ca="1" si="21"/>
        <v>Gold Coast</v>
      </c>
      <c r="N41">
        <f t="shared" ca="1" si="22"/>
        <v>1</v>
      </c>
      <c r="O41" s="3">
        <f t="shared" ca="1" si="23"/>
        <v>1</v>
      </c>
      <c r="P41" s="8">
        <f t="shared" ca="1" si="30"/>
        <v>0.69314718055994529</v>
      </c>
      <c r="Q41" s="7">
        <f t="shared" ca="1" si="24"/>
        <v>1322.0126056410807</v>
      </c>
      <c r="R41" s="7">
        <f t="shared" ca="1" si="25"/>
        <v>1279.1520561496998</v>
      </c>
      <c r="S41" s="8">
        <f t="shared" ca="1" si="31"/>
        <v>0.69018899261231859</v>
      </c>
      <c r="T41" s="9">
        <f t="shared" ca="1" si="27"/>
        <v>1313.7995820936294</v>
      </c>
      <c r="U41" s="9">
        <f t="shared" ca="1" si="32"/>
        <v>42.86054949138088</v>
      </c>
      <c r="Z41" s="9"/>
    </row>
    <row r="42" spans="1:26">
      <c r="A42" t="s">
        <v>24</v>
      </c>
      <c r="B42">
        <v>1</v>
      </c>
      <c r="C42">
        <f t="shared" si="15"/>
        <v>1584.7814409800485</v>
      </c>
      <c r="D42">
        <f>MATCH($B42,'All scores'!$A:$A,FALSE)</f>
        <v>2</v>
      </c>
      <c r="E42">
        <f>MATCH($B42,'All scores'!$A:$A,TRUE)</f>
        <v>10</v>
      </c>
      <c r="F42" t="str">
        <f t="shared" ca="1" si="16"/>
        <v>Western Bulldogs</v>
      </c>
      <c r="G42" s="9">
        <f t="shared" ca="1" si="28"/>
        <v>1423.5320706416023</v>
      </c>
      <c r="H42" t="b">
        <f t="shared" ca="1" si="17"/>
        <v>0</v>
      </c>
      <c r="I42" s="6" t="str">
        <f t="shared" ca="1" si="18"/>
        <v>Western Bulldogs</v>
      </c>
      <c r="J42">
        <f t="shared" ca="1" si="19"/>
        <v>-30</v>
      </c>
      <c r="K42" s="4">
        <f t="shared" ca="1" si="29"/>
        <v>0.68038292129517042</v>
      </c>
      <c r="L42" s="6" t="str">
        <f t="shared" ca="1" si="20"/>
        <v>Western Bulldogs</v>
      </c>
      <c r="M42" s="6" t="str">
        <f t="shared" ca="1" si="21"/>
        <v>Sydney</v>
      </c>
      <c r="N42">
        <f t="shared" ca="1" si="22"/>
        <v>0</v>
      </c>
      <c r="O42" s="3">
        <f t="shared" ca="1" si="23"/>
        <v>-17</v>
      </c>
      <c r="P42" s="8">
        <f t="shared" ca="1" si="30"/>
        <v>2.8903717578961645</v>
      </c>
      <c r="Q42" s="7">
        <f t="shared" ca="1" si="24"/>
        <v>1423.5320706416023</v>
      </c>
      <c r="R42" s="7">
        <f t="shared" ca="1" si="25"/>
        <v>1584.7814409800485</v>
      </c>
      <c r="S42" s="8">
        <f t="shared" ca="1" si="31"/>
        <v>2.9377426735284491</v>
      </c>
      <c r="T42" s="9">
        <f t="shared" ca="1" si="27"/>
        <v>1644.7451392469115</v>
      </c>
      <c r="U42" s="9">
        <f t="shared" ca="1" si="32"/>
        <v>161.24937033844617</v>
      </c>
      <c r="Z42" s="9"/>
    </row>
    <row r="43" spans="1:26">
      <c r="A43" t="s">
        <v>23</v>
      </c>
      <c r="B43">
        <v>1</v>
      </c>
      <c r="C43">
        <f t="shared" si="15"/>
        <v>1612.4120319903946</v>
      </c>
      <c r="D43">
        <f>MATCH($B43,'All scores'!$A:$A,FALSE)</f>
        <v>2</v>
      </c>
      <c r="E43">
        <f>MATCH($B43,'All scores'!$A:$A,TRUE)</f>
        <v>10</v>
      </c>
      <c r="F43" t="str">
        <f t="shared" ca="1" si="16"/>
        <v>Brisbane Lions</v>
      </c>
      <c r="G43" s="9">
        <f t="shared" ca="1" si="28"/>
        <v>1397.9857413105381</v>
      </c>
      <c r="H43" t="b">
        <f t="shared" ca="1" si="17"/>
        <v>0</v>
      </c>
      <c r="I43" s="6" t="str">
        <f t="shared" ca="1" si="18"/>
        <v>Brisbane Lions</v>
      </c>
      <c r="J43">
        <f t="shared" ca="1" si="19"/>
        <v>-30</v>
      </c>
      <c r="K43" s="4">
        <f t="shared" ca="1" si="29"/>
        <v>0.74300441273186635</v>
      </c>
      <c r="L43" s="6" t="str">
        <f t="shared" ca="1" si="20"/>
        <v>Brisbane Lions</v>
      </c>
      <c r="M43" s="6" t="str">
        <f t="shared" ca="1" si="21"/>
        <v>West Coast</v>
      </c>
      <c r="N43">
        <f t="shared" ca="1" si="22"/>
        <v>0</v>
      </c>
      <c r="O43" s="3">
        <f t="shared" ca="1" si="23"/>
        <v>-44</v>
      </c>
      <c r="P43" s="8">
        <f t="shared" ca="1" si="30"/>
        <v>3.8066624897703196</v>
      </c>
      <c r="Q43" s="7">
        <f t="shared" ca="1" si="24"/>
        <v>1397.9857413105381</v>
      </c>
      <c r="R43" s="7">
        <f t="shared" ca="1" si="25"/>
        <v>1612.4120319903946</v>
      </c>
      <c r="S43" s="8">
        <f t="shared" ca="1" si="31"/>
        <v>3.8900759453119371</v>
      </c>
      <c r="T43" s="9">
        <f t="shared" ca="1" si="27"/>
        <v>1699.1223397872602</v>
      </c>
      <c r="U43" s="9">
        <f t="shared" ca="1" si="32"/>
        <v>214.42629067985649</v>
      </c>
      <c r="Z43" s="9"/>
    </row>
    <row r="44" spans="1:26">
      <c r="A44" t="s">
        <v>20</v>
      </c>
      <c r="B44">
        <v>1</v>
      </c>
      <c r="C44">
        <f t="shared" si="15"/>
        <v>1423.5320706416023</v>
      </c>
      <c r="D44">
        <f>MATCH($B44,'All scores'!$A:$A,FALSE)</f>
        <v>2</v>
      </c>
      <c r="E44">
        <f>MATCH($B44,'All scores'!$A:$A,TRUE)</f>
        <v>10</v>
      </c>
      <c r="F44" t="str">
        <f t="shared" ca="1" si="16"/>
        <v>Sydney</v>
      </c>
      <c r="G44" s="9">
        <f t="shared" ca="1" si="28"/>
        <v>1584.7814409800485</v>
      </c>
      <c r="H44" t="b">
        <f t="shared" ca="1" si="17"/>
        <v>0</v>
      </c>
      <c r="I44" s="6" t="str">
        <f t="shared" ca="1" si="18"/>
        <v>Western Bulldogs</v>
      </c>
      <c r="J44">
        <f t="shared" ca="1" si="19"/>
        <v>30</v>
      </c>
      <c r="K44" s="4">
        <f t="shared" ca="1" si="29"/>
        <v>0.31961707870482958</v>
      </c>
      <c r="L44" s="6" t="str">
        <f t="shared" ca="1" si="20"/>
        <v>Western Bulldogs</v>
      </c>
      <c r="M44" s="6" t="str">
        <f t="shared" ca="1" si="21"/>
        <v>Sydney</v>
      </c>
      <c r="N44">
        <f t="shared" ca="1" si="22"/>
        <v>1</v>
      </c>
      <c r="O44" s="3">
        <f t="shared" ca="1" si="23"/>
        <v>17</v>
      </c>
      <c r="P44" s="8">
        <f t="shared" ca="1" si="30"/>
        <v>2.8903717578961645</v>
      </c>
      <c r="Q44" s="7">
        <f t="shared" ca="1" si="24"/>
        <v>1423.5320706416023</v>
      </c>
      <c r="R44" s="7">
        <f t="shared" ca="1" si="25"/>
        <v>1584.7814409800485</v>
      </c>
      <c r="S44" s="8">
        <f t="shared" ca="1" si="31"/>
        <v>2.9377426735284491</v>
      </c>
      <c r="T44" s="9">
        <f t="shared" ca="1" si="27"/>
        <v>1363.5683723747393</v>
      </c>
      <c r="U44" s="9">
        <f t="shared" ca="1" si="32"/>
        <v>-161.24937033844617</v>
      </c>
      <c r="Z44" s="9"/>
    </row>
    <row r="45" spans="1:26">
      <c r="A45" t="s">
        <v>10</v>
      </c>
      <c r="B45">
        <v>2</v>
      </c>
      <c r="C45">
        <f t="shared" ref="C45:C62" ca="1" si="33">VLOOKUP(A45,$I$2:$AG$19,B45+1,FALSE)</f>
        <v>1531.7472311179511</v>
      </c>
      <c r="D45">
        <v>11</v>
      </c>
      <c r="E45">
        <v>19</v>
      </c>
      <c r="F45" t="str">
        <f t="shared" ca="1" si="16"/>
        <v>Sydney</v>
      </c>
      <c r="G45" s="9">
        <f t="shared" ref="G45:G62" ca="1" si="34">VLOOKUP(F45,$I$2:$AG$19,B45+1,FALSE)</f>
        <v>1644.7451392469115</v>
      </c>
      <c r="H45" t="b">
        <f t="shared" ca="1" si="17"/>
        <v>0</v>
      </c>
      <c r="I45" s="6" t="str">
        <f t="shared" ref="I45:I62" ca="1" si="35">IFERROR(VLOOKUP($A45,INDIRECT(_xlfn.CONCAT("'All scores'!$B$",$D45,":$T$",$E45)),1,FALSE),F45)</f>
        <v>Sydney</v>
      </c>
      <c r="J45">
        <f t="shared" ref="J45:J62" ca="1" si="36">IF(H45=TRUE,0,IF(I45=A45,HFA,-1*HFA))</f>
        <v>-30</v>
      </c>
      <c r="K45" s="4">
        <f t="shared" ref="K45:K62" ca="1" si="37">1/(1+(10^((G45-C45-J45)/400)))</f>
        <v>0.3050928402562304</v>
      </c>
      <c r="L45" s="6" t="str">
        <f t="shared" ca="1" si="20"/>
        <v>Adelaide</v>
      </c>
      <c r="M45" s="6" t="str">
        <f t="shared" ref="M45:M62" ca="1" si="38">IF(L45=A45,F45,A45)</f>
        <v>Sydney</v>
      </c>
      <c r="N45">
        <f t="shared" ref="N45:N62" ca="1" si="39">IF(L45="Draw",0.5,IF(L45=A45,1,0))</f>
        <v>1</v>
      </c>
      <c r="O45" s="3">
        <f t="shared" ca="1" si="23"/>
        <v>26</v>
      </c>
      <c r="P45" s="8">
        <f t="shared" ref="P45:P62" ca="1" si="40">LN(1+ABS(O45))</f>
        <v>3.2958368660043291</v>
      </c>
      <c r="Q45" s="7">
        <f t="shared" ref="Q45:Q62" ca="1" si="41">VLOOKUP(L45,$I$2:$AG$19,$B45+1,FALSE)</f>
        <v>1531.7472311179511</v>
      </c>
      <c r="R45" s="7">
        <f t="shared" ref="R45:R62" ca="1" si="42">VLOOKUP(M45,$I$2:$AG$19,$B45+1,FALSE)</f>
        <v>1644.7451392469115</v>
      </c>
      <c r="S45" s="8">
        <f t="shared" ref="S45:S62" ca="1" si="43">IFERROR((MVC/((Q45-R45)*0.001+MVC))*P45,1)</f>
        <v>3.3335047726085971</v>
      </c>
      <c r="T45" s="9">
        <f t="shared" ca="1" si="27"/>
        <v>1462.2529411121789</v>
      </c>
      <c r="U45" s="9">
        <f t="shared" ref="U45:U62" ca="1" si="44">C45-G45</f>
        <v>-112.99790812896049</v>
      </c>
      <c r="Z45" s="9"/>
    </row>
    <row r="46" spans="1:26">
      <c r="A46" t="s">
        <v>12</v>
      </c>
      <c r="B46">
        <v>2</v>
      </c>
      <c r="C46">
        <f t="shared" ca="1" si="33"/>
        <v>1311.2754335136724</v>
      </c>
      <c r="D46">
        <v>11</v>
      </c>
      <c r="E46">
        <v>19</v>
      </c>
      <c r="F46" t="str">
        <f t="shared" ca="1" si="16"/>
        <v>North Melbourne</v>
      </c>
      <c r="G46" s="9">
        <f t="shared" ca="1" si="34"/>
        <v>1581.2992628316167</v>
      </c>
      <c r="H46" t="b">
        <f t="shared" ca="1" si="17"/>
        <v>0</v>
      </c>
      <c r="I46" s="6" t="str">
        <f t="shared" ca="1" si="35"/>
        <v>North Melbourne</v>
      </c>
      <c r="J46">
        <f t="shared" ca="1" si="36"/>
        <v>-30</v>
      </c>
      <c r="K46" s="4">
        <f t="shared" ca="1" si="37"/>
        <v>0.15096197462284597</v>
      </c>
      <c r="L46" s="6" t="str">
        <f t="shared" ca="1" si="20"/>
        <v>Brisbane Lions</v>
      </c>
      <c r="M46" s="6" t="str">
        <f t="shared" ca="1" si="38"/>
        <v>North Melbourne</v>
      </c>
      <c r="N46">
        <f t="shared" ca="1" si="39"/>
        <v>1</v>
      </c>
      <c r="O46" s="3">
        <f t="shared" ca="1" si="23"/>
        <v>20</v>
      </c>
      <c r="P46" s="8">
        <f t="shared" ca="1" si="40"/>
        <v>3.044522437723423</v>
      </c>
      <c r="Q46" s="7">
        <f t="shared" ca="1" si="41"/>
        <v>1311.2754335136724</v>
      </c>
      <c r="R46" s="7">
        <f t="shared" ca="1" si="42"/>
        <v>1581.2992628316167</v>
      </c>
      <c r="S46" s="8">
        <f t="shared" ca="1" si="43"/>
        <v>3.1290132517457203</v>
      </c>
      <c r="T46" s="9">
        <f t="shared" ca="1" si="27"/>
        <v>1231.5758965344385</v>
      </c>
      <c r="U46" s="9">
        <f t="shared" ca="1" si="44"/>
        <v>-270.02382931794432</v>
      </c>
      <c r="Z46" s="9"/>
    </row>
    <row r="47" spans="1:26">
      <c r="A47" t="s">
        <v>8</v>
      </c>
      <c r="B47">
        <v>2</v>
      </c>
      <c r="C47">
        <f t="shared" ca="1" si="33"/>
        <v>1245.3919863973142</v>
      </c>
      <c r="D47">
        <v>11</v>
      </c>
      <c r="E47">
        <v>19</v>
      </c>
      <c r="F47" t="str">
        <f t="shared" ca="1" si="16"/>
        <v>Port Adelaide</v>
      </c>
      <c r="G47" s="9">
        <f t="shared" ca="1" si="34"/>
        <v>1429.9791604521351</v>
      </c>
      <c r="H47" t="b">
        <f t="shared" ca="1" si="17"/>
        <v>0</v>
      </c>
      <c r="I47" s="6" t="str">
        <f t="shared" ca="1" si="35"/>
        <v>Port Adelaide</v>
      </c>
      <c r="J47">
        <f t="shared" ca="1" si="36"/>
        <v>-30</v>
      </c>
      <c r="K47" s="4">
        <f t="shared" ca="1" si="37"/>
        <v>0.22526159304899607</v>
      </c>
      <c r="L47" s="6" t="str">
        <f t="shared" ca="1" si="20"/>
        <v>Port Adelaide</v>
      </c>
      <c r="M47" s="6" t="str">
        <f t="shared" ca="1" si="38"/>
        <v>Carlton</v>
      </c>
      <c r="N47">
        <f t="shared" ca="1" si="39"/>
        <v>0</v>
      </c>
      <c r="O47" s="3">
        <f t="shared" ca="1" si="23"/>
        <v>-16</v>
      </c>
      <c r="P47" s="8">
        <f t="shared" ca="1" si="40"/>
        <v>2.8332133440562162</v>
      </c>
      <c r="Q47" s="7">
        <f t="shared" ca="1" si="41"/>
        <v>1429.9791604521351</v>
      </c>
      <c r="R47" s="7">
        <f t="shared" ca="1" si="42"/>
        <v>1245.3919863973142</v>
      </c>
      <c r="S47" s="8">
        <f t="shared" ca="1" si="43"/>
        <v>2.7818637080095021</v>
      </c>
      <c r="T47" s="9">
        <f t="shared" ca="1" si="27"/>
        <v>1264.1913979126564</v>
      </c>
      <c r="U47" s="9">
        <f t="shared" ca="1" si="44"/>
        <v>-184.58717405482093</v>
      </c>
      <c r="Z47" s="9"/>
    </row>
    <row r="48" spans="1:26">
      <c r="A48" t="s">
        <v>18</v>
      </c>
      <c r="B48">
        <v>2</v>
      </c>
      <c r="C48">
        <f t="shared" ca="1" si="33"/>
        <v>1639.4740673902973</v>
      </c>
      <c r="D48">
        <v>11</v>
      </c>
      <c r="E48">
        <v>19</v>
      </c>
      <c r="F48" t="str">
        <f t="shared" ca="1" si="16"/>
        <v>Richmond</v>
      </c>
      <c r="G48" s="9">
        <f t="shared" ca="1" si="34"/>
        <v>1692.5710901316245</v>
      </c>
      <c r="H48" t="b">
        <f t="shared" ca="1" si="17"/>
        <v>1</v>
      </c>
      <c r="I48" s="6" t="str">
        <f t="shared" ca="1" si="35"/>
        <v>Richmond</v>
      </c>
      <c r="J48">
        <f t="shared" ca="1" si="36"/>
        <v>0</v>
      </c>
      <c r="K48" s="4">
        <f t="shared" ca="1" si="37"/>
        <v>0.42417662586538518</v>
      </c>
      <c r="L48" s="6" t="str">
        <f t="shared" ca="1" si="20"/>
        <v>Collingwood</v>
      </c>
      <c r="M48" s="6" t="str">
        <f t="shared" ca="1" si="38"/>
        <v>Richmond</v>
      </c>
      <c r="N48">
        <f t="shared" ca="1" si="39"/>
        <v>1</v>
      </c>
      <c r="O48" s="3">
        <f t="shared" ca="1" si="23"/>
        <v>44</v>
      </c>
      <c r="P48" s="8">
        <f t="shared" ca="1" si="40"/>
        <v>3.8066624897703196</v>
      </c>
      <c r="Q48" s="7">
        <f t="shared" ca="1" si="41"/>
        <v>1639.4740673902973</v>
      </c>
      <c r="R48" s="7">
        <f t="shared" ca="1" si="42"/>
        <v>1692.5710901316245</v>
      </c>
      <c r="S48" s="8">
        <f t="shared" ca="1" si="43"/>
        <v>3.8269826281339898</v>
      </c>
      <c r="T48" s="9">
        <f t="shared" ca="1" si="27"/>
        <v>1573.3640858996971</v>
      </c>
      <c r="U48" s="9">
        <f t="shared" ca="1" si="44"/>
        <v>-53.097022741327237</v>
      </c>
      <c r="Z48" s="9"/>
    </row>
    <row r="49" spans="1:26">
      <c r="A49" t="s">
        <v>9</v>
      </c>
      <c r="B49">
        <v>2</v>
      </c>
      <c r="C49">
        <f t="shared" ca="1" si="33"/>
        <v>1671.6280088387439</v>
      </c>
      <c r="D49">
        <v>11</v>
      </c>
      <c r="E49">
        <v>19</v>
      </c>
      <c r="F49" t="str">
        <f t="shared" ca="1" si="16"/>
        <v>St. Kilda</v>
      </c>
      <c r="G49" s="9">
        <f t="shared" ca="1" si="34"/>
        <v>1313.7995820936294</v>
      </c>
      <c r="H49" t="b">
        <f t="shared" ca="1" si="17"/>
        <v>1</v>
      </c>
      <c r="I49" s="6" t="str">
        <f t="shared" ca="1" si="35"/>
        <v>Essendon</v>
      </c>
      <c r="J49">
        <f t="shared" ca="1" si="36"/>
        <v>0</v>
      </c>
      <c r="K49" s="4">
        <f t="shared" ca="1" si="37"/>
        <v>0.88693672270647028</v>
      </c>
      <c r="L49" s="6" t="str">
        <f t="shared" ca="1" si="20"/>
        <v>St. Kilda</v>
      </c>
      <c r="M49" s="6" t="str">
        <f t="shared" ca="1" si="38"/>
        <v>Essendon</v>
      </c>
      <c r="N49">
        <f t="shared" ca="1" si="39"/>
        <v>0</v>
      </c>
      <c r="O49" s="3">
        <f t="shared" ca="1" si="23"/>
        <v>-11</v>
      </c>
      <c r="P49" s="8">
        <f t="shared" ca="1" si="40"/>
        <v>2.4849066497880004</v>
      </c>
      <c r="Q49" s="7">
        <f t="shared" ca="1" si="41"/>
        <v>1313.7995820936294</v>
      </c>
      <c r="R49" s="7">
        <f t="shared" ca="1" si="42"/>
        <v>1671.6280088387439</v>
      </c>
      <c r="S49" s="8">
        <f t="shared" ca="1" si="43"/>
        <v>2.5771234528542788</v>
      </c>
      <c r="T49" s="9">
        <f t="shared" ca="1" si="27"/>
        <v>1740.2003717172806</v>
      </c>
      <c r="U49" s="9">
        <f t="shared" ca="1" si="44"/>
        <v>357.82842674511448</v>
      </c>
      <c r="Z49" s="9"/>
    </row>
    <row r="50" spans="1:26">
      <c r="A50" t="s">
        <v>14</v>
      </c>
      <c r="B50">
        <v>2</v>
      </c>
      <c r="C50">
        <f t="shared" ca="1" si="33"/>
        <v>1297.7325858586607</v>
      </c>
      <c r="D50">
        <v>11</v>
      </c>
      <c r="E50">
        <v>19</v>
      </c>
      <c r="F50" t="str">
        <f t="shared" ca="1" si="16"/>
        <v>Gold Coast</v>
      </c>
      <c r="G50" s="9">
        <f t="shared" ca="1" si="34"/>
        <v>1287.365079697151</v>
      </c>
      <c r="H50" t="b">
        <f t="shared" ca="1" si="17"/>
        <v>0</v>
      </c>
      <c r="I50" s="6" t="str">
        <f t="shared" ca="1" si="35"/>
        <v>Gold Coast</v>
      </c>
      <c r="J50">
        <f t="shared" ca="1" si="36"/>
        <v>-30</v>
      </c>
      <c r="K50" s="4">
        <f t="shared" ca="1" si="37"/>
        <v>0.47177660316466502</v>
      </c>
      <c r="L50" s="6" t="str">
        <f t="shared" ca="1" si="20"/>
        <v>Gold Coast</v>
      </c>
      <c r="M50" s="6" t="str">
        <f t="shared" ca="1" si="38"/>
        <v>Fremantle</v>
      </c>
      <c r="N50">
        <f t="shared" ca="1" si="39"/>
        <v>0</v>
      </c>
      <c r="O50" s="3">
        <f t="shared" ca="1" si="23"/>
        <v>-3</v>
      </c>
      <c r="P50" s="8">
        <f t="shared" ca="1" si="40"/>
        <v>1.3862943611198906</v>
      </c>
      <c r="Q50" s="7">
        <f t="shared" ca="1" si="41"/>
        <v>1287.365079697151</v>
      </c>
      <c r="R50" s="7">
        <f t="shared" ca="1" si="42"/>
        <v>1297.7325858586607</v>
      </c>
      <c r="S50" s="8">
        <f t="shared" ca="1" si="43"/>
        <v>1.3877330942604182</v>
      </c>
      <c r="T50" s="9">
        <f t="shared" ca="1" si="27"/>
        <v>1317.3735860179418</v>
      </c>
      <c r="U50" s="9">
        <f t="shared" ca="1" si="44"/>
        <v>10.367506161509709</v>
      </c>
      <c r="Z50" s="9"/>
    </row>
    <row r="51" spans="1:26">
      <c r="A51" t="s">
        <v>22</v>
      </c>
      <c r="B51">
        <v>2</v>
      </c>
      <c r="C51">
        <f t="shared" ca="1" si="33"/>
        <v>1581.381177503587</v>
      </c>
      <c r="D51">
        <v>11</v>
      </c>
      <c r="E51">
        <v>19</v>
      </c>
      <c r="F51" t="str">
        <f t="shared" ca="1" si="16"/>
        <v>Melbourne</v>
      </c>
      <c r="G51" s="9">
        <f t="shared" ca="1" si="34"/>
        <v>1681.5760268443969</v>
      </c>
      <c r="H51" t="b">
        <f t="shared" ca="1" si="17"/>
        <v>0</v>
      </c>
      <c r="I51" s="6" t="str">
        <f t="shared" ca="1" si="35"/>
        <v>Geelong</v>
      </c>
      <c r="J51">
        <f t="shared" ca="1" si="36"/>
        <v>30</v>
      </c>
      <c r="K51" s="4">
        <f t="shared" ca="1" si="37"/>
        <v>0.40033390412237774</v>
      </c>
      <c r="L51" s="6" t="str">
        <f t="shared" ca="1" si="20"/>
        <v>Geelong</v>
      </c>
      <c r="M51" s="6" t="str">
        <f t="shared" ca="1" si="38"/>
        <v>Melbourne</v>
      </c>
      <c r="N51">
        <f t="shared" ca="1" si="39"/>
        <v>1</v>
      </c>
      <c r="O51" s="3">
        <f t="shared" ca="1" si="23"/>
        <v>80</v>
      </c>
      <c r="P51" s="8">
        <f t="shared" ca="1" si="40"/>
        <v>4.3944491546724391</v>
      </c>
      <c r="Q51" s="7">
        <f t="shared" ca="1" si="41"/>
        <v>1581.381177503587</v>
      </c>
      <c r="R51" s="7">
        <f t="shared" ca="1" si="42"/>
        <v>1681.5760268443969</v>
      </c>
      <c r="S51" s="8">
        <f t="shared" ca="1" si="43"/>
        <v>4.4389248957893166</v>
      </c>
      <c r="T51" s="9">
        <f t="shared" ca="1" si="27"/>
        <v>1501.5249946390281</v>
      </c>
      <c r="U51" s="9">
        <f t="shared" ca="1" si="44"/>
        <v>-100.19484934080992</v>
      </c>
      <c r="Z51" s="9"/>
    </row>
    <row r="52" spans="1:26">
      <c r="A52" t="s">
        <v>15</v>
      </c>
      <c r="B52">
        <v>2</v>
      </c>
      <c r="C52">
        <f t="shared" ca="1" si="33"/>
        <v>1287.365079697151</v>
      </c>
      <c r="D52">
        <v>11</v>
      </c>
      <c r="E52">
        <v>19</v>
      </c>
      <c r="F52" t="str">
        <f t="shared" ca="1" si="16"/>
        <v>Fremantle</v>
      </c>
      <c r="G52" s="9">
        <f t="shared" ca="1" si="34"/>
        <v>1297.7325858586607</v>
      </c>
      <c r="H52" t="b">
        <f t="shared" ca="1" si="17"/>
        <v>0</v>
      </c>
      <c r="I52" s="6" t="str">
        <f t="shared" ca="1" si="35"/>
        <v>Gold Coast</v>
      </c>
      <c r="J52">
        <f t="shared" ca="1" si="36"/>
        <v>30</v>
      </c>
      <c r="K52" s="4">
        <f t="shared" ca="1" si="37"/>
        <v>0.52822339683533492</v>
      </c>
      <c r="L52" s="6" t="str">
        <f t="shared" ca="1" si="20"/>
        <v>Gold Coast</v>
      </c>
      <c r="M52" s="6" t="str">
        <f t="shared" ca="1" si="38"/>
        <v>Fremantle</v>
      </c>
      <c r="N52">
        <f t="shared" ca="1" si="39"/>
        <v>1</v>
      </c>
      <c r="O52" s="3">
        <f t="shared" ca="1" si="23"/>
        <v>3</v>
      </c>
      <c r="P52" s="8">
        <f t="shared" ca="1" si="40"/>
        <v>1.3862943611198906</v>
      </c>
      <c r="Q52" s="7">
        <f t="shared" ca="1" si="41"/>
        <v>1287.365079697151</v>
      </c>
      <c r="R52" s="7">
        <f t="shared" ca="1" si="42"/>
        <v>1297.7325858586607</v>
      </c>
      <c r="S52" s="8">
        <f t="shared" ca="1" si="43"/>
        <v>1.3877330942604182</v>
      </c>
      <c r="T52" s="9">
        <f t="shared" ca="1" si="27"/>
        <v>1267.72407953787</v>
      </c>
      <c r="U52" s="9">
        <f t="shared" ca="1" si="44"/>
        <v>-10.367506161509709</v>
      </c>
      <c r="Z52" s="9"/>
    </row>
    <row r="53" spans="1:26">
      <c r="A53" t="s">
        <v>19</v>
      </c>
      <c r="B53">
        <v>2</v>
      </c>
      <c r="C53">
        <f t="shared" ca="1" si="33"/>
        <v>1471.8652230963248</v>
      </c>
      <c r="D53">
        <v>11</v>
      </c>
      <c r="E53">
        <v>19</v>
      </c>
      <c r="F53" t="str">
        <f t="shared" ca="1" si="16"/>
        <v>West Coast</v>
      </c>
      <c r="G53" s="9">
        <f t="shared" ca="1" si="34"/>
        <v>1699.1223397872602</v>
      </c>
      <c r="H53" t="b">
        <f t="shared" ca="1" si="17"/>
        <v>0</v>
      </c>
      <c r="I53" s="6" t="str">
        <f t="shared" ca="1" si="35"/>
        <v>West Coast</v>
      </c>
      <c r="J53">
        <f t="shared" ca="1" si="36"/>
        <v>-30</v>
      </c>
      <c r="K53" s="4">
        <f t="shared" ca="1" si="37"/>
        <v>0.18529287598714644</v>
      </c>
      <c r="L53" s="6" t="str">
        <f t="shared" ca="1" si="20"/>
        <v>West Coast</v>
      </c>
      <c r="M53" s="6" t="str">
        <f t="shared" ca="1" si="38"/>
        <v>GWS</v>
      </c>
      <c r="N53">
        <f t="shared" ca="1" si="39"/>
        <v>0</v>
      </c>
      <c r="O53" s="3">
        <f t="shared" ca="1" si="23"/>
        <v>-52</v>
      </c>
      <c r="P53" s="8">
        <f t="shared" ca="1" si="40"/>
        <v>3.970291913552122</v>
      </c>
      <c r="Q53" s="7">
        <f t="shared" ca="1" si="41"/>
        <v>1699.1223397872602</v>
      </c>
      <c r="R53" s="7">
        <f t="shared" ca="1" si="42"/>
        <v>1471.8652230963248</v>
      </c>
      <c r="S53" s="8">
        <f t="shared" ca="1" si="43"/>
        <v>3.882069129828158</v>
      </c>
      <c r="T53" s="9">
        <f t="shared" ca="1" si="27"/>
        <v>1493.4448157117281</v>
      </c>
      <c r="U53" s="9">
        <f t="shared" ca="1" si="44"/>
        <v>-227.25711669093539</v>
      </c>
      <c r="Z53" s="9"/>
    </row>
    <row r="54" spans="1:26">
      <c r="A54" t="s">
        <v>17</v>
      </c>
      <c r="B54">
        <v>2</v>
      </c>
      <c r="C54">
        <f t="shared" ca="1" si="33"/>
        <v>1555.4782328239842</v>
      </c>
      <c r="D54">
        <v>11</v>
      </c>
      <c r="E54">
        <v>19</v>
      </c>
      <c r="F54" t="str">
        <f t="shared" ca="1" si="16"/>
        <v>Western Bulldogs</v>
      </c>
      <c r="G54" s="9">
        <f t="shared" ca="1" si="34"/>
        <v>1363.5683723747393</v>
      </c>
      <c r="H54" t="b">
        <f t="shared" ca="1" si="17"/>
        <v>0</v>
      </c>
      <c r="I54" s="6" t="str">
        <f t="shared" ca="1" si="35"/>
        <v>Hawthorn</v>
      </c>
      <c r="J54">
        <f t="shared" ca="1" si="36"/>
        <v>30</v>
      </c>
      <c r="K54" s="4">
        <f t="shared" ca="1" si="37"/>
        <v>0.78200957444380825</v>
      </c>
      <c r="L54" s="6" t="str">
        <f t="shared" ca="1" si="20"/>
        <v>Western Bulldogs</v>
      </c>
      <c r="M54" s="6" t="str">
        <f t="shared" ca="1" si="38"/>
        <v>Hawthorn</v>
      </c>
      <c r="N54">
        <f t="shared" ca="1" si="39"/>
        <v>0</v>
      </c>
      <c r="O54" s="3">
        <f t="shared" ca="1" si="23"/>
        <v>-19</v>
      </c>
      <c r="P54" s="8">
        <f t="shared" ca="1" si="40"/>
        <v>2.9957322735539909</v>
      </c>
      <c r="Q54" s="7">
        <f t="shared" ca="1" si="41"/>
        <v>1363.5683723747393</v>
      </c>
      <c r="R54" s="7">
        <f t="shared" ca="1" si="42"/>
        <v>1555.4782328239842</v>
      </c>
      <c r="S54" s="8">
        <f t="shared" ca="1" si="43"/>
        <v>3.0543482277694545</v>
      </c>
      <c r="T54" s="9">
        <f t="shared" ca="1" si="27"/>
        <v>1627.1341195580198</v>
      </c>
      <c r="U54" s="9">
        <f t="shared" ca="1" si="44"/>
        <v>191.90986044924489</v>
      </c>
      <c r="Z54" s="9"/>
    </row>
    <row r="55" spans="1:26">
      <c r="A55" t="s">
        <v>21</v>
      </c>
      <c r="B55">
        <v>2</v>
      </c>
      <c r="C55">
        <f t="shared" ca="1" si="33"/>
        <v>1681.5760268443969</v>
      </c>
      <c r="D55">
        <v>11</v>
      </c>
      <c r="E55">
        <v>19</v>
      </c>
      <c r="F55" t="str">
        <f t="shared" ca="1" si="16"/>
        <v>Geelong</v>
      </c>
      <c r="G55" s="9">
        <f t="shared" ca="1" si="34"/>
        <v>1581.381177503587</v>
      </c>
      <c r="H55" t="b">
        <f t="shared" ca="1" si="17"/>
        <v>0</v>
      </c>
      <c r="I55" s="6" t="str">
        <f t="shared" ca="1" si="35"/>
        <v>Geelong</v>
      </c>
      <c r="J55">
        <f t="shared" ca="1" si="36"/>
        <v>-30</v>
      </c>
      <c r="K55" s="4">
        <f t="shared" ca="1" si="37"/>
        <v>0.59966609587762232</v>
      </c>
      <c r="L55" s="6" t="str">
        <f t="shared" ca="1" si="20"/>
        <v>Geelong</v>
      </c>
      <c r="M55" s="6" t="str">
        <f t="shared" ca="1" si="38"/>
        <v>Melbourne</v>
      </c>
      <c r="N55">
        <f t="shared" ca="1" si="39"/>
        <v>0</v>
      </c>
      <c r="O55" s="3">
        <f t="shared" ca="1" si="23"/>
        <v>-80</v>
      </c>
      <c r="P55" s="8">
        <f t="shared" ca="1" si="40"/>
        <v>4.3944491546724391</v>
      </c>
      <c r="Q55" s="7">
        <f t="shared" ca="1" si="41"/>
        <v>1581.381177503587</v>
      </c>
      <c r="R55" s="7">
        <f t="shared" ca="1" si="42"/>
        <v>1681.5760268443969</v>
      </c>
      <c r="S55" s="8">
        <f t="shared" ca="1" si="43"/>
        <v>4.4389248957893166</v>
      </c>
      <c r="T55" s="9">
        <f t="shared" ca="1" si="27"/>
        <v>1761.4322097089557</v>
      </c>
      <c r="U55" s="9">
        <f t="shared" ca="1" si="44"/>
        <v>100.19484934080992</v>
      </c>
      <c r="Z55" s="9"/>
    </row>
    <row r="56" spans="1:26">
      <c r="A56" t="s">
        <v>16</v>
      </c>
      <c r="B56">
        <v>2</v>
      </c>
      <c r="C56">
        <f t="shared" ca="1" si="33"/>
        <v>1581.2992628316167</v>
      </c>
      <c r="D56">
        <v>11</v>
      </c>
      <c r="E56">
        <v>19</v>
      </c>
      <c r="F56" t="str">
        <f t="shared" ca="1" si="16"/>
        <v>Brisbane Lions</v>
      </c>
      <c r="G56" s="9">
        <f t="shared" ca="1" si="34"/>
        <v>1311.2754335136724</v>
      </c>
      <c r="H56" t="b">
        <f t="shared" ca="1" si="17"/>
        <v>0</v>
      </c>
      <c r="I56" s="6" t="str">
        <f t="shared" ca="1" si="35"/>
        <v>North Melbourne</v>
      </c>
      <c r="J56">
        <f t="shared" ca="1" si="36"/>
        <v>30</v>
      </c>
      <c r="K56" s="4">
        <f t="shared" ca="1" si="37"/>
        <v>0.84903802537715412</v>
      </c>
      <c r="L56" s="6" t="str">
        <f t="shared" ca="1" si="20"/>
        <v>Brisbane Lions</v>
      </c>
      <c r="M56" s="6" t="str">
        <f t="shared" ca="1" si="38"/>
        <v>North Melbourne</v>
      </c>
      <c r="N56">
        <f t="shared" ca="1" si="39"/>
        <v>0</v>
      </c>
      <c r="O56" s="3">
        <f t="shared" ca="1" si="23"/>
        <v>-20</v>
      </c>
      <c r="P56" s="8">
        <f t="shared" ca="1" si="40"/>
        <v>3.044522437723423</v>
      </c>
      <c r="Q56" s="7">
        <f t="shared" ca="1" si="41"/>
        <v>1311.2754335136724</v>
      </c>
      <c r="R56" s="7">
        <f t="shared" ca="1" si="42"/>
        <v>1581.2992628316167</v>
      </c>
      <c r="S56" s="8">
        <f t="shared" ca="1" si="43"/>
        <v>3.1290132517457203</v>
      </c>
      <c r="T56" s="9">
        <f t="shared" ca="1" si="27"/>
        <v>1660.9987998108509</v>
      </c>
      <c r="U56" s="9">
        <f t="shared" ca="1" si="44"/>
        <v>270.02382931794432</v>
      </c>
      <c r="Z56" s="9"/>
    </row>
    <row r="57" spans="1:26">
      <c r="A57" t="s">
        <v>13</v>
      </c>
      <c r="B57">
        <v>2</v>
      </c>
      <c r="C57">
        <f t="shared" ca="1" si="33"/>
        <v>1429.9791604521351</v>
      </c>
      <c r="D57">
        <v>11</v>
      </c>
      <c r="E57">
        <v>19</v>
      </c>
      <c r="F57" t="str">
        <f t="shared" ca="1" si="16"/>
        <v>Carlton</v>
      </c>
      <c r="G57" s="9">
        <f t="shared" ca="1" si="34"/>
        <v>1245.3919863973142</v>
      </c>
      <c r="H57" t="b">
        <f t="shared" ca="1" si="17"/>
        <v>0</v>
      </c>
      <c r="I57" s="6" t="str">
        <f t="shared" ca="1" si="35"/>
        <v>Port Adelaide</v>
      </c>
      <c r="J57">
        <f t="shared" ca="1" si="36"/>
        <v>30</v>
      </c>
      <c r="K57" s="4">
        <f t="shared" ca="1" si="37"/>
        <v>0.77473840695100382</v>
      </c>
      <c r="L57" s="6" t="str">
        <f t="shared" ca="1" si="20"/>
        <v>Port Adelaide</v>
      </c>
      <c r="M57" s="6" t="str">
        <f t="shared" ca="1" si="38"/>
        <v>Carlton</v>
      </c>
      <c r="N57">
        <f t="shared" ca="1" si="39"/>
        <v>1</v>
      </c>
      <c r="O57" s="3">
        <f t="shared" ca="1" si="23"/>
        <v>16</v>
      </c>
      <c r="P57" s="8">
        <f t="shared" ca="1" si="40"/>
        <v>2.8332133440562162</v>
      </c>
      <c r="Q57" s="7">
        <f t="shared" ca="1" si="41"/>
        <v>1429.9791604521351</v>
      </c>
      <c r="R57" s="7">
        <f t="shared" ca="1" si="42"/>
        <v>1245.3919863973142</v>
      </c>
      <c r="S57" s="8">
        <f t="shared" ca="1" si="43"/>
        <v>2.7818637080095021</v>
      </c>
      <c r="T57" s="9">
        <f t="shared" ca="1" si="27"/>
        <v>1411.179748936793</v>
      </c>
      <c r="U57" s="9">
        <f t="shared" ca="1" si="44"/>
        <v>184.58717405482093</v>
      </c>
      <c r="Z57" s="9"/>
    </row>
    <row r="58" spans="1:26">
      <c r="A58" t="s">
        <v>7</v>
      </c>
      <c r="B58">
        <v>2</v>
      </c>
      <c r="C58">
        <f t="shared" ca="1" si="33"/>
        <v>1692.5710901316245</v>
      </c>
      <c r="D58">
        <v>11</v>
      </c>
      <c r="E58">
        <v>19</v>
      </c>
      <c r="F58" t="str">
        <f t="shared" ca="1" si="16"/>
        <v>Collingwood</v>
      </c>
      <c r="G58" s="9">
        <f t="shared" ca="1" si="34"/>
        <v>1639.4740673902973</v>
      </c>
      <c r="H58" t="b">
        <f t="shared" ca="1" si="17"/>
        <v>1</v>
      </c>
      <c r="I58" s="6" t="str">
        <f t="shared" ca="1" si="35"/>
        <v>Richmond</v>
      </c>
      <c r="J58">
        <f t="shared" ca="1" si="36"/>
        <v>0</v>
      </c>
      <c r="K58" s="4">
        <f t="shared" ca="1" si="37"/>
        <v>0.57582337413461482</v>
      </c>
      <c r="L58" s="6" t="str">
        <f t="shared" ca="1" si="20"/>
        <v>Collingwood</v>
      </c>
      <c r="M58" s="6" t="str">
        <f t="shared" ca="1" si="38"/>
        <v>Richmond</v>
      </c>
      <c r="N58">
        <f t="shared" ca="1" si="39"/>
        <v>0</v>
      </c>
      <c r="O58" s="3">
        <f t="shared" ca="1" si="23"/>
        <v>-44</v>
      </c>
      <c r="P58" s="8">
        <f t="shared" ca="1" si="40"/>
        <v>3.8066624897703196</v>
      </c>
      <c r="Q58" s="7">
        <f t="shared" ca="1" si="41"/>
        <v>1639.4740673902973</v>
      </c>
      <c r="R58" s="7">
        <f t="shared" ca="1" si="42"/>
        <v>1692.5710901316245</v>
      </c>
      <c r="S58" s="8">
        <f t="shared" ca="1" si="43"/>
        <v>3.8269826281339898</v>
      </c>
      <c r="T58" s="9">
        <f t="shared" ca="1" si="27"/>
        <v>1758.6810716222246</v>
      </c>
      <c r="U58" s="9">
        <f t="shared" ca="1" si="44"/>
        <v>53.097022741327237</v>
      </c>
      <c r="Z58" s="9"/>
    </row>
    <row r="59" spans="1:26">
      <c r="A59" t="s">
        <v>11</v>
      </c>
      <c r="B59">
        <v>2</v>
      </c>
      <c r="C59">
        <f t="shared" ca="1" si="33"/>
        <v>1313.7995820936294</v>
      </c>
      <c r="D59">
        <v>11</v>
      </c>
      <c r="E59">
        <v>19</v>
      </c>
      <c r="F59" t="str">
        <f t="shared" ca="1" si="16"/>
        <v>Essendon</v>
      </c>
      <c r="G59" s="9">
        <f t="shared" ca="1" si="34"/>
        <v>1671.6280088387439</v>
      </c>
      <c r="H59" t="b">
        <f t="shared" ca="1" si="17"/>
        <v>1</v>
      </c>
      <c r="I59" s="6" t="str">
        <f t="shared" ca="1" si="35"/>
        <v>Essendon</v>
      </c>
      <c r="J59">
        <f t="shared" ca="1" si="36"/>
        <v>0</v>
      </c>
      <c r="K59" s="4">
        <f t="shared" ca="1" si="37"/>
        <v>0.11306327729352962</v>
      </c>
      <c r="L59" s="6" t="str">
        <f t="shared" ca="1" si="20"/>
        <v>St. Kilda</v>
      </c>
      <c r="M59" s="6" t="str">
        <f t="shared" ca="1" si="38"/>
        <v>Essendon</v>
      </c>
      <c r="N59">
        <f t="shared" ca="1" si="39"/>
        <v>1</v>
      </c>
      <c r="O59" s="3">
        <f t="shared" ca="1" si="23"/>
        <v>11</v>
      </c>
      <c r="P59" s="8">
        <f t="shared" ca="1" si="40"/>
        <v>2.4849066497880004</v>
      </c>
      <c r="Q59" s="7">
        <f t="shared" ca="1" si="41"/>
        <v>1313.7995820936294</v>
      </c>
      <c r="R59" s="7">
        <f t="shared" ca="1" si="42"/>
        <v>1671.6280088387439</v>
      </c>
      <c r="S59" s="8">
        <f t="shared" ca="1" si="43"/>
        <v>2.5771234528542788</v>
      </c>
      <c r="T59" s="9">
        <f t="shared" ca="1" si="27"/>
        <v>1245.2272192150926</v>
      </c>
      <c r="U59" s="9">
        <f t="shared" ca="1" si="44"/>
        <v>-357.82842674511448</v>
      </c>
      <c r="Z59" s="9"/>
    </row>
    <row r="60" spans="1:26">
      <c r="A60" t="s">
        <v>24</v>
      </c>
      <c r="B60">
        <v>2</v>
      </c>
      <c r="C60">
        <f t="shared" ca="1" si="33"/>
        <v>1644.7451392469115</v>
      </c>
      <c r="D60">
        <v>11</v>
      </c>
      <c r="E60">
        <v>19</v>
      </c>
      <c r="F60" t="str">
        <f t="shared" ca="1" si="16"/>
        <v>Adelaide</v>
      </c>
      <c r="G60" s="9">
        <f t="shared" ca="1" si="34"/>
        <v>1531.7472311179511</v>
      </c>
      <c r="H60" t="b">
        <f t="shared" ca="1" si="17"/>
        <v>0</v>
      </c>
      <c r="I60" s="6" t="str">
        <f t="shared" ca="1" si="35"/>
        <v>Sydney</v>
      </c>
      <c r="J60">
        <f t="shared" ca="1" si="36"/>
        <v>30</v>
      </c>
      <c r="K60" s="4">
        <f t="shared" ca="1" si="37"/>
        <v>0.6949071597437696</v>
      </c>
      <c r="L60" s="6" t="str">
        <f t="shared" ca="1" si="20"/>
        <v>Adelaide</v>
      </c>
      <c r="M60" s="6" t="str">
        <f t="shared" ca="1" si="38"/>
        <v>Sydney</v>
      </c>
      <c r="N60">
        <f t="shared" ca="1" si="39"/>
        <v>0</v>
      </c>
      <c r="O60" s="3">
        <f t="shared" ca="1" si="23"/>
        <v>-26</v>
      </c>
      <c r="P60" s="8">
        <f t="shared" ca="1" si="40"/>
        <v>3.2958368660043291</v>
      </c>
      <c r="Q60" s="7">
        <f t="shared" ca="1" si="41"/>
        <v>1531.7472311179511</v>
      </c>
      <c r="R60" s="7">
        <f t="shared" ca="1" si="42"/>
        <v>1644.7451392469115</v>
      </c>
      <c r="S60" s="8">
        <f t="shared" ca="1" si="43"/>
        <v>3.3335047726085971</v>
      </c>
      <c r="T60" s="9">
        <f t="shared" ca="1" si="27"/>
        <v>1714.2394292526837</v>
      </c>
      <c r="U60" s="9">
        <f t="shared" ca="1" si="44"/>
        <v>112.99790812896049</v>
      </c>
      <c r="Z60" s="9"/>
    </row>
    <row r="61" spans="1:26">
      <c r="A61" t="s">
        <v>23</v>
      </c>
      <c r="B61">
        <v>2</v>
      </c>
      <c r="C61">
        <f t="shared" ca="1" si="33"/>
        <v>1699.1223397872602</v>
      </c>
      <c r="D61">
        <v>11</v>
      </c>
      <c r="E61">
        <v>19</v>
      </c>
      <c r="F61" t="str">
        <f t="shared" ca="1" si="16"/>
        <v>GWS</v>
      </c>
      <c r="G61" s="9">
        <f t="shared" ca="1" si="34"/>
        <v>1471.8652230963248</v>
      </c>
      <c r="H61" t="b">
        <f t="shared" ca="1" si="17"/>
        <v>0</v>
      </c>
      <c r="I61" s="6" t="str">
        <f t="shared" ca="1" si="35"/>
        <v>West Coast</v>
      </c>
      <c r="J61">
        <f t="shared" ca="1" si="36"/>
        <v>30</v>
      </c>
      <c r="K61" s="4">
        <f t="shared" ca="1" si="37"/>
        <v>0.81470712401285361</v>
      </c>
      <c r="L61" s="6" t="str">
        <f t="shared" ca="1" si="20"/>
        <v>West Coast</v>
      </c>
      <c r="M61" s="6" t="str">
        <f t="shared" ca="1" si="38"/>
        <v>GWS</v>
      </c>
      <c r="N61">
        <f t="shared" ca="1" si="39"/>
        <v>1</v>
      </c>
      <c r="O61" s="3">
        <f t="shared" ca="1" si="23"/>
        <v>52</v>
      </c>
      <c r="P61" s="8">
        <f t="shared" ca="1" si="40"/>
        <v>3.970291913552122</v>
      </c>
      <c r="Q61" s="7">
        <f t="shared" ca="1" si="41"/>
        <v>1699.1223397872602</v>
      </c>
      <c r="R61" s="7">
        <f t="shared" ca="1" si="42"/>
        <v>1471.8652230963248</v>
      </c>
      <c r="S61" s="8">
        <f t="shared" ca="1" si="43"/>
        <v>3.882069129828158</v>
      </c>
      <c r="T61" s="9">
        <f t="shared" ca="1" si="27"/>
        <v>1677.5427471718569</v>
      </c>
      <c r="U61" s="9">
        <f t="shared" ca="1" si="44"/>
        <v>227.25711669093539</v>
      </c>
      <c r="Z61" s="9"/>
    </row>
    <row r="62" spans="1:26">
      <c r="A62" t="s">
        <v>20</v>
      </c>
      <c r="B62">
        <v>2</v>
      </c>
      <c r="C62">
        <f t="shared" ca="1" si="33"/>
        <v>1363.5683723747393</v>
      </c>
      <c r="D62">
        <v>11</v>
      </c>
      <c r="E62">
        <v>19</v>
      </c>
      <c r="F62" t="str">
        <f t="shared" ca="1" si="16"/>
        <v>Hawthorn</v>
      </c>
      <c r="G62" s="9">
        <f t="shared" ca="1" si="34"/>
        <v>1555.4782328239842</v>
      </c>
      <c r="H62" t="b">
        <f t="shared" ca="1" si="17"/>
        <v>0</v>
      </c>
      <c r="I62" s="6" t="str">
        <f t="shared" ca="1" si="35"/>
        <v>Hawthorn</v>
      </c>
      <c r="J62">
        <f t="shared" ca="1" si="36"/>
        <v>-30</v>
      </c>
      <c r="K62" s="4">
        <f t="shared" ca="1" si="37"/>
        <v>0.21799042555619175</v>
      </c>
      <c r="L62" s="6" t="str">
        <f t="shared" ca="1" si="20"/>
        <v>Western Bulldogs</v>
      </c>
      <c r="M62" s="6" t="str">
        <f t="shared" ca="1" si="38"/>
        <v>Hawthorn</v>
      </c>
      <c r="N62">
        <f t="shared" ca="1" si="39"/>
        <v>1</v>
      </c>
      <c r="O62" s="3">
        <f t="shared" ca="1" si="23"/>
        <v>19</v>
      </c>
      <c r="P62" s="8">
        <f t="shared" ca="1" si="40"/>
        <v>2.9957322735539909</v>
      </c>
      <c r="Q62" s="7">
        <f t="shared" ca="1" si="41"/>
        <v>1363.5683723747393</v>
      </c>
      <c r="R62" s="7">
        <f t="shared" ca="1" si="42"/>
        <v>1555.4782328239842</v>
      </c>
      <c r="S62" s="8">
        <f t="shared" ca="1" si="43"/>
        <v>3.0543482277694545</v>
      </c>
      <c r="T62" s="9">
        <f t="shared" ca="1" si="27"/>
        <v>1291.9124856407036</v>
      </c>
      <c r="U62" s="9">
        <f t="shared" ca="1" si="44"/>
        <v>-191.90986044924489</v>
      </c>
      <c r="Z62" s="9"/>
    </row>
    <row r="63" spans="1:26">
      <c r="G63" s="9"/>
      <c r="I63" s="6"/>
      <c r="K63" s="4"/>
      <c r="L63" s="6"/>
      <c r="M63" s="6"/>
      <c r="O63" s="3"/>
      <c r="P63" s="8"/>
      <c r="Q63" s="7"/>
      <c r="R63" s="7"/>
      <c r="S63" s="8"/>
      <c r="T63" s="9"/>
      <c r="U63" s="9"/>
      <c r="Z63" s="9"/>
    </row>
    <row r="64" spans="1:26">
      <c r="G64" s="9"/>
      <c r="I64" s="6"/>
      <c r="K64" s="4"/>
      <c r="L64" s="6"/>
      <c r="M64" s="6"/>
      <c r="O64" s="3"/>
      <c r="P64" s="8"/>
      <c r="Q64" s="7"/>
      <c r="R64" s="7"/>
      <c r="S64" s="8"/>
      <c r="T64" s="9"/>
      <c r="U64" s="9"/>
      <c r="Z64" s="9"/>
    </row>
    <row r="65" spans="7:26">
      <c r="G65" s="9"/>
      <c r="I65" s="6"/>
      <c r="K65" s="4"/>
      <c r="L65" s="6"/>
      <c r="M65" s="6"/>
      <c r="O65" s="3"/>
      <c r="P65" s="8"/>
      <c r="Q65" s="7"/>
      <c r="R65" s="7"/>
      <c r="S65" s="8"/>
      <c r="T65" s="9"/>
      <c r="U65" s="9"/>
      <c r="Z65" s="9"/>
    </row>
    <row r="66" spans="7:26">
      <c r="G66" s="9"/>
      <c r="I66" s="6"/>
      <c r="K66" s="4"/>
      <c r="L66" s="6"/>
      <c r="M66" s="6"/>
      <c r="O66" s="3"/>
      <c r="P66" s="8"/>
      <c r="Q66" s="7"/>
      <c r="R66" s="7"/>
      <c r="S66" s="8"/>
      <c r="T66" s="9"/>
      <c r="U66" s="9"/>
      <c r="Z66" s="9"/>
    </row>
    <row r="67" spans="7:26">
      <c r="G67" s="9"/>
      <c r="I67" s="6"/>
      <c r="K67" s="4"/>
      <c r="L67" s="6"/>
      <c r="M67" s="6"/>
      <c r="O67" s="3"/>
      <c r="P67" s="8"/>
      <c r="Q67" s="7"/>
      <c r="R67" s="7"/>
      <c r="S67" s="8"/>
      <c r="T67" s="9"/>
      <c r="U67" s="9"/>
      <c r="Z67" s="9"/>
    </row>
    <row r="68" spans="7:26">
      <c r="G68" s="9"/>
      <c r="I68" s="6"/>
      <c r="K68" s="4"/>
      <c r="L68" s="6"/>
      <c r="M68" s="6"/>
      <c r="O68" s="3"/>
      <c r="P68" s="8"/>
      <c r="Q68" s="7"/>
      <c r="R68" s="7"/>
      <c r="S68" s="8"/>
      <c r="T68" s="9"/>
      <c r="U68" s="9"/>
      <c r="Z68" s="9"/>
    </row>
    <row r="69" spans="7:26">
      <c r="G69" s="9"/>
      <c r="I69" s="6"/>
      <c r="K69" s="4"/>
      <c r="L69" s="6"/>
      <c r="M69" s="6"/>
      <c r="O69" s="3"/>
      <c r="P69" s="8"/>
      <c r="Q69" s="7"/>
      <c r="R69" s="7"/>
      <c r="S69" s="8"/>
      <c r="T69" s="9"/>
      <c r="U69" s="9"/>
      <c r="Z69" s="9"/>
    </row>
    <row r="70" spans="7:26">
      <c r="G70" s="9"/>
      <c r="I70" s="6"/>
      <c r="K70" s="4"/>
      <c r="L70" s="6"/>
      <c r="M70" s="6"/>
      <c r="O70" s="3"/>
      <c r="P70" s="8"/>
      <c r="Q70" s="7"/>
      <c r="R70" s="7"/>
      <c r="S70" s="8"/>
      <c r="T70" s="9"/>
      <c r="U70" s="9"/>
      <c r="Z70" s="9"/>
    </row>
    <row r="71" spans="7:26">
      <c r="G71" s="9"/>
      <c r="I71" s="6"/>
      <c r="K71" s="4"/>
      <c r="L71" s="6"/>
      <c r="M71" s="6"/>
      <c r="O71" s="3"/>
      <c r="P71" s="8"/>
      <c r="Q71" s="7"/>
      <c r="R71" s="7"/>
      <c r="S71" s="8"/>
      <c r="T71" s="9"/>
      <c r="U71" s="9"/>
      <c r="Z71" s="9"/>
    </row>
    <row r="72" spans="7:26">
      <c r="G72" s="9"/>
      <c r="I72" s="6"/>
      <c r="K72" s="4"/>
      <c r="L72" s="6"/>
      <c r="M72" s="6"/>
      <c r="O72" s="3"/>
      <c r="P72" s="8"/>
      <c r="Q72" s="7"/>
      <c r="R72" s="7"/>
      <c r="S72" s="8"/>
      <c r="T72" s="9"/>
      <c r="U72" s="9"/>
      <c r="Z72" s="9"/>
    </row>
    <row r="73" spans="7:26">
      <c r="G73" s="9"/>
      <c r="I73" s="6"/>
      <c r="K73" s="4"/>
      <c r="L73" s="6"/>
      <c r="M73" s="6"/>
      <c r="O73" s="3"/>
      <c r="P73" s="8"/>
      <c r="Q73" s="7"/>
      <c r="R73" s="7"/>
      <c r="S73" s="8"/>
      <c r="T73" s="9"/>
      <c r="U73" s="9"/>
      <c r="Z73" s="9"/>
    </row>
    <row r="74" spans="7:26">
      <c r="G74" s="9"/>
      <c r="I74" s="6"/>
      <c r="K74" s="4"/>
      <c r="L74" s="6"/>
      <c r="M74" s="6"/>
      <c r="O74" s="3"/>
      <c r="P74" s="8"/>
      <c r="Q74" s="7"/>
      <c r="R74" s="7"/>
      <c r="S74" s="8"/>
      <c r="T74" s="9"/>
      <c r="U74" s="9"/>
      <c r="Z74" s="9"/>
    </row>
    <row r="75" spans="7:26">
      <c r="G75" s="9"/>
      <c r="I75" s="6"/>
      <c r="K75" s="4"/>
      <c r="L75" s="6"/>
      <c r="M75" s="6"/>
      <c r="O75" s="3"/>
      <c r="P75" s="8"/>
      <c r="Q75" s="7"/>
      <c r="R75" s="7"/>
      <c r="S75" s="8"/>
      <c r="T75" s="9"/>
      <c r="U75" s="9"/>
      <c r="Z75" s="9"/>
    </row>
    <row r="76" spans="7:26">
      <c r="G76" s="9"/>
      <c r="I76" s="6"/>
      <c r="K76" s="4"/>
      <c r="L76" s="6"/>
      <c r="M76" s="6"/>
      <c r="O76" s="3"/>
      <c r="P76" s="8"/>
      <c r="Q76" s="7"/>
      <c r="R76" s="7"/>
      <c r="S76" s="8"/>
      <c r="T76" s="9"/>
      <c r="U76" s="9"/>
      <c r="Z76" s="9"/>
    </row>
    <row r="77" spans="7:26">
      <c r="G77" s="9"/>
      <c r="I77" s="6"/>
      <c r="K77" s="4"/>
      <c r="L77" s="6"/>
      <c r="M77" s="6"/>
      <c r="O77" s="3"/>
      <c r="P77" s="8"/>
      <c r="Q77" s="7"/>
      <c r="R77" s="7"/>
      <c r="S77" s="8"/>
      <c r="T77" s="9"/>
      <c r="U77" s="9"/>
      <c r="Z77" s="9"/>
    </row>
    <row r="78" spans="7:26">
      <c r="G78" s="9"/>
      <c r="I78" s="6"/>
      <c r="K78" s="4"/>
      <c r="L78" s="6"/>
      <c r="M78" s="6"/>
      <c r="O78" s="3"/>
      <c r="P78" s="8"/>
      <c r="Q78" s="7"/>
      <c r="R78" s="7"/>
      <c r="S78" s="8"/>
      <c r="T78" s="9"/>
      <c r="U78" s="9"/>
      <c r="Z78" s="9"/>
    </row>
    <row r="79" spans="7:26">
      <c r="G79" s="9"/>
      <c r="I79" s="6"/>
      <c r="K79" s="4"/>
      <c r="L79" s="6"/>
      <c r="M79" s="6"/>
      <c r="O79" s="3"/>
      <c r="P79" s="8"/>
      <c r="Q79" s="7"/>
      <c r="R79" s="7"/>
      <c r="S79" s="8"/>
      <c r="T79" s="9"/>
      <c r="U79" s="9"/>
      <c r="Z79" s="9"/>
    </row>
    <row r="80" spans="7:26">
      <c r="G80" s="9"/>
      <c r="I80" s="6"/>
      <c r="K80" s="4"/>
      <c r="L80" s="6"/>
      <c r="M80" s="6"/>
      <c r="O80" s="3"/>
      <c r="P80" s="8"/>
      <c r="Q80" s="7"/>
      <c r="R80" s="7"/>
      <c r="S80" s="8"/>
      <c r="T80" s="9"/>
      <c r="U80" s="9"/>
      <c r="Z80" s="9"/>
    </row>
    <row r="81" spans="7:26">
      <c r="G81" s="9"/>
      <c r="I81" s="6"/>
      <c r="K81" s="4"/>
      <c r="L81" s="6"/>
      <c r="M81" s="6"/>
      <c r="O81" s="3"/>
      <c r="P81" s="8"/>
      <c r="Q81" s="7"/>
      <c r="R81" s="7"/>
      <c r="S81" s="8"/>
      <c r="T81" s="9"/>
      <c r="U81" s="9"/>
      <c r="Z81" s="9"/>
    </row>
    <row r="82" spans="7:26">
      <c r="G82" s="9"/>
      <c r="I82" s="6"/>
      <c r="K82" s="4"/>
      <c r="L82" s="6"/>
      <c r="M82" s="6"/>
      <c r="O82" s="3"/>
      <c r="P82" s="8"/>
      <c r="Q82" s="7"/>
      <c r="R82" s="7"/>
      <c r="S82" s="8"/>
      <c r="T82" s="9"/>
      <c r="U82" s="9"/>
      <c r="Z82" s="9"/>
    </row>
    <row r="83" spans="7:26">
      <c r="G83" s="9"/>
      <c r="I83" s="6"/>
      <c r="K83" s="4"/>
      <c r="L83" s="6"/>
      <c r="M83" s="6"/>
      <c r="O83" s="3"/>
      <c r="P83" s="8"/>
      <c r="Q83" s="7"/>
      <c r="R83" s="7"/>
      <c r="S83" s="8"/>
      <c r="T83" s="9"/>
      <c r="U83" s="9"/>
      <c r="Z83" s="9"/>
    </row>
    <row r="84" spans="7:26">
      <c r="G84" s="9"/>
      <c r="I84" s="6"/>
      <c r="K84" s="4"/>
      <c r="L84" s="6"/>
      <c r="M84" s="6"/>
      <c r="O84" s="3"/>
      <c r="P84" s="8"/>
      <c r="Q84" s="7"/>
      <c r="R84" s="7"/>
      <c r="S84" s="8"/>
      <c r="T84" s="9"/>
      <c r="U84" s="9"/>
      <c r="Z84" s="9"/>
    </row>
    <row r="85" spans="7:26">
      <c r="G85" s="9"/>
      <c r="I85" s="6"/>
      <c r="K85" s="4"/>
      <c r="L85" s="6"/>
      <c r="M85" s="6"/>
      <c r="O85" s="3"/>
      <c r="P85" s="8"/>
      <c r="Q85" s="7"/>
      <c r="R85" s="7"/>
      <c r="S85" s="8"/>
      <c r="T85" s="9"/>
      <c r="U85" s="9"/>
      <c r="Z85" s="9"/>
    </row>
    <row r="86" spans="7:26">
      <c r="G86" s="9"/>
      <c r="I86" s="6"/>
      <c r="K86" s="4"/>
      <c r="L86" s="6"/>
      <c r="M86" s="6"/>
      <c r="O86" s="3"/>
      <c r="P86" s="8"/>
      <c r="Q86" s="7"/>
      <c r="R86" s="7"/>
      <c r="S86" s="8"/>
      <c r="T86" s="9"/>
      <c r="U86" s="9"/>
      <c r="Z86" s="9"/>
    </row>
    <row r="87" spans="7:26">
      <c r="G87" s="9"/>
      <c r="I87" s="6"/>
      <c r="K87" s="4"/>
      <c r="L87" s="6"/>
      <c r="M87" s="6"/>
      <c r="O87" s="3"/>
      <c r="P87" s="8"/>
      <c r="Q87" s="7"/>
      <c r="R87" s="7"/>
      <c r="S87" s="8"/>
      <c r="T87" s="9"/>
      <c r="U87" s="9"/>
      <c r="Z87" s="9"/>
    </row>
    <row r="88" spans="7:26">
      <c r="G88" s="9"/>
      <c r="I88" s="6"/>
      <c r="K88" s="4"/>
      <c r="L88" s="6"/>
      <c r="M88" s="6"/>
      <c r="O88" s="3"/>
      <c r="P88" s="8"/>
      <c r="Q88" s="7"/>
      <c r="R88" s="7"/>
      <c r="S88" s="8"/>
      <c r="T88" s="9"/>
      <c r="U88" s="9"/>
      <c r="Z88" s="9"/>
    </row>
    <row r="89" spans="7:26">
      <c r="G89" s="9"/>
      <c r="I89" s="6"/>
      <c r="K89" s="4"/>
      <c r="L89" s="6"/>
      <c r="M89" s="6"/>
      <c r="O89" s="3"/>
      <c r="P89" s="8"/>
      <c r="Q89" s="7"/>
      <c r="R89" s="7"/>
      <c r="S89" s="8"/>
      <c r="T89" s="9"/>
      <c r="U89" s="9"/>
      <c r="Z89" s="9"/>
    </row>
    <row r="90" spans="7:26">
      <c r="G90" s="9"/>
      <c r="I90" s="6"/>
      <c r="K90" s="4"/>
      <c r="L90" s="6"/>
      <c r="M90" s="6"/>
      <c r="O90" s="3"/>
      <c r="P90" s="8"/>
      <c r="Q90" s="7"/>
      <c r="R90" s="7"/>
      <c r="S90" s="8"/>
      <c r="T90" s="9"/>
      <c r="U90" s="9"/>
      <c r="Z90" s="9"/>
    </row>
    <row r="91" spans="7:26">
      <c r="G91" s="9"/>
      <c r="I91" s="6"/>
      <c r="K91" s="4"/>
      <c r="L91" s="6"/>
      <c r="M91" s="6"/>
      <c r="O91" s="3"/>
      <c r="P91" s="8"/>
      <c r="Q91" s="7"/>
      <c r="R91" s="7"/>
      <c r="S91" s="8"/>
      <c r="T91" s="9"/>
      <c r="U91" s="9"/>
      <c r="Z91" s="9"/>
    </row>
    <row r="92" spans="7:26">
      <c r="G92" s="9"/>
      <c r="I92" s="6"/>
      <c r="K92" s="4"/>
      <c r="L92" s="6"/>
      <c r="M92" s="6"/>
      <c r="O92" s="3"/>
      <c r="P92" s="8"/>
      <c r="Q92" s="7"/>
      <c r="R92" s="7"/>
      <c r="S92" s="8"/>
      <c r="T92" s="9"/>
      <c r="U92" s="9"/>
      <c r="Z92" s="9"/>
    </row>
    <row r="93" spans="7:26">
      <c r="G93" s="9"/>
      <c r="I93" s="6"/>
      <c r="K93" s="4"/>
      <c r="L93" s="6"/>
      <c r="M93" s="6"/>
      <c r="O93" s="3"/>
      <c r="P93" s="8"/>
      <c r="Q93" s="7"/>
      <c r="R93" s="7"/>
      <c r="S93" s="8"/>
      <c r="T93" s="9"/>
      <c r="U93" s="9"/>
      <c r="Z93" s="9"/>
    </row>
    <row r="94" spans="7:26">
      <c r="G94" s="9"/>
      <c r="I94" s="6"/>
      <c r="K94" s="4"/>
      <c r="L94" s="6"/>
      <c r="M94" s="6"/>
      <c r="O94" s="3"/>
      <c r="P94" s="8"/>
      <c r="Q94" s="7"/>
      <c r="R94" s="7"/>
      <c r="S94" s="8"/>
      <c r="T94" s="9"/>
      <c r="U94" s="9"/>
      <c r="Z94" s="9"/>
    </row>
    <row r="95" spans="7:26">
      <c r="G95" s="9"/>
      <c r="I95" s="6"/>
      <c r="K95" s="4"/>
      <c r="L95" s="6"/>
      <c r="M95" s="6"/>
      <c r="O95" s="3"/>
      <c r="P95" s="8"/>
      <c r="Q95" s="7"/>
      <c r="R95" s="7"/>
      <c r="S95" s="8"/>
      <c r="T95" s="9"/>
      <c r="U95" s="9"/>
      <c r="Z95" s="9"/>
    </row>
    <row r="96" spans="7:26">
      <c r="G96" s="9"/>
      <c r="I96" s="6"/>
      <c r="K96" s="4"/>
      <c r="L96" s="6"/>
      <c r="M96" s="6"/>
      <c r="O96" s="3"/>
      <c r="P96" s="8"/>
      <c r="Q96" s="7"/>
      <c r="R96" s="7"/>
      <c r="S96" s="8"/>
      <c r="T96" s="9"/>
      <c r="U96" s="9"/>
      <c r="Z96" s="9"/>
    </row>
    <row r="97" spans="7:26">
      <c r="G97" s="9"/>
      <c r="I97" s="6"/>
      <c r="K97" s="4"/>
      <c r="L97" s="6"/>
      <c r="M97" s="6"/>
      <c r="O97" s="3"/>
      <c r="P97" s="8"/>
      <c r="Q97" s="7"/>
      <c r="R97" s="7"/>
      <c r="S97" s="8"/>
      <c r="T97" s="9"/>
      <c r="U97" s="9"/>
      <c r="Z97" s="9"/>
    </row>
    <row r="98" spans="7:26">
      <c r="G98" s="9"/>
      <c r="I98" s="6"/>
      <c r="K98" s="4"/>
      <c r="L98" s="6"/>
      <c r="M98" s="6"/>
      <c r="O98" s="3"/>
      <c r="P98" s="8"/>
      <c r="Q98" s="7"/>
      <c r="R98" s="7"/>
      <c r="S98" s="8"/>
      <c r="T98" s="9"/>
      <c r="U98" s="9"/>
      <c r="Z98" s="9"/>
    </row>
    <row r="99" spans="7:26">
      <c r="G99" s="9"/>
      <c r="I99" s="6"/>
      <c r="K99" s="4"/>
      <c r="L99" s="6"/>
      <c r="M99" s="6"/>
      <c r="O99" s="3"/>
      <c r="P99" s="8"/>
      <c r="Q99" s="7"/>
      <c r="R99" s="7"/>
      <c r="S99" s="8"/>
      <c r="T99" s="9"/>
      <c r="U99" s="9"/>
      <c r="Z99" s="9"/>
    </row>
    <row r="100" spans="7:26">
      <c r="G100" s="9"/>
      <c r="I100" s="6"/>
      <c r="K100" s="4"/>
      <c r="L100" s="6"/>
      <c r="M100" s="6"/>
      <c r="O100" s="3"/>
      <c r="P100" s="8"/>
      <c r="Q100" s="7"/>
      <c r="R100" s="7"/>
      <c r="S100" s="8"/>
      <c r="T100" s="9"/>
      <c r="U100" s="9"/>
      <c r="Z100" s="9"/>
    </row>
    <row r="101" spans="7:26">
      <c r="G101" s="9"/>
      <c r="I101" s="6"/>
      <c r="K101" s="4"/>
      <c r="L101" s="6"/>
      <c r="M101" s="6"/>
      <c r="O101" s="3"/>
      <c r="P101" s="8"/>
      <c r="Q101" s="7"/>
      <c r="R101" s="7"/>
      <c r="S101" s="8"/>
      <c r="T101" s="9"/>
      <c r="U101" s="9"/>
      <c r="Z101" s="9"/>
    </row>
    <row r="102" spans="7:26">
      <c r="G102" s="9"/>
      <c r="I102" s="6"/>
      <c r="K102" s="4"/>
      <c r="L102" s="6"/>
      <c r="M102" s="6"/>
      <c r="O102" s="3"/>
      <c r="P102" s="8"/>
      <c r="Q102" s="7"/>
      <c r="R102" s="7"/>
      <c r="S102" s="8"/>
      <c r="T102" s="9"/>
      <c r="U102" s="9"/>
      <c r="Z102" s="9"/>
    </row>
    <row r="103" spans="7:26">
      <c r="G103" s="9"/>
      <c r="I103" s="6"/>
      <c r="K103" s="4"/>
      <c r="L103" s="6"/>
      <c r="M103" s="6"/>
      <c r="O103" s="3"/>
      <c r="P103" s="8"/>
      <c r="Q103" s="7"/>
      <c r="R103" s="7"/>
      <c r="S103" s="8"/>
      <c r="T103" s="9"/>
      <c r="U103" s="9"/>
      <c r="Z103" s="9"/>
    </row>
    <row r="104" spans="7:26">
      <c r="G104" s="9"/>
      <c r="I104" s="6"/>
      <c r="K104" s="4"/>
      <c r="L104" s="6"/>
      <c r="M104" s="6"/>
      <c r="O104" s="3"/>
      <c r="P104" s="8"/>
      <c r="Q104" s="7"/>
      <c r="R104" s="7"/>
      <c r="S104" s="8"/>
      <c r="T104" s="9"/>
      <c r="U104" s="9"/>
      <c r="Z104" s="9"/>
    </row>
    <row r="105" spans="7:26">
      <c r="G105" s="9"/>
      <c r="I105" s="6"/>
      <c r="K105" s="4"/>
      <c r="L105" s="6"/>
      <c r="M105" s="6"/>
      <c r="O105" s="3"/>
      <c r="P105" s="8"/>
      <c r="Q105" s="7"/>
      <c r="R105" s="7"/>
      <c r="S105" s="8"/>
      <c r="T105" s="9"/>
      <c r="U105" s="9"/>
      <c r="Z105" s="9"/>
    </row>
    <row r="106" spans="7:26">
      <c r="G106" s="9"/>
      <c r="I106" s="6"/>
      <c r="K106" s="4"/>
      <c r="L106" s="6"/>
      <c r="M106" s="6"/>
      <c r="O106" s="3"/>
      <c r="P106" s="8"/>
      <c r="Q106" s="7"/>
      <c r="R106" s="7"/>
      <c r="S106" s="8"/>
      <c r="T106" s="9"/>
      <c r="U106" s="9"/>
      <c r="Z106" s="9"/>
    </row>
    <row r="107" spans="7:26">
      <c r="G107" s="9"/>
      <c r="I107" s="6"/>
      <c r="K107" s="4"/>
      <c r="L107" s="6"/>
      <c r="M107" s="6"/>
      <c r="O107" s="3"/>
      <c r="P107" s="8"/>
      <c r="Q107" s="7"/>
      <c r="R107" s="7"/>
      <c r="S107" s="8"/>
      <c r="T107" s="9"/>
      <c r="U107" s="9"/>
      <c r="Z107" s="9"/>
    </row>
    <row r="108" spans="7:26">
      <c r="G108" s="9"/>
      <c r="I108" s="6"/>
      <c r="K108" s="4"/>
      <c r="L108" s="6"/>
      <c r="M108" s="6"/>
      <c r="O108" s="3"/>
      <c r="P108" s="8"/>
      <c r="Q108" s="7"/>
      <c r="R108" s="7"/>
      <c r="S108" s="8"/>
      <c r="T108" s="9"/>
      <c r="U108" s="9"/>
      <c r="Z108" s="9"/>
    </row>
    <row r="109" spans="7:26">
      <c r="G109" s="9"/>
      <c r="I109" s="6"/>
      <c r="K109" s="4"/>
      <c r="L109" s="6"/>
      <c r="M109" s="6"/>
      <c r="O109" s="3"/>
      <c r="P109" s="8"/>
      <c r="Q109" s="7"/>
      <c r="R109" s="7"/>
      <c r="S109" s="8"/>
      <c r="T109" s="9"/>
      <c r="U109" s="9"/>
      <c r="Z109" s="9"/>
    </row>
    <row r="110" spans="7:26">
      <c r="G110" s="9"/>
      <c r="I110" s="6"/>
      <c r="K110" s="4"/>
      <c r="L110" s="6"/>
      <c r="M110" s="6"/>
      <c r="O110" s="3"/>
      <c r="P110" s="8"/>
      <c r="Q110" s="7"/>
      <c r="R110" s="7"/>
      <c r="S110" s="8"/>
      <c r="T110" s="9"/>
      <c r="U110" s="9"/>
      <c r="Z110" s="9"/>
    </row>
    <row r="111" spans="7:26">
      <c r="G111" s="9"/>
      <c r="I111" s="6"/>
      <c r="K111" s="4"/>
      <c r="L111" s="6"/>
      <c r="M111" s="6"/>
      <c r="O111" s="3"/>
      <c r="P111" s="8"/>
      <c r="Q111" s="7"/>
      <c r="R111" s="7"/>
      <c r="S111" s="8"/>
      <c r="T111" s="9"/>
      <c r="U111" s="9"/>
      <c r="Z111" s="9"/>
    </row>
    <row r="112" spans="7:26">
      <c r="G112" s="9"/>
      <c r="I112" s="6"/>
      <c r="K112" s="4"/>
      <c r="L112" s="6"/>
      <c r="M112" s="6"/>
      <c r="O112" s="3"/>
      <c r="P112" s="8"/>
      <c r="Q112" s="7"/>
      <c r="R112" s="7"/>
      <c r="S112" s="8"/>
      <c r="T112" s="9"/>
      <c r="U112" s="9"/>
      <c r="Z112" s="9"/>
    </row>
    <row r="113" spans="7:26">
      <c r="G113" s="9"/>
      <c r="I113" s="6"/>
      <c r="K113" s="4"/>
      <c r="L113" s="6"/>
      <c r="M113" s="6"/>
      <c r="O113" s="3"/>
      <c r="P113" s="8"/>
      <c r="Q113" s="7"/>
      <c r="R113" s="7"/>
      <c r="S113" s="8"/>
      <c r="T113" s="9"/>
      <c r="U113" s="9"/>
      <c r="Z113" s="9"/>
    </row>
    <row r="114" spans="7:26">
      <c r="G114" s="9"/>
      <c r="I114" s="6"/>
      <c r="K114" s="4"/>
      <c r="L114" s="6"/>
      <c r="M114" s="6"/>
      <c r="O114" s="3"/>
      <c r="P114" s="8"/>
      <c r="Q114" s="7"/>
      <c r="R114" s="7"/>
      <c r="S114" s="8"/>
      <c r="T114" s="9"/>
      <c r="U114" s="9"/>
      <c r="Z114" s="9"/>
    </row>
    <row r="115" spans="7:26">
      <c r="G115" s="9"/>
      <c r="I115" s="6"/>
      <c r="K115" s="4"/>
      <c r="L115" s="6"/>
      <c r="M115" s="6"/>
      <c r="O115" s="3"/>
      <c r="P115" s="8"/>
      <c r="Q115" s="7"/>
      <c r="R115" s="7"/>
      <c r="S115" s="8"/>
      <c r="T115" s="9"/>
      <c r="U115" s="9"/>
      <c r="Z115" s="9"/>
    </row>
    <row r="116" spans="7:26">
      <c r="G116" s="9"/>
      <c r="I116" s="6"/>
      <c r="K116" s="4"/>
      <c r="L116" s="6"/>
      <c r="M116" s="6"/>
      <c r="O116" s="3"/>
      <c r="P116" s="8"/>
      <c r="Q116" s="7"/>
      <c r="R116" s="7"/>
      <c r="S116" s="8"/>
      <c r="T116" s="9"/>
      <c r="U116" s="9"/>
      <c r="Z116" s="9"/>
    </row>
    <row r="117" spans="7:26">
      <c r="G117" s="9"/>
      <c r="I117" s="6"/>
      <c r="K117" s="4"/>
      <c r="L117" s="6"/>
      <c r="M117" s="6"/>
      <c r="O117" s="3"/>
      <c r="P117" s="8"/>
      <c r="Q117" s="7"/>
      <c r="R117" s="7"/>
      <c r="S117" s="8"/>
      <c r="T117" s="9"/>
      <c r="U117" s="9"/>
      <c r="Z117" s="9"/>
    </row>
    <row r="118" spans="7:26">
      <c r="G118" s="9"/>
      <c r="I118" s="6"/>
      <c r="K118" s="4"/>
      <c r="L118" s="6"/>
      <c r="M118" s="6"/>
      <c r="O118" s="3"/>
      <c r="P118" s="8"/>
      <c r="Q118" s="7"/>
      <c r="R118" s="7"/>
      <c r="S118" s="8"/>
      <c r="T118" s="9"/>
      <c r="U118" s="9"/>
      <c r="Z118" s="9"/>
    </row>
    <row r="119" spans="7:26">
      <c r="G119" s="9"/>
      <c r="I119" s="6"/>
      <c r="K119" s="4"/>
      <c r="L119" s="6"/>
      <c r="M119" s="6"/>
      <c r="O119" s="3"/>
      <c r="P119" s="8"/>
      <c r="Q119" s="7"/>
      <c r="R119" s="7"/>
      <c r="S119" s="8"/>
      <c r="T119" s="9"/>
      <c r="U119" s="9"/>
      <c r="Z119" s="9"/>
    </row>
    <row r="120" spans="7:26">
      <c r="G120" s="9"/>
      <c r="I120" s="6"/>
      <c r="K120" s="4"/>
      <c r="L120" s="6"/>
      <c r="M120" s="6"/>
      <c r="O120" s="3"/>
      <c r="P120" s="8"/>
      <c r="Q120" s="7"/>
      <c r="R120" s="7"/>
      <c r="S120" s="8"/>
      <c r="T120" s="9"/>
      <c r="U120" s="9"/>
      <c r="Z120" s="9"/>
    </row>
    <row r="121" spans="7:26">
      <c r="G121" s="9"/>
      <c r="I121" s="6"/>
      <c r="K121" s="4"/>
      <c r="L121" s="6"/>
      <c r="M121" s="6"/>
      <c r="O121" s="3"/>
      <c r="P121" s="8"/>
      <c r="Q121" s="7"/>
      <c r="R121" s="7"/>
      <c r="S121" s="8"/>
      <c r="T121" s="9"/>
      <c r="U121" s="9"/>
      <c r="Z121" s="9"/>
    </row>
    <row r="122" spans="7:26">
      <c r="G122" s="9"/>
      <c r="I122" s="6"/>
      <c r="K122" s="4"/>
      <c r="L122" s="6"/>
      <c r="M122" s="6"/>
      <c r="O122" s="3"/>
      <c r="P122" s="8"/>
      <c r="Q122" s="7"/>
      <c r="R122" s="7"/>
      <c r="S122" s="8"/>
      <c r="T122" s="9"/>
      <c r="U122" s="9"/>
      <c r="Z122" s="9"/>
    </row>
    <row r="123" spans="7:26">
      <c r="G123" s="9"/>
      <c r="I123" s="6"/>
      <c r="K123" s="4"/>
      <c r="L123" s="6"/>
      <c r="M123" s="6"/>
      <c r="O123" s="3"/>
      <c r="P123" s="8"/>
      <c r="Q123" s="7"/>
      <c r="R123" s="7"/>
      <c r="S123" s="8"/>
      <c r="T123" s="9"/>
      <c r="U123" s="9"/>
      <c r="Z123" s="9"/>
    </row>
    <row r="124" spans="7:26">
      <c r="G124" s="9"/>
      <c r="I124" s="6"/>
      <c r="K124" s="4"/>
      <c r="L124" s="6"/>
      <c r="M124" s="6"/>
      <c r="O124" s="3"/>
      <c r="P124" s="8"/>
      <c r="Q124" s="7"/>
      <c r="R124" s="7"/>
      <c r="S124" s="8"/>
      <c r="T124" s="9"/>
      <c r="U124" s="9"/>
      <c r="Z124" s="9"/>
    </row>
    <row r="125" spans="7:26">
      <c r="G125" s="9"/>
      <c r="I125" s="6"/>
      <c r="K125" s="4"/>
      <c r="L125" s="6"/>
      <c r="M125" s="6"/>
      <c r="O125" s="3"/>
      <c r="P125" s="8"/>
      <c r="Q125" s="7"/>
      <c r="R125" s="7"/>
      <c r="S125" s="8"/>
      <c r="T125" s="9"/>
      <c r="U125" s="9"/>
      <c r="Z125" s="9"/>
    </row>
    <row r="126" spans="7:26">
      <c r="G126" s="9"/>
      <c r="I126" s="6"/>
      <c r="K126" s="4"/>
      <c r="L126" s="6"/>
      <c r="M126" s="6"/>
      <c r="O126" s="3"/>
      <c r="P126" s="8"/>
      <c r="Q126" s="7"/>
      <c r="R126" s="7"/>
      <c r="S126" s="8"/>
      <c r="T126" s="9"/>
      <c r="U126" s="9"/>
      <c r="Z126" s="9"/>
    </row>
    <row r="127" spans="7:26">
      <c r="G127" s="9"/>
      <c r="I127" s="6"/>
      <c r="K127" s="4"/>
      <c r="L127" s="6"/>
      <c r="M127" s="6"/>
      <c r="O127" s="3"/>
      <c r="P127" s="8"/>
      <c r="Q127" s="7"/>
      <c r="R127" s="7"/>
      <c r="S127" s="8"/>
      <c r="T127" s="9"/>
      <c r="U127" s="9"/>
      <c r="Z127" s="9"/>
    </row>
    <row r="128" spans="7:26">
      <c r="G128" s="9"/>
      <c r="I128" s="6"/>
      <c r="K128" s="4"/>
      <c r="L128" s="6"/>
      <c r="M128" s="6"/>
      <c r="O128" s="3"/>
      <c r="P128" s="8"/>
      <c r="Q128" s="7"/>
      <c r="R128" s="7"/>
      <c r="S128" s="8"/>
      <c r="T128" s="9"/>
      <c r="U128" s="9"/>
      <c r="Z128" s="9"/>
    </row>
    <row r="129" spans="7:26">
      <c r="G129" s="9"/>
      <c r="I129" s="6"/>
      <c r="K129" s="4"/>
      <c r="L129" s="6"/>
      <c r="M129" s="6"/>
      <c r="O129" s="3"/>
      <c r="P129" s="8"/>
      <c r="Q129" s="7"/>
      <c r="R129" s="7"/>
      <c r="S129" s="8"/>
      <c r="T129" s="9"/>
      <c r="U129" s="9"/>
      <c r="Z129" s="9"/>
    </row>
    <row r="130" spans="7:26">
      <c r="G130" s="9"/>
      <c r="I130" s="6"/>
      <c r="K130" s="4"/>
      <c r="L130" s="6"/>
      <c r="M130" s="6"/>
      <c r="O130" s="3"/>
      <c r="P130" s="8"/>
      <c r="Q130" s="7"/>
      <c r="R130" s="7"/>
      <c r="S130" s="8"/>
      <c r="T130" s="9"/>
      <c r="U130" s="9"/>
      <c r="Z130" s="9"/>
    </row>
    <row r="131" spans="7:26">
      <c r="G131" s="9"/>
      <c r="I131" s="6"/>
      <c r="K131" s="4"/>
      <c r="L131" s="6"/>
      <c r="M131" s="6"/>
      <c r="O131" s="3"/>
      <c r="P131" s="8"/>
      <c r="Q131" s="7"/>
      <c r="R131" s="7"/>
      <c r="S131" s="8"/>
      <c r="T131" s="9"/>
      <c r="U131" s="9"/>
      <c r="Z131" s="9"/>
    </row>
    <row r="132" spans="7:26">
      <c r="G132" s="9"/>
      <c r="I132" s="6"/>
      <c r="K132" s="4"/>
      <c r="L132" s="6"/>
      <c r="M132" s="6"/>
      <c r="O132" s="3"/>
      <c r="P132" s="8"/>
      <c r="Q132" s="7"/>
      <c r="R132" s="7"/>
      <c r="S132" s="8"/>
      <c r="T132" s="9"/>
      <c r="U132" s="9"/>
      <c r="Z132" s="9"/>
    </row>
    <row r="133" spans="7:26">
      <c r="G133" s="9"/>
      <c r="I133" s="6"/>
      <c r="K133" s="4"/>
      <c r="L133" s="6"/>
      <c r="M133" s="6"/>
      <c r="O133" s="3"/>
      <c r="P133" s="8"/>
      <c r="Q133" s="7"/>
      <c r="R133" s="7"/>
      <c r="S133" s="8"/>
      <c r="T133" s="9"/>
      <c r="U133" s="9"/>
      <c r="Z133" s="9"/>
    </row>
    <row r="134" spans="7:26">
      <c r="G134" s="9"/>
      <c r="I134" s="6"/>
      <c r="K134" s="4"/>
      <c r="L134" s="6"/>
      <c r="M134" s="6"/>
      <c r="O134" s="3"/>
      <c r="P134" s="8"/>
      <c r="Q134" s="7"/>
      <c r="R134" s="7"/>
      <c r="S134" s="8"/>
      <c r="T134" s="9"/>
      <c r="U134" s="9"/>
      <c r="Z134" s="9"/>
    </row>
    <row r="135" spans="7:26">
      <c r="G135" s="9"/>
      <c r="I135" s="6"/>
      <c r="K135" s="4"/>
      <c r="L135" s="6"/>
      <c r="M135" s="6"/>
      <c r="O135" s="3"/>
      <c r="P135" s="8"/>
      <c r="Q135" s="7"/>
      <c r="R135" s="7"/>
      <c r="S135" s="8"/>
      <c r="T135" s="9"/>
      <c r="U135" s="9"/>
      <c r="Z135" s="9"/>
    </row>
    <row r="136" spans="7:26">
      <c r="G136" s="9"/>
      <c r="I136" s="6"/>
      <c r="K136" s="4"/>
      <c r="L136" s="6"/>
      <c r="M136" s="6"/>
      <c r="O136" s="3"/>
      <c r="P136" s="8"/>
      <c r="Q136" s="7"/>
      <c r="R136" s="7"/>
      <c r="S136" s="8"/>
      <c r="T136" s="9"/>
      <c r="U136" s="9"/>
      <c r="Z136" s="9"/>
    </row>
    <row r="137" spans="7:26">
      <c r="G137" s="9"/>
      <c r="I137" s="6"/>
      <c r="K137" s="4"/>
      <c r="L137" s="6"/>
      <c r="M137" s="6"/>
      <c r="O137" s="3"/>
      <c r="P137" s="8"/>
      <c r="Q137" s="7"/>
      <c r="R137" s="7"/>
      <c r="S137" s="8"/>
      <c r="T137" s="9"/>
      <c r="U137" s="9"/>
      <c r="Z137" s="9"/>
    </row>
    <row r="138" spans="7:26">
      <c r="G138" s="9"/>
      <c r="I138" s="6"/>
      <c r="K138" s="4"/>
      <c r="L138" s="6"/>
      <c r="M138" s="6"/>
      <c r="O138" s="3"/>
      <c r="P138" s="8"/>
      <c r="Q138" s="7"/>
      <c r="R138" s="7"/>
      <c r="S138" s="8"/>
      <c r="T138" s="9"/>
      <c r="U138" s="9"/>
      <c r="Z138" s="9"/>
    </row>
    <row r="139" spans="7:26">
      <c r="G139" s="9"/>
      <c r="I139" s="6"/>
      <c r="K139" s="4"/>
      <c r="L139" s="6"/>
      <c r="M139" s="6"/>
      <c r="O139" s="3"/>
      <c r="P139" s="8"/>
      <c r="Q139" s="7"/>
      <c r="R139" s="7"/>
      <c r="S139" s="8"/>
      <c r="T139" s="9"/>
      <c r="U139" s="9"/>
      <c r="Z139" s="9"/>
    </row>
    <row r="140" spans="7:26">
      <c r="G140" s="9"/>
      <c r="I140" s="6"/>
      <c r="K140" s="4"/>
      <c r="L140" s="6"/>
      <c r="M140" s="6"/>
      <c r="O140" s="3"/>
      <c r="P140" s="8"/>
      <c r="Q140" s="7"/>
      <c r="R140" s="7"/>
      <c r="S140" s="8"/>
      <c r="T140" s="9"/>
      <c r="U140" s="9"/>
      <c r="Z140" s="9"/>
    </row>
    <row r="141" spans="7:26">
      <c r="G141" s="9"/>
      <c r="I141" s="6"/>
      <c r="K141" s="4"/>
      <c r="L141" s="6"/>
      <c r="M141" s="6"/>
      <c r="O141" s="3"/>
      <c r="P141" s="8"/>
      <c r="Q141" s="7"/>
      <c r="R141" s="7"/>
      <c r="S141" s="8"/>
      <c r="T141" s="9"/>
      <c r="U141" s="9"/>
      <c r="Z141" s="9"/>
    </row>
    <row r="142" spans="7:26">
      <c r="G142" s="9"/>
      <c r="I142" s="6"/>
      <c r="K142" s="4"/>
      <c r="L142" s="6"/>
      <c r="M142" s="6"/>
      <c r="O142" s="3"/>
      <c r="P142" s="8"/>
      <c r="Q142" s="7"/>
      <c r="R142" s="7"/>
      <c r="S142" s="8"/>
      <c r="T142" s="9"/>
      <c r="U142" s="9"/>
      <c r="Z142" s="9"/>
    </row>
    <row r="143" spans="7:26">
      <c r="G143" s="9"/>
      <c r="I143" s="6"/>
      <c r="K143" s="4"/>
      <c r="L143" s="6"/>
      <c r="M143" s="6"/>
      <c r="O143" s="3"/>
      <c r="P143" s="8"/>
      <c r="Q143" s="7"/>
      <c r="R143" s="7"/>
      <c r="S143" s="8"/>
      <c r="T143" s="9"/>
      <c r="U143" s="9"/>
      <c r="Z143" s="9"/>
    </row>
    <row r="144" spans="7:26">
      <c r="G144" s="9"/>
      <c r="I144" s="6"/>
      <c r="K144" s="4"/>
      <c r="L144" s="6"/>
      <c r="M144" s="6"/>
      <c r="O144" s="3"/>
      <c r="P144" s="8"/>
      <c r="Q144" s="7"/>
      <c r="R144" s="7"/>
      <c r="S144" s="8"/>
      <c r="T144" s="9"/>
      <c r="U144" s="9"/>
      <c r="Z144" s="9"/>
    </row>
    <row r="145" spans="7:26">
      <c r="G145" s="9"/>
      <c r="I145" s="6"/>
      <c r="K145" s="4"/>
      <c r="L145" s="6"/>
      <c r="M145" s="6"/>
      <c r="O145" s="3"/>
      <c r="P145" s="8"/>
      <c r="Q145" s="7"/>
      <c r="R145" s="7"/>
      <c r="S145" s="8"/>
      <c r="T145" s="9"/>
      <c r="U145" s="9"/>
      <c r="Z145" s="9"/>
    </row>
    <row r="146" spans="7:26">
      <c r="G146" s="9"/>
      <c r="I146" s="6"/>
      <c r="K146" s="4"/>
      <c r="L146" s="6"/>
      <c r="M146" s="6"/>
      <c r="O146" s="3"/>
      <c r="P146" s="8"/>
      <c r="Q146" s="7"/>
      <c r="R146" s="7"/>
      <c r="S146" s="8"/>
      <c r="T146" s="9"/>
      <c r="U146" s="9"/>
      <c r="Z146" s="9"/>
    </row>
    <row r="147" spans="7:26">
      <c r="G147" s="9"/>
      <c r="I147" s="6"/>
      <c r="K147" s="4"/>
      <c r="L147" s="6"/>
      <c r="M147" s="6"/>
      <c r="O147" s="3"/>
      <c r="P147" s="8"/>
      <c r="Q147" s="7"/>
      <c r="R147" s="7"/>
      <c r="S147" s="8"/>
      <c r="T147" s="9"/>
      <c r="U147" s="9"/>
      <c r="Z147" s="9"/>
    </row>
    <row r="148" spans="7:26">
      <c r="G148" s="9"/>
      <c r="I148" s="6"/>
      <c r="K148" s="4"/>
      <c r="L148" s="6"/>
      <c r="M148" s="6"/>
      <c r="O148" s="3"/>
      <c r="P148" s="8"/>
      <c r="Q148" s="7"/>
      <c r="R148" s="7"/>
      <c r="S148" s="8"/>
      <c r="T148" s="9"/>
      <c r="U148" s="9"/>
      <c r="Z148" s="9"/>
    </row>
    <row r="149" spans="7:26">
      <c r="G149" s="9"/>
      <c r="I149" s="6"/>
      <c r="K149" s="4"/>
      <c r="L149" s="6"/>
      <c r="M149" s="6"/>
      <c r="O149" s="3"/>
      <c r="P149" s="8"/>
      <c r="Q149" s="7"/>
      <c r="R149" s="7"/>
      <c r="S149" s="8"/>
      <c r="T149" s="9"/>
      <c r="U149" s="9"/>
      <c r="Z149" s="9"/>
    </row>
    <row r="150" spans="7:26">
      <c r="G150" s="9"/>
      <c r="I150" s="6"/>
      <c r="K150" s="4"/>
      <c r="L150" s="6"/>
      <c r="M150" s="6"/>
      <c r="O150" s="3"/>
      <c r="P150" s="8"/>
      <c r="Q150" s="7"/>
      <c r="R150" s="7"/>
      <c r="S150" s="8"/>
      <c r="T150" s="9"/>
      <c r="U150" s="9"/>
      <c r="Z150" s="9"/>
    </row>
    <row r="151" spans="7:26">
      <c r="G151" s="9"/>
      <c r="I151" s="6"/>
      <c r="K151" s="4"/>
      <c r="L151" s="6"/>
      <c r="M151" s="6"/>
      <c r="O151" s="3"/>
      <c r="P151" s="8"/>
      <c r="Q151" s="7"/>
      <c r="R151" s="7"/>
      <c r="S151" s="8"/>
      <c r="T151" s="9"/>
      <c r="U151" s="9"/>
      <c r="Z151" s="9"/>
    </row>
    <row r="152" spans="7:26">
      <c r="G152" s="9"/>
      <c r="I152" s="6"/>
      <c r="K152" s="4"/>
      <c r="L152" s="6"/>
      <c r="M152" s="6"/>
      <c r="O152" s="3"/>
      <c r="P152" s="8"/>
      <c r="Q152" s="7"/>
      <c r="R152" s="7"/>
      <c r="S152" s="8"/>
      <c r="T152" s="9"/>
      <c r="U152" s="9"/>
      <c r="Z152" s="9"/>
    </row>
    <row r="153" spans="7:26">
      <c r="G153" s="9"/>
      <c r="I153" s="6"/>
      <c r="K153" s="4"/>
      <c r="L153" s="6"/>
      <c r="M153" s="6"/>
      <c r="O153" s="3"/>
      <c r="P153" s="8"/>
      <c r="Q153" s="7"/>
      <c r="R153" s="7"/>
      <c r="S153" s="8"/>
      <c r="T153" s="9"/>
      <c r="U153" s="9"/>
      <c r="Z153" s="9"/>
    </row>
    <row r="154" spans="7:26">
      <c r="G154" s="9"/>
      <c r="I154" s="6"/>
      <c r="K154" s="4"/>
      <c r="L154" s="6"/>
      <c r="M154" s="6"/>
      <c r="O154" s="3"/>
      <c r="P154" s="8"/>
      <c r="Q154" s="7"/>
      <c r="R154" s="7"/>
      <c r="S154" s="8"/>
      <c r="T154" s="9"/>
      <c r="U154" s="9"/>
      <c r="Z154" s="9"/>
    </row>
    <row r="155" spans="7:26">
      <c r="G155" s="9"/>
      <c r="I155" s="6"/>
      <c r="K155" s="4"/>
      <c r="L155" s="6"/>
      <c r="M155" s="6"/>
      <c r="O155" s="3"/>
      <c r="P155" s="8"/>
      <c r="Q155" s="7"/>
      <c r="R155" s="7"/>
      <c r="S155" s="8"/>
      <c r="T155" s="9"/>
      <c r="U155" s="9"/>
      <c r="Z155" s="9"/>
    </row>
    <row r="156" spans="7:26">
      <c r="G156" s="9"/>
      <c r="I156" s="6"/>
      <c r="K156" s="4"/>
      <c r="L156" s="6"/>
      <c r="M156" s="6"/>
      <c r="O156" s="3"/>
      <c r="P156" s="8"/>
      <c r="Q156" s="7"/>
      <c r="R156" s="7"/>
      <c r="S156" s="8"/>
      <c r="T156" s="9"/>
      <c r="U156" s="9"/>
      <c r="Z156" s="9"/>
    </row>
    <row r="157" spans="7:26">
      <c r="G157" s="9"/>
      <c r="I157" s="6"/>
      <c r="K157" s="4"/>
      <c r="L157" s="6"/>
      <c r="M157" s="6"/>
      <c r="O157" s="3"/>
      <c r="P157" s="8"/>
      <c r="Q157" s="7"/>
      <c r="R157" s="7"/>
      <c r="S157" s="8"/>
      <c r="T157" s="9"/>
      <c r="U157" s="9"/>
      <c r="Z157" s="9"/>
    </row>
    <row r="158" spans="7:26">
      <c r="G158" s="9"/>
      <c r="I158" s="6"/>
      <c r="K158" s="4"/>
      <c r="L158" s="6"/>
      <c r="M158" s="6"/>
      <c r="O158" s="3"/>
      <c r="P158" s="8"/>
      <c r="Q158" s="7"/>
      <c r="R158" s="7"/>
      <c r="S158" s="8"/>
      <c r="T158" s="9"/>
      <c r="U158" s="9"/>
      <c r="Z158" s="9"/>
    </row>
    <row r="159" spans="7:26">
      <c r="G159" s="9"/>
      <c r="I159" s="6"/>
      <c r="K159" s="4"/>
      <c r="L159" s="6"/>
      <c r="M159" s="6"/>
      <c r="O159" s="3"/>
      <c r="P159" s="8"/>
      <c r="Q159" s="7"/>
      <c r="R159" s="7"/>
      <c r="S159" s="8"/>
      <c r="T159" s="9"/>
      <c r="U159" s="9"/>
      <c r="Z159" s="9"/>
    </row>
    <row r="160" spans="7:26">
      <c r="G160" s="9"/>
      <c r="I160" s="6"/>
      <c r="K160" s="4"/>
      <c r="L160" s="6"/>
      <c r="M160" s="6"/>
      <c r="O160" s="3"/>
      <c r="P160" s="8"/>
      <c r="Q160" s="7"/>
      <c r="R160" s="7"/>
      <c r="S160" s="8"/>
      <c r="T160" s="9"/>
      <c r="U160" s="9"/>
      <c r="Z160" s="9"/>
    </row>
    <row r="161" spans="7:26">
      <c r="G161" s="9"/>
      <c r="I161" s="6"/>
      <c r="K161" s="4"/>
      <c r="L161" s="6"/>
      <c r="M161" s="6"/>
      <c r="O161" s="3"/>
      <c r="P161" s="8"/>
      <c r="Q161" s="7"/>
      <c r="R161" s="7"/>
      <c r="S161" s="8"/>
      <c r="T161" s="9"/>
      <c r="U161" s="9"/>
      <c r="Z161" s="9"/>
    </row>
    <row r="162" spans="7:26">
      <c r="G162" s="9"/>
      <c r="I162" s="6"/>
      <c r="K162" s="4"/>
      <c r="L162" s="6"/>
      <c r="M162" s="6"/>
      <c r="O162" s="3"/>
      <c r="P162" s="8"/>
      <c r="Q162" s="7"/>
      <c r="R162" s="7"/>
      <c r="S162" s="8"/>
      <c r="T162" s="9"/>
      <c r="U162" s="9"/>
      <c r="Z162" s="9"/>
    </row>
    <row r="163" spans="7:26">
      <c r="G163" s="9"/>
      <c r="I163" s="6"/>
      <c r="K163" s="4"/>
      <c r="L163" s="6"/>
      <c r="M163" s="6"/>
      <c r="O163" s="3"/>
      <c r="P163" s="8"/>
      <c r="Q163" s="7"/>
      <c r="R163" s="7"/>
      <c r="S163" s="8"/>
      <c r="T163" s="9"/>
      <c r="U163" s="9"/>
      <c r="Z163" s="9"/>
    </row>
    <row r="164" spans="7:26">
      <c r="G164" s="9"/>
      <c r="I164" s="6"/>
      <c r="K164" s="4"/>
      <c r="L164" s="6"/>
      <c r="M164" s="6"/>
      <c r="O164" s="3"/>
      <c r="P164" s="8"/>
      <c r="Q164" s="7"/>
      <c r="R164" s="7"/>
      <c r="S164" s="8"/>
      <c r="T164" s="9"/>
      <c r="U164" s="9"/>
      <c r="Z164" s="9"/>
    </row>
    <row r="165" spans="7:26">
      <c r="G165" s="9"/>
      <c r="I165" s="6"/>
      <c r="K165" s="4"/>
      <c r="L165" s="6"/>
      <c r="M165" s="6"/>
      <c r="O165" s="3"/>
      <c r="P165" s="8"/>
      <c r="Q165" s="7"/>
      <c r="R165" s="7"/>
      <c r="S165" s="8"/>
      <c r="T165" s="9"/>
      <c r="U165" s="9"/>
      <c r="Z165" s="9"/>
    </row>
    <row r="166" spans="7:26">
      <c r="G166" s="9"/>
      <c r="I166" s="6"/>
      <c r="K166" s="4"/>
      <c r="L166" s="6"/>
      <c r="M166" s="6"/>
      <c r="O166" s="3"/>
      <c r="P166" s="8"/>
      <c r="Q166" s="7"/>
      <c r="R166" s="7"/>
      <c r="S166" s="8"/>
      <c r="T166" s="9"/>
      <c r="U166" s="9"/>
      <c r="Z166" s="9"/>
    </row>
    <row r="167" spans="7:26">
      <c r="G167" s="9"/>
      <c r="I167" s="6"/>
      <c r="K167" s="4"/>
      <c r="L167" s="6"/>
      <c r="M167" s="6"/>
      <c r="O167" s="3"/>
      <c r="P167" s="8"/>
      <c r="Q167" s="7"/>
      <c r="R167" s="7"/>
      <c r="S167" s="8"/>
      <c r="T167" s="9"/>
      <c r="U167" s="9"/>
      <c r="Z167" s="9"/>
    </row>
    <row r="168" spans="7:26">
      <c r="G168" s="9"/>
      <c r="I168" s="6"/>
      <c r="K168" s="4"/>
      <c r="L168" s="6"/>
      <c r="M168" s="6"/>
      <c r="O168" s="3"/>
      <c r="P168" s="8"/>
      <c r="Q168" s="7"/>
      <c r="R168" s="7"/>
      <c r="S168" s="8"/>
      <c r="T168" s="9"/>
      <c r="U168" s="9"/>
      <c r="Z168" s="9"/>
    </row>
    <row r="169" spans="7:26">
      <c r="G169" s="9"/>
      <c r="I169" s="6"/>
      <c r="K169" s="4"/>
      <c r="L169" s="6"/>
      <c r="M169" s="6"/>
      <c r="O169" s="3"/>
      <c r="P169" s="8"/>
      <c r="Q169" s="7"/>
      <c r="R169" s="7"/>
      <c r="S169" s="8"/>
      <c r="T169" s="9"/>
      <c r="U169" s="9"/>
      <c r="Z169" s="9"/>
    </row>
    <row r="170" spans="7:26">
      <c r="G170" s="9"/>
      <c r="I170" s="6"/>
      <c r="K170" s="4"/>
      <c r="L170" s="6"/>
      <c r="M170" s="6"/>
      <c r="O170" s="3"/>
      <c r="P170" s="8"/>
      <c r="Q170" s="7"/>
      <c r="R170" s="7"/>
      <c r="S170" s="8"/>
      <c r="T170" s="9"/>
      <c r="U170" s="9"/>
      <c r="Z170" s="9"/>
    </row>
    <row r="171" spans="7:26">
      <c r="G171" s="9"/>
      <c r="I171" s="6"/>
      <c r="K171" s="4"/>
      <c r="L171" s="6"/>
      <c r="M171" s="6"/>
      <c r="O171" s="3"/>
      <c r="P171" s="8"/>
      <c r="Q171" s="7"/>
      <c r="R171" s="7"/>
      <c r="S171" s="8"/>
      <c r="T171" s="9"/>
      <c r="U171" s="9"/>
      <c r="Z171" s="9"/>
    </row>
    <row r="172" spans="7:26">
      <c r="G172" s="9"/>
      <c r="I172" s="6"/>
      <c r="K172" s="4"/>
      <c r="L172" s="6"/>
      <c r="M172" s="6"/>
      <c r="O172" s="3"/>
      <c r="P172" s="8"/>
      <c r="Q172" s="7"/>
      <c r="R172" s="7"/>
      <c r="S172" s="8"/>
      <c r="T172" s="9"/>
      <c r="U172" s="9"/>
      <c r="Z172" s="9"/>
    </row>
    <row r="173" spans="7:26">
      <c r="G173" s="9"/>
      <c r="I173" s="6"/>
      <c r="K173" s="4"/>
      <c r="L173" s="6"/>
      <c r="M173" s="6"/>
      <c r="O173" s="3"/>
      <c r="P173" s="8"/>
      <c r="Q173" s="7"/>
      <c r="R173" s="7"/>
      <c r="S173" s="8"/>
      <c r="T173" s="9"/>
      <c r="U173" s="9"/>
      <c r="Z173" s="9"/>
    </row>
    <row r="174" spans="7:26">
      <c r="G174" s="9"/>
      <c r="I174" s="6"/>
      <c r="K174" s="4"/>
      <c r="L174" s="6"/>
      <c r="M174" s="6"/>
      <c r="O174" s="3"/>
      <c r="P174" s="8"/>
      <c r="Q174" s="7"/>
      <c r="R174" s="7"/>
      <c r="S174" s="8"/>
      <c r="T174" s="9"/>
      <c r="U174" s="9"/>
      <c r="Z174" s="9"/>
    </row>
    <row r="175" spans="7:26">
      <c r="G175" s="9"/>
      <c r="I175" s="6"/>
      <c r="K175" s="4"/>
      <c r="L175" s="6"/>
      <c r="M175" s="6"/>
      <c r="O175" s="3"/>
      <c r="P175" s="8"/>
      <c r="Q175" s="7"/>
      <c r="R175" s="7"/>
      <c r="S175" s="8"/>
      <c r="T175" s="9"/>
      <c r="U175" s="9"/>
      <c r="Z175" s="9"/>
    </row>
    <row r="176" spans="7:26">
      <c r="G176" s="9"/>
      <c r="I176" s="6"/>
      <c r="K176" s="4"/>
      <c r="L176" s="6"/>
      <c r="M176" s="6"/>
      <c r="O176" s="3"/>
      <c r="P176" s="8"/>
      <c r="Q176" s="7"/>
      <c r="R176" s="7"/>
      <c r="S176" s="8"/>
      <c r="T176" s="9"/>
      <c r="U176" s="9"/>
      <c r="Z176" s="9"/>
    </row>
    <row r="177" spans="7:26">
      <c r="G177" s="9"/>
      <c r="I177" s="6"/>
      <c r="K177" s="4"/>
      <c r="L177" s="6"/>
      <c r="M177" s="6"/>
      <c r="O177" s="3"/>
      <c r="P177" s="8"/>
      <c r="Q177" s="7"/>
      <c r="R177" s="7"/>
      <c r="S177" s="8"/>
      <c r="T177" s="9"/>
      <c r="U177" s="9"/>
      <c r="Z177" s="9"/>
    </row>
    <row r="178" spans="7:26">
      <c r="G178" s="9"/>
      <c r="I178" s="6"/>
      <c r="K178" s="4"/>
      <c r="L178" s="6"/>
      <c r="M178" s="6"/>
      <c r="O178" s="3"/>
      <c r="P178" s="8"/>
      <c r="Q178" s="7"/>
      <c r="R178" s="7"/>
      <c r="S178" s="8"/>
      <c r="T178" s="9"/>
      <c r="U178" s="9"/>
      <c r="Z178" s="9"/>
    </row>
    <row r="179" spans="7:26">
      <c r="G179" s="9"/>
      <c r="I179" s="6"/>
      <c r="K179" s="4"/>
      <c r="L179" s="6"/>
      <c r="M179" s="6"/>
      <c r="O179" s="3"/>
      <c r="P179" s="8"/>
      <c r="Q179" s="7"/>
      <c r="R179" s="7"/>
      <c r="S179" s="8"/>
      <c r="T179" s="9"/>
      <c r="U179" s="9"/>
      <c r="Z179" s="9"/>
    </row>
    <row r="180" spans="7:26">
      <c r="G180" s="9"/>
      <c r="I180" s="6"/>
      <c r="K180" s="4"/>
      <c r="L180" s="6"/>
      <c r="M180" s="6"/>
      <c r="O180" s="3"/>
      <c r="P180" s="8"/>
      <c r="Q180" s="7"/>
      <c r="R180" s="7"/>
      <c r="S180" s="8"/>
      <c r="T180" s="9"/>
      <c r="U180" s="9"/>
      <c r="Z180" s="9"/>
    </row>
    <row r="181" spans="7:26">
      <c r="G181" s="9"/>
      <c r="I181" s="6"/>
      <c r="K181" s="4"/>
      <c r="L181" s="6"/>
      <c r="M181" s="6"/>
      <c r="O181" s="3"/>
      <c r="P181" s="8"/>
      <c r="Q181" s="7"/>
      <c r="R181" s="7"/>
      <c r="S181" s="8"/>
      <c r="T181" s="9"/>
      <c r="U181" s="9"/>
      <c r="Z181" s="9"/>
    </row>
    <row r="182" spans="7:26">
      <c r="G182" s="9"/>
      <c r="I182" s="6"/>
      <c r="K182" s="4"/>
      <c r="L182" s="6"/>
      <c r="M182" s="6"/>
      <c r="O182" s="3"/>
      <c r="P182" s="8"/>
      <c r="Q182" s="7"/>
      <c r="R182" s="7"/>
      <c r="S182" s="8"/>
      <c r="T182" s="9"/>
      <c r="U182" s="9"/>
      <c r="Z182" s="9"/>
    </row>
    <row r="183" spans="7:26">
      <c r="G183" s="9"/>
      <c r="I183" s="6"/>
      <c r="K183" s="4"/>
      <c r="L183" s="6"/>
      <c r="M183" s="6"/>
      <c r="O183" s="3"/>
      <c r="P183" s="8"/>
      <c r="Q183" s="7"/>
      <c r="R183" s="7"/>
      <c r="S183" s="8"/>
      <c r="T183" s="9"/>
      <c r="U183" s="9"/>
      <c r="Z183" s="9"/>
    </row>
    <row r="184" spans="7:26">
      <c r="G184" s="9"/>
      <c r="I184" s="6"/>
      <c r="K184" s="4"/>
      <c r="L184" s="6"/>
      <c r="M184" s="6"/>
      <c r="O184" s="3"/>
      <c r="P184" s="8"/>
      <c r="Q184" s="7"/>
      <c r="R184" s="7"/>
      <c r="S184" s="8"/>
      <c r="T184" s="9"/>
      <c r="U184" s="9"/>
      <c r="Z184" s="9"/>
    </row>
    <row r="185" spans="7:26">
      <c r="G185" s="9"/>
      <c r="I185" s="6"/>
      <c r="K185" s="4"/>
      <c r="L185" s="6"/>
      <c r="M185" s="6"/>
      <c r="O185" s="3"/>
      <c r="P185" s="8"/>
      <c r="Q185" s="7"/>
      <c r="R185" s="7"/>
      <c r="S185" s="8"/>
      <c r="T185" s="9"/>
      <c r="U185" s="9"/>
      <c r="Z185" s="9"/>
    </row>
    <row r="186" spans="7:26">
      <c r="G186" s="9"/>
      <c r="I186" s="6"/>
      <c r="K186" s="4"/>
      <c r="L186" s="6"/>
      <c r="M186" s="6"/>
      <c r="O186" s="3"/>
      <c r="P186" s="8"/>
      <c r="Q186" s="7"/>
      <c r="R186" s="7"/>
      <c r="S186" s="8"/>
      <c r="T186" s="9"/>
      <c r="U186" s="9"/>
      <c r="Z186" s="9"/>
    </row>
    <row r="187" spans="7:26">
      <c r="G187" s="9"/>
      <c r="I187" s="6"/>
      <c r="K187" s="4"/>
      <c r="L187" s="6"/>
      <c r="M187" s="6"/>
      <c r="O187" s="3"/>
      <c r="P187" s="8"/>
      <c r="Q187" s="7"/>
      <c r="R187" s="7"/>
      <c r="S187" s="8"/>
      <c r="T187" s="9"/>
      <c r="U187" s="9"/>
      <c r="Z187" s="9"/>
    </row>
    <row r="188" spans="7:26">
      <c r="G188" s="9"/>
      <c r="I188" s="6"/>
      <c r="K188" s="4"/>
      <c r="L188" s="6"/>
      <c r="M188" s="6"/>
      <c r="O188" s="3"/>
      <c r="P188" s="8"/>
      <c r="Q188" s="7"/>
      <c r="R188" s="7"/>
      <c r="S188" s="8"/>
      <c r="T188" s="9"/>
      <c r="U188" s="9"/>
      <c r="Z188" s="9"/>
    </row>
    <row r="189" spans="7:26">
      <c r="G189" s="9"/>
      <c r="I189" s="6"/>
      <c r="K189" s="4"/>
      <c r="L189" s="6"/>
      <c r="M189" s="6"/>
      <c r="O189" s="3"/>
      <c r="P189" s="8"/>
      <c r="Q189" s="7"/>
      <c r="R189" s="7"/>
      <c r="S189" s="8"/>
      <c r="T189" s="9"/>
      <c r="U189" s="9"/>
      <c r="Z189" s="9"/>
    </row>
    <row r="190" spans="7:26">
      <c r="G190" s="9"/>
      <c r="I190" s="6"/>
      <c r="K190" s="4"/>
      <c r="L190" s="6"/>
      <c r="M190" s="6"/>
      <c r="O190" s="3"/>
      <c r="P190" s="8"/>
      <c r="Q190" s="7"/>
      <c r="R190" s="7"/>
      <c r="S190" s="8"/>
      <c r="T190" s="9"/>
      <c r="U190" s="9"/>
      <c r="Z190" s="9"/>
    </row>
    <row r="191" spans="7:26">
      <c r="G191" s="9"/>
      <c r="I191" s="6"/>
      <c r="K191" s="4"/>
      <c r="L191" s="6"/>
      <c r="M191" s="6"/>
      <c r="O191" s="3"/>
      <c r="P191" s="8"/>
      <c r="Q191" s="7"/>
      <c r="R191" s="7"/>
      <c r="S191" s="8"/>
      <c r="T191" s="9"/>
      <c r="U191" s="9"/>
      <c r="Z191" s="9"/>
    </row>
    <row r="192" spans="7:26">
      <c r="G192" s="9"/>
      <c r="I192" s="6"/>
      <c r="K192" s="4"/>
      <c r="L192" s="6"/>
      <c r="M192" s="6"/>
      <c r="O192" s="3"/>
      <c r="P192" s="8"/>
      <c r="Q192" s="7"/>
      <c r="R192" s="7"/>
      <c r="S192" s="8"/>
      <c r="T192" s="9"/>
      <c r="U192" s="9"/>
      <c r="Z192" s="9"/>
    </row>
    <row r="193" spans="7:26">
      <c r="G193" s="9"/>
      <c r="I193" s="6"/>
      <c r="K193" s="4"/>
      <c r="L193" s="6"/>
      <c r="M193" s="6"/>
      <c r="O193" s="3"/>
      <c r="P193" s="8"/>
      <c r="Q193" s="7"/>
      <c r="R193" s="7"/>
      <c r="S193" s="8"/>
      <c r="T193" s="9"/>
      <c r="U193" s="9"/>
      <c r="Z193" s="9"/>
    </row>
    <row r="194" spans="7:26">
      <c r="G194" s="9"/>
      <c r="I194" s="6"/>
      <c r="K194" s="4"/>
      <c r="L194" s="6"/>
      <c r="M194" s="6"/>
      <c r="O194" s="3"/>
      <c r="P194" s="8"/>
      <c r="Q194" s="7"/>
      <c r="R194" s="7"/>
      <c r="S194" s="8"/>
      <c r="T194" s="9"/>
      <c r="U194" s="9"/>
      <c r="Z194" s="9"/>
    </row>
    <row r="195" spans="7:26">
      <c r="G195" s="9"/>
      <c r="I195" s="6"/>
      <c r="K195" s="4"/>
      <c r="L195" s="6"/>
      <c r="M195" s="6"/>
      <c r="O195" s="3"/>
      <c r="P195" s="8"/>
      <c r="Q195" s="7"/>
      <c r="R195" s="7"/>
      <c r="S195" s="8"/>
      <c r="T195" s="9"/>
      <c r="U195" s="9"/>
      <c r="Z195" s="9"/>
    </row>
    <row r="196" spans="7:26">
      <c r="G196" s="9"/>
      <c r="I196" s="6"/>
      <c r="K196" s="4"/>
      <c r="L196" s="6"/>
      <c r="M196" s="6"/>
      <c r="O196" s="3"/>
      <c r="P196" s="8"/>
      <c r="Q196" s="7"/>
      <c r="R196" s="7"/>
      <c r="S196" s="8"/>
      <c r="T196" s="9"/>
      <c r="U196" s="9"/>
      <c r="Z196" s="9"/>
    </row>
    <row r="197" spans="7:26">
      <c r="G197" s="9"/>
      <c r="I197" s="6"/>
      <c r="K197" s="4"/>
      <c r="L197" s="6"/>
      <c r="M197" s="6"/>
      <c r="O197" s="3"/>
      <c r="P197" s="8"/>
      <c r="Q197" s="7"/>
      <c r="R197" s="7"/>
      <c r="S197" s="8"/>
      <c r="T197" s="9"/>
      <c r="U197" s="9"/>
      <c r="Z197" s="9"/>
    </row>
    <row r="198" spans="7:26">
      <c r="G198" s="9"/>
      <c r="I198" s="6"/>
      <c r="K198" s="4"/>
      <c r="L198" s="6"/>
      <c r="M198" s="6"/>
      <c r="O198" s="3"/>
      <c r="P198" s="8"/>
      <c r="Q198" s="7"/>
      <c r="R198" s="7"/>
      <c r="S198" s="8"/>
      <c r="T198" s="9"/>
      <c r="U198" s="9"/>
      <c r="Z198" s="9"/>
    </row>
    <row r="199" spans="7:26">
      <c r="G199" s="9"/>
      <c r="I199" s="6"/>
      <c r="K199" s="4"/>
      <c r="L199" s="6"/>
      <c r="M199" s="6"/>
      <c r="O199" s="3"/>
      <c r="P199" s="8"/>
      <c r="Q199" s="7"/>
      <c r="R199" s="7"/>
      <c r="S199" s="8"/>
      <c r="T199" s="9"/>
      <c r="U199" s="9"/>
      <c r="Z199" s="9"/>
    </row>
    <row r="200" spans="7:26">
      <c r="G200" s="9"/>
      <c r="I200" s="6"/>
      <c r="K200" s="4"/>
      <c r="L200" s="6"/>
      <c r="M200" s="6"/>
      <c r="O200" s="3"/>
      <c r="P200" s="8"/>
      <c r="Q200" s="7"/>
      <c r="R200" s="7"/>
      <c r="S200" s="8"/>
      <c r="T200" s="9"/>
      <c r="U200" s="9"/>
      <c r="Z200" s="9"/>
    </row>
    <row r="201" spans="7:26">
      <c r="G201" s="9"/>
      <c r="I201" s="6"/>
      <c r="K201" s="4"/>
      <c r="L201" s="6"/>
      <c r="M201" s="6"/>
      <c r="O201" s="3"/>
      <c r="P201" s="8"/>
      <c r="Q201" s="7"/>
      <c r="R201" s="7"/>
      <c r="S201" s="8"/>
      <c r="T201" s="9"/>
      <c r="U201" s="9"/>
      <c r="Z201" s="9"/>
    </row>
    <row r="202" spans="7:26">
      <c r="G202" s="9"/>
      <c r="I202" s="6"/>
      <c r="K202" s="4"/>
      <c r="L202" s="6"/>
      <c r="M202" s="6"/>
      <c r="O202" s="3"/>
      <c r="P202" s="8"/>
      <c r="Q202" s="7"/>
      <c r="R202" s="7"/>
      <c r="S202" s="8"/>
      <c r="T202" s="9"/>
      <c r="U202" s="9"/>
      <c r="Z202" s="9"/>
    </row>
    <row r="203" spans="7:26">
      <c r="G203" s="9"/>
      <c r="I203" s="6"/>
      <c r="K203" s="4"/>
      <c r="L203" s="6"/>
      <c r="M203" s="6"/>
      <c r="O203" s="3"/>
      <c r="P203" s="8"/>
      <c r="Q203" s="7"/>
      <c r="R203" s="7"/>
      <c r="S203" s="8"/>
      <c r="T203" s="9"/>
      <c r="U203" s="9"/>
      <c r="Z203" s="9"/>
    </row>
    <row r="204" spans="7:26">
      <c r="G204" s="9"/>
      <c r="I204" s="6"/>
      <c r="K204" s="4"/>
      <c r="L204" s="6"/>
      <c r="M204" s="6"/>
      <c r="O204" s="3"/>
      <c r="P204" s="8"/>
      <c r="Q204" s="7"/>
      <c r="R204" s="7"/>
      <c r="S204" s="8"/>
      <c r="T204" s="9"/>
      <c r="U204" s="9"/>
      <c r="Z204" s="9"/>
    </row>
    <row r="205" spans="7:26">
      <c r="G205" s="9"/>
      <c r="I205" s="6"/>
      <c r="K205" s="4"/>
      <c r="L205" s="6"/>
      <c r="M205" s="6"/>
      <c r="O205" s="3"/>
      <c r="P205" s="8"/>
      <c r="Q205" s="7"/>
      <c r="R205" s="7"/>
      <c r="S205" s="8"/>
      <c r="T205" s="9"/>
      <c r="U205" s="9"/>
      <c r="Z205" s="9"/>
    </row>
    <row r="206" spans="7:26">
      <c r="G206" s="9"/>
      <c r="I206" s="6"/>
      <c r="K206" s="4"/>
      <c r="L206" s="6"/>
      <c r="M206" s="6"/>
      <c r="O206" s="3"/>
      <c r="P206" s="8"/>
      <c r="Q206" s="7"/>
      <c r="R206" s="7"/>
      <c r="S206" s="8"/>
      <c r="T206" s="9"/>
      <c r="U206" s="9"/>
      <c r="Z206" s="9"/>
    </row>
    <row r="207" spans="7:26">
      <c r="G207" s="9"/>
      <c r="I207" s="6"/>
      <c r="K207" s="4"/>
      <c r="L207" s="6"/>
      <c r="M207" s="6"/>
      <c r="O207" s="3"/>
      <c r="P207" s="8"/>
      <c r="Q207" s="7"/>
      <c r="R207" s="7"/>
      <c r="S207" s="8"/>
      <c r="T207" s="9"/>
      <c r="U207" s="9"/>
      <c r="Z207" s="9"/>
    </row>
    <row r="208" spans="7:26">
      <c r="G208" s="9"/>
      <c r="I208" s="6"/>
      <c r="K208" s="4"/>
      <c r="L208" s="6"/>
      <c r="M208" s="6"/>
      <c r="O208" s="3"/>
      <c r="P208" s="8"/>
      <c r="Q208" s="7"/>
      <c r="R208" s="7"/>
      <c r="S208" s="8"/>
      <c r="T208" s="9"/>
      <c r="U208" s="9"/>
      <c r="Z208" s="9"/>
    </row>
    <row r="209" spans="7:26">
      <c r="G209" s="9"/>
      <c r="I209" s="6"/>
      <c r="K209" s="4"/>
      <c r="L209" s="6"/>
      <c r="M209" s="6"/>
      <c r="O209" s="3"/>
      <c r="P209" s="8"/>
      <c r="Q209" s="7"/>
      <c r="R209" s="7"/>
      <c r="S209" s="8"/>
      <c r="T209" s="9"/>
      <c r="U209" s="9"/>
      <c r="Z209" s="9"/>
    </row>
    <row r="210" spans="7:26">
      <c r="G210" s="9"/>
      <c r="I210" s="6"/>
      <c r="K210" s="4"/>
      <c r="L210" s="6"/>
      <c r="M210" s="6"/>
      <c r="O210" s="3"/>
      <c r="P210" s="8"/>
      <c r="Q210" s="7"/>
      <c r="R210" s="7"/>
      <c r="S210" s="8"/>
      <c r="T210" s="9"/>
      <c r="U210" s="9"/>
      <c r="Z210" s="9"/>
    </row>
    <row r="211" spans="7:26">
      <c r="G211" s="9"/>
      <c r="I211" s="6"/>
      <c r="K211" s="4"/>
      <c r="L211" s="6"/>
      <c r="M211" s="6"/>
      <c r="O211" s="3"/>
      <c r="P211" s="8"/>
      <c r="Q211" s="7"/>
      <c r="R211" s="7"/>
      <c r="S211" s="8"/>
      <c r="T211" s="9"/>
      <c r="U211" s="9"/>
      <c r="Z211" s="9"/>
    </row>
    <row r="212" spans="7:26">
      <c r="G212" s="9"/>
      <c r="I212" s="6"/>
      <c r="K212" s="4"/>
      <c r="L212" s="6"/>
      <c r="M212" s="6"/>
      <c r="O212" s="3"/>
      <c r="P212" s="8"/>
      <c r="Q212" s="7"/>
      <c r="R212" s="7"/>
      <c r="S212" s="8"/>
      <c r="T212" s="9"/>
      <c r="U212" s="9"/>
      <c r="Z212" s="9"/>
    </row>
    <row r="213" spans="7:26">
      <c r="G213" s="9"/>
      <c r="I213" s="6"/>
      <c r="K213" s="4"/>
      <c r="L213" s="6"/>
      <c r="M213" s="6"/>
      <c r="O213" s="3"/>
      <c r="P213" s="8"/>
      <c r="Q213" s="7"/>
      <c r="R213" s="7"/>
      <c r="S213" s="8"/>
      <c r="T213" s="9"/>
      <c r="U213" s="9"/>
      <c r="Z213" s="9"/>
    </row>
    <row r="214" spans="7:26">
      <c r="G214" s="9"/>
      <c r="I214" s="6"/>
      <c r="K214" s="4"/>
      <c r="L214" s="6"/>
      <c r="M214" s="6"/>
      <c r="O214" s="3"/>
      <c r="P214" s="8"/>
      <c r="Q214" s="7"/>
      <c r="R214" s="7"/>
      <c r="S214" s="8"/>
      <c r="T214" s="9"/>
      <c r="U214" s="9"/>
      <c r="Z214" s="9"/>
    </row>
    <row r="215" spans="7:26">
      <c r="G215" s="9"/>
      <c r="I215" s="6"/>
      <c r="K215" s="4"/>
      <c r="L215" s="6"/>
      <c r="M215" s="6"/>
      <c r="O215" s="3"/>
      <c r="P215" s="8"/>
      <c r="Q215" s="7"/>
      <c r="R215" s="7"/>
      <c r="S215" s="8"/>
      <c r="T215" s="9"/>
      <c r="U215" s="9"/>
      <c r="Z215" s="9"/>
    </row>
    <row r="216" spans="7:26">
      <c r="G216" s="9"/>
      <c r="I216" s="6"/>
      <c r="K216" s="4"/>
      <c r="L216" s="6"/>
      <c r="M216" s="6"/>
      <c r="O216" s="3"/>
      <c r="P216" s="8"/>
      <c r="Q216" s="7"/>
      <c r="R216" s="7"/>
      <c r="S216" s="8"/>
      <c r="T216" s="9"/>
      <c r="U216" s="9"/>
      <c r="Z216" s="9"/>
    </row>
    <row r="217" spans="7:26">
      <c r="G217" s="9"/>
      <c r="I217" s="6"/>
      <c r="K217" s="4"/>
      <c r="L217" s="6"/>
      <c r="M217" s="6"/>
      <c r="O217" s="3"/>
      <c r="P217" s="8"/>
      <c r="Q217" s="7"/>
      <c r="R217" s="7"/>
      <c r="S217" s="8"/>
      <c r="T217" s="9"/>
      <c r="U217" s="9"/>
      <c r="Z217" s="9"/>
    </row>
    <row r="218" spans="7:26">
      <c r="G218" s="9"/>
      <c r="I218" s="6"/>
      <c r="K218" s="4"/>
      <c r="L218" s="6"/>
      <c r="M218" s="6"/>
      <c r="O218" s="3"/>
      <c r="P218" s="8"/>
      <c r="Q218" s="7"/>
      <c r="R218" s="7"/>
      <c r="S218" s="8"/>
      <c r="T218" s="9"/>
      <c r="U218" s="9"/>
      <c r="Z218" s="9"/>
    </row>
    <row r="219" spans="7:26">
      <c r="G219" s="9"/>
      <c r="I219" s="6"/>
      <c r="K219" s="4"/>
      <c r="L219" s="6"/>
      <c r="M219" s="6"/>
      <c r="O219" s="3"/>
      <c r="P219" s="8"/>
      <c r="Q219" s="7"/>
      <c r="R219" s="7"/>
      <c r="S219" s="8"/>
      <c r="T219" s="9"/>
      <c r="U219" s="9"/>
      <c r="Z219" s="9"/>
    </row>
    <row r="220" spans="7:26">
      <c r="G220" s="9"/>
      <c r="I220" s="6"/>
      <c r="K220" s="4"/>
      <c r="L220" s="6"/>
      <c r="M220" s="6"/>
      <c r="O220" s="3"/>
      <c r="P220" s="8"/>
      <c r="Q220" s="7"/>
      <c r="R220" s="7"/>
      <c r="S220" s="8"/>
      <c r="T220" s="9"/>
      <c r="U220" s="9"/>
      <c r="Z220" s="9"/>
    </row>
    <row r="221" spans="7:26">
      <c r="G221" s="9"/>
      <c r="I221" s="6"/>
      <c r="K221" s="4"/>
      <c r="L221" s="6"/>
      <c r="M221" s="6"/>
      <c r="O221" s="3"/>
      <c r="P221" s="8"/>
      <c r="Q221" s="7"/>
      <c r="R221" s="7"/>
      <c r="S221" s="8"/>
      <c r="T221" s="9"/>
      <c r="U221" s="9"/>
      <c r="Z221" s="9"/>
    </row>
    <row r="222" spans="7:26">
      <c r="G222" s="9"/>
      <c r="I222" s="6"/>
      <c r="K222" s="4"/>
      <c r="L222" s="6"/>
      <c r="M222" s="6"/>
      <c r="O222" s="3"/>
      <c r="P222" s="8"/>
      <c r="Q222" s="7"/>
      <c r="R222" s="7"/>
      <c r="S222" s="8"/>
      <c r="T222" s="9"/>
      <c r="U222" s="9"/>
      <c r="Z222" s="9"/>
    </row>
    <row r="223" spans="7:26">
      <c r="G223" s="9"/>
      <c r="I223" s="6"/>
      <c r="K223" s="4"/>
      <c r="L223" s="6"/>
      <c r="M223" s="6"/>
      <c r="O223" s="3"/>
      <c r="P223" s="8"/>
      <c r="Q223" s="7"/>
      <c r="R223" s="7"/>
      <c r="S223" s="8"/>
      <c r="T223" s="9"/>
      <c r="U223" s="9"/>
      <c r="Z223" s="9"/>
    </row>
    <row r="224" spans="7:26">
      <c r="G224" s="9"/>
      <c r="I224" s="6"/>
      <c r="K224" s="4"/>
      <c r="L224" s="6"/>
      <c r="M224" s="6"/>
      <c r="O224" s="3"/>
      <c r="P224" s="8"/>
      <c r="Q224" s="7"/>
      <c r="R224" s="7"/>
      <c r="S224" s="8"/>
      <c r="T224" s="9"/>
      <c r="U224" s="9"/>
      <c r="Z224" s="9"/>
    </row>
    <row r="225" spans="7:26">
      <c r="G225" s="9"/>
      <c r="I225" s="6"/>
      <c r="K225" s="4"/>
      <c r="L225" s="6"/>
      <c r="M225" s="6"/>
      <c r="O225" s="3"/>
      <c r="P225" s="8"/>
      <c r="Q225" s="7"/>
      <c r="R225" s="7"/>
      <c r="S225" s="8"/>
      <c r="T225" s="9"/>
      <c r="U225" s="9"/>
      <c r="Z225" s="9"/>
    </row>
    <row r="226" spans="7:26">
      <c r="G226" s="9"/>
      <c r="I226" s="6"/>
      <c r="K226" s="4"/>
      <c r="L226" s="6"/>
      <c r="M226" s="6"/>
      <c r="O226" s="3"/>
      <c r="P226" s="8"/>
      <c r="Q226" s="7"/>
      <c r="R226" s="7"/>
      <c r="S226" s="8"/>
      <c r="T226" s="9"/>
      <c r="U226" s="9"/>
      <c r="Z226" s="9"/>
    </row>
    <row r="227" spans="7:26">
      <c r="G227" s="9"/>
      <c r="I227" s="6"/>
      <c r="K227" s="4"/>
      <c r="L227" s="6"/>
      <c r="M227" s="6"/>
      <c r="O227" s="3"/>
      <c r="P227" s="8"/>
      <c r="Q227" s="7"/>
      <c r="R227" s="7"/>
      <c r="S227" s="8"/>
      <c r="T227" s="9"/>
      <c r="U227" s="9"/>
      <c r="Z227" s="9"/>
    </row>
    <row r="228" spans="7:26">
      <c r="G228" s="9"/>
      <c r="I228" s="6"/>
      <c r="K228" s="4"/>
      <c r="L228" s="6"/>
      <c r="M228" s="6"/>
      <c r="O228" s="3"/>
      <c r="P228" s="8"/>
      <c r="Q228" s="7"/>
      <c r="R228" s="7"/>
      <c r="S228" s="8"/>
      <c r="T228" s="9"/>
      <c r="U228" s="9"/>
      <c r="Z228" s="9"/>
    </row>
    <row r="229" spans="7:26">
      <c r="G229" s="9"/>
      <c r="I229" s="6"/>
      <c r="K229" s="4"/>
      <c r="L229" s="6"/>
      <c r="M229" s="6"/>
      <c r="O229" s="3"/>
      <c r="P229" s="8"/>
      <c r="Q229" s="7"/>
      <c r="R229" s="7"/>
      <c r="S229" s="8"/>
      <c r="T229" s="9"/>
      <c r="U229" s="9"/>
      <c r="Z229" s="9"/>
    </row>
    <row r="230" spans="7:26">
      <c r="G230" s="9"/>
      <c r="I230" s="6"/>
      <c r="K230" s="4"/>
      <c r="L230" s="6"/>
      <c r="M230" s="6"/>
      <c r="O230" s="3"/>
      <c r="P230" s="8"/>
      <c r="Q230" s="7"/>
      <c r="R230" s="7"/>
      <c r="S230" s="8"/>
      <c r="T230" s="9"/>
      <c r="U230" s="9"/>
      <c r="Z230" s="9"/>
    </row>
    <row r="231" spans="7:26">
      <c r="G231" s="9"/>
      <c r="I231" s="6"/>
      <c r="K231" s="4"/>
      <c r="L231" s="6"/>
      <c r="M231" s="6"/>
      <c r="O231" s="3"/>
      <c r="P231" s="8"/>
      <c r="Q231" s="7"/>
      <c r="R231" s="7"/>
      <c r="S231" s="8"/>
      <c r="T231" s="9"/>
      <c r="U231" s="9"/>
      <c r="Z231" s="9"/>
    </row>
    <row r="232" spans="7:26">
      <c r="G232" s="9"/>
      <c r="I232" s="6"/>
      <c r="K232" s="4"/>
      <c r="L232" s="6"/>
      <c r="M232" s="6"/>
      <c r="O232" s="3"/>
      <c r="P232" s="8"/>
      <c r="Q232" s="7"/>
      <c r="R232" s="7"/>
      <c r="S232" s="8"/>
      <c r="T232" s="9"/>
      <c r="U232" s="9"/>
      <c r="Z232" s="9"/>
    </row>
    <row r="233" spans="7:26">
      <c r="G233" s="9"/>
      <c r="I233" s="6"/>
      <c r="K233" s="4"/>
      <c r="L233" s="6"/>
      <c r="M233" s="6"/>
      <c r="O233" s="3"/>
      <c r="P233" s="8"/>
      <c r="Q233" s="7"/>
      <c r="R233" s="7"/>
      <c r="S233" s="8"/>
      <c r="T233" s="9"/>
      <c r="U233" s="9"/>
      <c r="Z233" s="9"/>
    </row>
    <row r="234" spans="7:26">
      <c r="G234" s="9"/>
      <c r="I234" s="6"/>
      <c r="K234" s="4"/>
      <c r="L234" s="6"/>
      <c r="M234" s="6"/>
      <c r="O234" s="3"/>
      <c r="P234" s="8"/>
      <c r="Q234" s="7"/>
      <c r="R234" s="7"/>
      <c r="S234" s="8"/>
      <c r="T234" s="9"/>
      <c r="U234" s="9"/>
      <c r="Z234" s="9"/>
    </row>
    <row r="235" spans="7:26">
      <c r="G235" s="9"/>
      <c r="I235" s="6"/>
      <c r="K235" s="4"/>
      <c r="L235" s="6"/>
      <c r="M235" s="6"/>
      <c r="O235" s="3"/>
      <c r="P235" s="8"/>
      <c r="Q235" s="7"/>
      <c r="R235" s="7"/>
      <c r="S235" s="8"/>
      <c r="T235" s="9"/>
      <c r="U235" s="9"/>
      <c r="Z235" s="9"/>
    </row>
    <row r="236" spans="7:26">
      <c r="G236" s="9"/>
      <c r="I236" s="6"/>
      <c r="K236" s="4"/>
      <c r="L236" s="6"/>
      <c r="M236" s="6"/>
      <c r="O236" s="3"/>
      <c r="P236" s="8"/>
      <c r="Q236" s="7"/>
      <c r="R236" s="7"/>
      <c r="S236" s="8"/>
      <c r="T236" s="9"/>
      <c r="U236" s="9"/>
      <c r="Z236" s="9"/>
    </row>
    <row r="237" spans="7:26">
      <c r="G237" s="9"/>
      <c r="I237" s="6"/>
      <c r="K237" s="4"/>
      <c r="L237" s="6"/>
      <c r="M237" s="6"/>
      <c r="O237" s="3"/>
      <c r="P237" s="8"/>
      <c r="Q237" s="7"/>
      <c r="R237" s="7"/>
      <c r="S237" s="8"/>
      <c r="T237" s="9"/>
      <c r="U237" s="9"/>
      <c r="Z237" s="9"/>
    </row>
    <row r="238" spans="7:26">
      <c r="G238" s="9"/>
      <c r="I238" s="6"/>
      <c r="K238" s="4"/>
      <c r="L238" s="6"/>
      <c r="M238" s="6"/>
      <c r="O238" s="3"/>
      <c r="P238" s="8"/>
      <c r="Q238" s="7"/>
      <c r="R238" s="7"/>
      <c r="S238" s="8"/>
      <c r="T238" s="9"/>
      <c r="U238" s="9"/>
      <c r="Z238" s="9"/>
    </row>
    <row r="239" spans="7:26">
      <c r="G239" s="9"/>
      <c r="I239" s="6"/>
      <c r="K239" s="4"/>
      <c r="L239" s="6"/>
      <c r="M239" s="6"/>
      <c r="O239" s="3"/>
      <c r="P239" s="8"/>
      <c r="Q239" s="7"/>
      <c r="R239" s="7"/>
      <c r="S239" s="8"/>
      <c r="T239" s="9"/>
      <c r="U239" s="9"/>
      <c r="Z239" s="9"/>
    </row>
    <row r="240" spans="7:26">
      <c r="G240" s="9"/>
      <c r="I240" s="6"/>
      <c r="K240" s="4"/>
      <c r="L240" s="6"/>
      <c r="M240" s="6"/>
      <c r="O240" s="3"/>
      <c r="P240" s="8"/>
      <c r="Q240" s="7"/>
      <c r="R240" s="7"/>
      <c r="S240" s="8"/>
      <c r="T240" s="9"/>
      <c r="U240" s="9"/>
      <c r="Z240" s="9"/>
    </row>
    <row r="241" spans="7:26">
      <c r="G241" s="9"/>
      <c r="I241" s="6"/>
      <c r="K241" s="4"/>
      <c r="L241" s="6"/>
      <c r="M241" s="6"/>
      <c r="O241" s="3"/>
      <c r="P241" s="8"/>
      <c r="Q241" s="7"/>
      <c r="R241" s="7"/>
      <c r="S241" s="8"/>
      <c r="T241" s="9"/>
      <c r="U241" s="9"/>
      <c r="Z241" s="9"/>
    </row>
    <row r="242" spans="7:26">
      <c r="G242" s="9"/>
      <c r="I242" s="6"/>
      <c r="K242" s="4"/>
      <c r="L242" s="6"/>
      <c r="M242" s="6"/>
      <c r="O242" s="3"/>
      <c r="P242" s="8"/>
      <c r="Q242" s="7"/>
      <c r="R242" s="7"/>
      <c r="S242" s="8"/>
      <c r="T242" s="9"/>
      <c r="U242" s="9"/>
      <c r="Z242" s="9"/>
    </row>
    <row r="243" spans="7:26">
      <c r="G243" s="9"/>
      <c r="I243" s="6"/>
      <c r="K243" s="4"/>
      <c r="L243" s="6"/>
      <c r="M243" s="6"/>
      <c r="O243" s="3"/>
      <c r="P243" s="8"/>
      <c r="Q243" s="7"/>
      <c r="R243" s="7"/>
      <c r="S243" s="8"/>
      <c r="T243" s="9"/>
      <c r="U243" s="9"/>
      <c r="Z243" s="9"/>
    </row>
    <row r="244" spans="7:26">
      <c r="G244" s="9"/>
      <c r="I244" s="6"/>
      <c r="K244" s="4"/>
      <c r="L244" s="6"/>
      <c r="M244" s="6"/>
      <c r="O244" s="3"/>
      <c r="P244" s="8"/>
      <c r="Q244" s="7"/>
      <c r="R244" s="7"/>
      <c r="S244" s="8"/>
      <c r="T244" s="9"/>
      <c r="U244" s="9"/>
      <c r="Z244" s="9"/>
    </row>
    <row r="245" spans="7:26">
      <c r="G245" s="9"/>
      <c r="I245" s="6"/>
      <c r="K245" s="4"/>
      <c r="L245" s="6"/>
      <c r="M245" s="6"/>
      <c r="O245" s="3"/>
      <c r="P245" s="8"/>
      <c r="Q245" s="7"/>
      <c r="R245" s="7"/>
      <c r="S245" s="8"/>
      <c r="T245" s="9"/>
      <c r="U245" s="9"/>
      <c r="Z245" s="9"/>
    </row>
    <row r="246" spans="7:26">
      <c r="G246" s="9"/>
      <c r="I246" s="6"/>
      <c r="K246" s="4"/>
      <c r="L246" s="6"/>
      <c r="M246" s="6"/>
      <c r="O246" s="3"/>
      <c r="P246" s="8"/>
      <c r="Q246" s="7"/>
      <c r="R246" s="7"/>
      <c r="S246" s="8"/>
      <c r="T246" s="9"/>
      <c r="U246" s="9"/>
      <c r="Z246" s="9"/>
    </row>
    <row r="247" spans="7:26">
      <c r="G247" s="9"/>
      <c r="I247" s="6"/>
      <c r="K247" s="4"/>
      <c r="L247" s="6"/>
      <c r="M247" s="6"/>
      <c r="O247" s="3"/>
      <c r="P247" s="8"/>
      <c r="Q247" s="7"/>
      <c r="R247" s="7"/>
      <c r="S247" s="8"/>
      <c r="T247" s="9"/>
      <c r="U247" s="9"/>
      <c r="Z247" s="9"/>
    </row>
    <row r="248" spans="7:26">
      <c r="G248" s="9"/>
      <c r="I248" s="6"/>
      <c r="K248" s="4"/>
      <c r="L248" s="6"/>
      <c r="M248" s="6"/>
      <c r="O248" s="3"/>
      <c r="P248" s="8"/>
      <c r="Q248" s="7"/>
      <c r="R248" s="7"/>
      <c r="S248" s="8"/>
      <c r="T248" s="9"/>
      <c r="U248" s="9"/>
      <c r="Z248" s="9"/>
    </row>
    <row r="249" spans="7:26">
      <c r="G249" s="9"/>
      <c r="I249" s="6"/>
      <c r="K249" s="4"/>
      <c r="L249" s="6"/>
      <c r="M249" s="6"/>
      <c r="O249" s="3"/>
      <c r="P249" s="8"/>
      <c r="Q249" s="7"/>
      <c r="R249" s="7"/>
      <c r="S249" s="8"/>
      <c r="T249" s="9"/>
      <c r="U249" s="9"/>
      <c r="Z249" s="9"/>
    </row>
    <row r="250" spans="7:26">
      <c r="G250" s="9"/>
      <c r="I250" s="6"/>
      <c r="K250" s="4"/>
      <c r="L250" s="6"/>
      <c r="M250" s="6"/>
      <c r="O250" s="3"/>
      <c r="P250" s="8"/>
      <c r="Q250" s="7"/>
      <c r="R250" s="7"/>
      <c r="S250" s="8"/>
      <c r="T250" s="9"/>
      <c r="U250" s="9"/>
      <c r="Z250" s="9"/>
    </row>
    <row r="251" spans="7:26">
      <c r="G251" s="9"/>
      <c r="I251" s="6"/>
      <c r="K251" s="4"/>
      <c r="L251" s="6"/>
      <c r="M251" s="6"/>
      <c r="O251" s="3"/>
      <c r="P251" s="8"/>
      <c r="Q251" s="7"/>
      <c r="R251" s="7"/>
      <c r="S251" s="8"/>
      <c r="T251" s="9"/>
      <c r="U251" s="9"/>
      <c r="Z251" s="9"/>
    </row>
    <row r="252" spans="7:26">
      <c r="G252" s="9"/>
      <c r="I252" s="6"/>
      <c r="K252" s="4"/>
      <c r="L252" s="6"/>
      <c r="M252" s="6"/>
      <c r="O252" s="3"/>
      <c r="P252" s="8"/>
      <c r="Q252" s="7"/>
      <c r="R252" s="7"/>
      <c r="S252" s="8"/>
      <c r="T252" s="9"/>
      <c r="U252" s="9"/>
      <c r="Z252" s="9"/>
    </row>
    <row r="253" spans="7:26">
      <c r="G253" s="9"/>
      <c r="I253" s="6"/>
      <c r="K253" s="4"/>
      <c r="L253" s="6"/>
      <c r="M253" s="6"/>
      <c r="O253" s="3"/>
      <c r="P253" s="8"/>
      <c r="Q253" s="7"/>
      <c r="R253" s="7"/>
      <c r="S253" s="8"/>
      <c r="T253" s="9"/>
      <c r="U253" s="9"/>
      <c r="Z253" s="9"/>
    </row>
    <row r="254" spans="7:26">
      <c r="G254" s="9"/>
      <c r="I254" s="6"/>
      <c r="K254" s="4"/>
      <c r="L254" s="6"/>
      <c r="M254" s="6"/>
      <c r="O254" s="3"/>
      <c r="P254" s="8"/>
      <c r="Q254" s="7"/>
      <c r="R254" s="7"/>
      <c r="S254" s="8"/>
      <c r="T254" s="9"/>
      <c r="U254" s="9"/>
      <c r="Z254" s="9"/>
    </row>
    <row r="255" spans="7:26">
      <c r="G255" s="9"/>
      <c r="I255" s="6"/>
      <c r="K255" s="4"/>
      <c r="L255" s="6"/>
      <c r="M255" s="6"/>
      <c r="O255" s="3"/>
      <c r="P255" s="8"/>
      <c r="Q255" s="7"/>
      <c r="R255" s="7"/>
      <c r="S255" s="8"/>
      <c r="T255" s="9"/>
      <c r="U255" s="9"/>
      <c r="Z255" s="9"/>
    </row>
    <row r="256" spans="7:26">
      <c r="G256" s="9"/>
      <c r="I256" s="6"/>
      <c r="K256" s="4"/>
      <c r="L256" s="6"/>
      <c r="M256" s="6"/>
      <c r="O256" s="3"/>
      <c r="P256" s="8"/>
      <c r="Q256" s="7"/>
      <c r="R256" s="7"/>
      <c r="S256" s="8"/>
      <c r="T256" s="9"/>
      <c r="U256" s="9"/>
      <c r="Z256" s="9"/>
    </row>
    <row r="257" spans="7:26">
      <c r="G257" s="9"/>
      <c r="I257" s="6"/>
      <c r="K257" s="4"/>
      <c r="L257" s="6"/>
      <c r="M257" s="6"/>
      <c r="O257" s="3"/>
      <c r="P257" s="8"/>
      <c r="Q257" s="7"/>
      <c r="R257" s="7"/>
      <c r="S257" s="8"/>
      <c r="T257" s="9"/>
      <c r="U257" s="9"/>
      <c r="Z257" s="9"/>
    </row>
    <row r="258" spans="7:26">
      <c r="G258" s="9"/>
      <c r="I258" s="6"/>
      <c r="K258" s="4"/>
      <c r="L258" s="6"/>
      <c r="M258" s="6"/>
      <c r="O258" s="3"/>
      <c r="P258" s="8"/>
      <c r="Q258" s="7"/>
      <c r="R258" s="7"/>
      <c r="S258" s="8"/>
      <c r="T258" s="9"/>
      <c r="U258" s="9"/>
      <c r="Z258" s="9"/>
    </row>
    <row r="259" spans="7:26">
      <c r="G259" s="9"/>
      <c r="I259" s="6"/>
      <c r="K259" s="4"/>
      <c r="L259" s="6"/>
      <c r="M259" s="6"/>
      <c r="O259" s="3"/>
      <c r="P259" s="8"/>
      <c r="Q259" s="7"/>
      <c r="R259" s="7"/>
      <c r="S259" s="8"/>
      <c r="T259" s="9"/>
      <c r="U259" s="9"/>
      <c r="Z259" s="9"/>
    </row>
    <row r="260" spans="7:26">
      <c r="G260" s="9"/>
      <c r="I260" s="6"/>
      <c r="K260" s="4"/>
      <c r="L260" s="6"/>
      <c r="M260" s="6"/>
      <c r="O260" s="3"/>
      <c r="P260" s="8"/>
      <c r="Q260" s="7"/>
      <c r="R260" s="7"/>
      <c r="S260" s="8"/>
      <c r="T260" s="9"/>
      <c r="U260" s="9"/>
      <c r="Z260" s="9"/>
    </row>
    <row r="261" spans="7:26">
      <c r="G261" s="9"/>
      <c r="I261" s="6"/>
      <c r="K261" s="4"/>
      <c r="L261" s="6"/>
      <c r="M261" s="6"/>
      <c r="O261" s="3"/>
      <c r="P261" s="8"/>
      <c r="Q261" s="7"/>
      <c r="R261" s="7"/>
      <c r="S261" s="8"/>
      <c r="T261" s="9"/>
      <c r="U261" s="9"/>
      <c r="Z261" s="9"/>
    </row>
    <row r="262" spans="7:26">
      <c r="G262" s="9"/>
      <c r="I262" s="6"/>
      <c r="K262" s="4"/>
      <c r="L262" s="6"/>
      <c r="M262" s="6"/>
      <c r="O262" s="3"/>
      <c r="P262" s="8"/>
      <c r="Q262" s="7"/>
      <c r="R262" s="7"/>
      <c r="S262" s="8"/>
      <c r="T262" s="9"/>
      <c r="U262" s="9"/>
      <c r="Z262" s="9"/>
    </row>
    <row r="263" spans="7:26">
      <c r="G263" s="9"/>
      <c r="I263" s="6"/>
      <c r="K263" s="4"/>
      <c r="L263" s="6"/>
      <c r="M263" s="6"/>
      <c r="O263" s="3"/>
      <c r="P263" s="8"/>
      <c r="Q263" s="7"/>
      <c r="R263" s="7"/>
      <c r="S263" s="8"/>
      <c r="T263" s="9"/>
      <c r="U263" s="9"/>
      <c r="Z263" s="9"/>
    </row>
    <row r="264" spans="7:26">
      <c r="G264" s="9"/>
      <c r="I264" s="6"/>
      <c r="K264" s="4"/>
      <c r="L264" s="6"/>
      <c r="M264" s="6"/>
      <c r="O264" s="3"/>
      <c r="P264" s="8"/>
      <c r="Q264" s="7"/>
      <c r="R264" s="7"/>
      <c r="S264" s="8"/>
      <c r="T264" s="9"/>
      <c r="U264" s="9"/>
      <c r="Z264" s="9"/>
    </row>
    <row r="265" spans="7:26">
      <c r="G265" s="9"/>
      <c r="I265" s="6"/>
      <c r="K265" s="4"/>
      <c r="L265" s="6"/>
      <c r="M265" s="6"/>
      <c r="O265" s="3"/>
      <c r="P265" s="8"/>
      <c r="Q265" s="7"/>
      <c r="R265" s="7"/>
      <c r="S265" s="8"/>
      <c r="T265" s="9"/>
      <c r="U265" s="9"/>
      <c r="Z265" s="9"/>
    </row>
    <row r="266" spans="7:26">
      <c r="G266" s="9"/>
      <c r="I266" s="6"/>
      <c r="K266" s="4"/>
      <c r="L266" s="6"/>
      <c r="M266" s="6"/>
      <c r="O266" s="3"/>
      <c r="P266" s="8"/>
      <c r="Q266" s="7"/>
      <c r="R266" s="7"/>
      <c r="S266" s="8"/>
      <c r="T266" s="9"/>
      <c r="U266" s="9"/>
      <c r="Z266" s="9"/>
    </row>
    <row r="267" spans="7:26">
      <c r="G267" s="9"/>
      <c r="I267" s="6"/>
      <c r="K267" s="4"/>
      <c r="L267" s="6"/>
      <c r="M267" s="6"/>
      <c r="O267" s="3"/>
      <c r="P267" s="8"/>
      <c r="Q267" s="7"/>
      <c r="R267" s="7"/>
      <c r="S267" s="8"/>
      <c r="T267" s="9"/>
      <c r="U267" s="9"/>
      <c r="Z267" s="9"/>
    </row>
    <row r="268" spans="7:26">
      <c r="G268" s="9"/>
      <c r="I268" s="6"/>
      <c r="K268" s="4"/>
      <c r="L268" s="6"/>
      <c r="M268" s="6"/>
      <c r="O268" s="3"/>
      <c r="P268" s="8"/>
      <c r="Q268" s="7"/>
      <c r="R268" s="7"/>
      <c r="S268" s="8"/>
      <c r="T268" s="9"/>
      <c r="U268" s="9"/>
      <c r="Z268" s="9"/>
    </row>
    <row r="269" spans="7:26">
      <c r="G269" s="9"/>
      <c r="I269" s="6"/>
      <c r="K269" s="4"/>
      <c r="L269" s="6"/>
      <c r="M269" s="6"/>
      <c r="O269" s="3"/>
      <c r="P269" s="8"/>
      <c r="Q269" s="7"/>
      <c r="R269" s="7"/>
      <c r="S269" s="8"/>
      <c r="T269" s="9"/>
      <c r="U269" s="9"/>
      <c r="Z269" s="9"/>
    </row>
    <row r="270" spans="7:26">
      <c r="G270" s="9"/>
      <c r="I270" s="6"/>
      <c r="K270" s="4"/>
      <c r="L270" s="6"/>
      <c r="M270" s="6"/>
      <c r="O270" s="3"/>
      <c r="P270" s="8"/>
      <c r="Q270" s="7"/>
      <c r="R270" s="7"/>
      <c r="S270" s="8"/>
      <c r="T270" s="9"/>
      <c r="U270" s="9"/>
      <c r="Z270" s="9"/>
    </row>
    <row r="271" spans="7:26">
      <c r="G271" s="9"/>
      <c r="I271" s="6"/>
      <c r="K271" s="4"/>
      <c r="L271" s="6"/>
      <c r="M271" s="6"/>
      <c r="O271" s="3"/>
      <c r="P271" s="8"/>
      <c r="Q271" s="7"/>
      <c r="R271" s="7"/>
      <c r="S271" s="8"/>
      <c r="T271" s="9"/>
      <c r="U271" s="9"/>
      <c r="Z271" s="9"/>
    </row>
    <row r="272" spans="7:26">
      <c r="G272" s="9"/>
      <c r="I272" s="6"/>
      <c r="K272" s="4"/>
      <c r="L272" s="6"/>
      <c r="M272" s="6"/>
      <c r="O272" s="3"/>
      <c r="P272" s="8"/>
      <c r="Q272" s="7"/>
      <c r="R272" s="7"/>
      <c r="S272" s="8"/>
      <c r="T272" s="9"/>
      <c r="U272" s="9"/>
      <c r="Z272" s="9"/>
    </row>
    <row r="273" spans="7:26">
      <c r="G273" s="9"/>
      <c r="I273" s="6"/>
      <c r="K273" s="4"/>
      <c r="L273" s="6"/>
      <c r="M273" s="6"/>
      <c r="O273" s="3"/>
      <c r="P273" s="8"/>
      <c r="Q273" s="7"/>
      <c r="R273" s="7"/>
      <c r="S273" s="8"/>
      <c r="T273" s="9"/>
      <c r="U273" s="9"/>
      <c r="Z273" s="9"/>
    </row>
    <row r="274" spans="7:26">
      <c r="G274" s="9"/>
      <c r="I274" s="6"/>
      <c r="K274" s="4"/>
      <c r="L274" s="6"/>
      <c r="M274" s="6"/>
      <c r="O274" s="3"/>
      <c r="P274" s="8"/>
      <c r="Q274" s="7"/>
      <c r="R274" s="7"/>
      <c r="S274" s="8"/>
      <c r="T274" s="9"/>
      <c r="U274" s="9"/>
      <c r="Z274" s="9"/>
    </row>
    <row r="275" spans="7:26">
      <c r="G275" s="9"/>
      <c r="I275" s="6"/>
      <c r="K275" s="4"/>
      <c r="L275" s="6"/>
      <c r="M275" s="6"/>
      <c r="O275" s="3"/>
      <c r="P275" s="8"/>
      <c r="Q275" s="7"/>
      <c r="R275" s="7"/>
      <c r="S275" s="8"/>
      <c r="T275" s="9"/>
      <c r="U275" s="9"/>
      <c r="Z275" s="9"/>
    </row>
    <row r="276" spans="7:26">
      <c r="G276" s="9"/>
      <c r="I276" s="6"/>
      <c r="K276" s="4"/>
      <c r="L276" s="6"/>
      <c r="M276" s="6"/>
      <c r="O276" s="3"/>
      <c r="P276" s="8"/>
      <c r="Q276" s="7"/>
      <c r="R276" s="7"/>
      <c r="S276" s="8"/>
      <c r="T276" s="9"/>
      <c r="U276" s="9"/>
      <c r="Z276" s="9"/>
    </row>
    <row r="277" spans="7:26">
      <c r="G277" s="9"/>
      <c r="I277" s="6"/>
      <c r="K277" s="4"/>
      <c r="L277" s="6"/>
      <c r="M277" s="6"/>
      <c r="O277" s="3"/>
      <c r="P277" s="8"/>
      <c r="Q277" s="7"/>
      <c r="R277" s="7"/>
      <c r="S277" s="8"/>
      <c r="T277" s="9"/>
      <c r="U277" s="9"/>
      <c r="Z277" s="9"/>
    </row>
    <row r="278" spans="7:26">
      <c r="G278" s="9"/>
      <c r="I278" s="6"/>
      <c r="K278" s="4"/>
      <c r="L278" s="6"/>
      <c r="M278" s="6"/>
      <c r="O278" s="3"/>
      <c r="P278" s="8"/>
      <c r="Q278" s="7"/>
      <c r="R278" s="7"/>
      <c r="S278" s="8"/>
      <c r="T278" s="9"/>
      <c r="U278" s="9"/>
      <c r="Z278" s="9"/>
    </row>
    <row r="279" spans="7:26">
      <c r="G279" s="9"/>
      <c r="I279" s="6"/>
      <c r="K279" s="4"/>
      <c r="L279" s="6"/>
      <c r="M279" s="6"/>
      <c r="O279" s="3"/>
      <c r="P279" s="8"/>
      <c r="Q279" s="7"/>
      <c r="R279" s="7"/>
      <c r="S279" s="8"/>
      <c r="T279" s="9"/>
      <c r="U279" s="9"/>
      <c r="Z279" s="9"/>
    </row>
    <row r="280" spans="7:26">
      <c r="G280" s="9"/>
      <c r="I280" s="6"/>
      <c r="K280" s="4"/>
      <c r="L280" s="6"/>
      <c r="M280" s="6"/>
      <c r="O280" s="3"/>
      <c r="P280" s="8"/>
      <c r="Q280" s="7"/>
      <c r="R280" s="7"/>
      <c r="S280" s="8"/>
      <c r="T280" s="9"/>
      <c r="U280" s="9"/>
      <c r="Z280" s="9"/>
    </row>
    <row r="281" spans="7:26">
      <c r="G281" s="9"/>
      <c r="I281" s="6"/>
      <c r="K281" s="4"/>
      <c r="L281" s="6"/>
      <c r="M281" s="6"/>
      <c r="O281" s="3"/>
      <c r="P281" s="8"/>
      <c r="Q281" s="7"/>
      <c r="R281" s="7"/>
      <c r="S281" s="8"/>
      <c r="T281" s="9"/>
      <c r="U281" s="9"/>
      <c r="Z281" s="9"/>
    </row>
    <row r="282" spans="7:26">
      <c r="G282" s="9"/>
      <c r="I282" s="6"/>
      <c r="K282" s="4"/>
      <c r="L282" s="6"/>
      <c r="M282" s="6"/>
      <c r="O282" s="3"/>
      <c r="P282" s="8"/>
      <c r="Q282" s="7"/>
      <c r="R282" s="7"/>
      <c r="S282" s="8"/>
      <c r="T282" s="9"/>
      <c r="U282" s="9"/>
      <c r="Z282" s="9"/>
    </row>
    <row r="283" spans="7:26">
      <c r="G283" s="9"/>
      <c r="I283" s="6"/>
      <c r="K283" s="4"/>
      <c r="L283" s="6"/>
      <c r="M283" s="6"/>
      <c r="O283" s="3"/>
      <c r="P283" s="8"/>
      <c r="Q283" s="7"/>
      <c r="R283" s="7"/>
      <c r="S283" s="8"/>
      <c r="T283" s="9"/>
      <c r="U283" s="9"/>
      <c r="Z283" s="9"/>
    </row>
    <row r="284" spans="7:26">
      <c r="G284" s="9"/>
      <c r="I284" s="6"/>
      <c r="K284" s="4"/>
      <c r="L284" s="6"/>
      <c r="M284" s="6"/>
      <c r="O284" s="3"/>
      <c r="P284" s="8"/>
      <c r="Q284" s="7"/>
      <c r="R284" s="7"/>
      <c r="S284" s="8"/>
      <c r="T284" s="9"/>
      <c r="U284" s="9"/>
      <c r="Z284" s="9"/>
    </row>
    <row r="285" spans="7:26">
      <c r="G285" s="9"/>
      <c r="I285" s="6"/>
      <c r="K285" s="4"/>
      <c r="L285" s="6"/>
      <c r="M285" s="6"/>
      <c r="O285" s="3"/>
      <c r="P285" s="8"/>
      <c r="Q285" s="7"/>
      <c r="R285" s="7"/>
      <c r="S285" s="8"/>
      <c r="T285" s="9"/>
      <c r="U285" s="9"/>
      <c r="Z285" s="9"/>
    </row>
    <row r="286" spans="7:26">
      <c r="G286" s="9"/>
      <c r="I286" s="6"/>
      <c r="K286" s="4"/>
      <c r="L286" s="6"/>
      <c r="M286" s="6"/>
      <c r="O286" s="3"/>
      <c r="P286" s="8"/>
      <c r="Q286" s="7"/>
      <c r="R286" s="7"/>
      <c r="S286" s="8"/>
      <c r="T286" s="9"/>
      <c r="U286" s="9"/>
      <c r="Z286" s="9"/>
    </row>
    <row r="287" spans="7:26">
      <c r="G287" s="9"/>
      <c r="I287" s="6"/>
      <c r="K287" s="4"/>
      <c r="L287" s="6"/>
      <c r="M287" s="6"/>
      <c r="O287" s="3"/>
      <c r="P287" s="8"/>
      <c r="Q287" s="7"/>
      <c r="R287" s="7"/>
      <c r="S287" s="8"/>
      <c r="T287" s="9"/>
      <c r="U287" s="9"/>
      <c r="Z287" s="9"/>
    </row>
    <row r="288" spans="7:26">
      <c r="G288" s="9"/>
      <c r="I288" s="6"/>
      <c r="K288" s="4"/>
      <c r="L288" s="6"/>
      <c r="M288" s="6"/>
      <c r="O288" s="3"/>
      <c r="P288" s="8"/>
      <c r="Q288" s="7"/>
      <c r="R288" s="7"/>
      <c r="S288" s="8"/>
      <c r="T288" s="9"/>
      <c r="U288" s="9"/>
      <c r="Z288" s="9"/>
    </row>
    <row r="289" spans="7:26">
      <c r="G289" s="9"/>
      <c r="I289" s="6"/>
      <c r="K289" s="4"/>
      <c r="L289" s="6"/>
      <c r="M289" s="6"/>
      <c r="O289" s="3"/>
      <c r="P289" s="8"/>
      <c r="Q289" s="7"/>
      <c r="R289" s="7"/>
      <c r="S289" s="8"/>
      <c r="T289" s="9"/>
      <c r="U289" s="9"/>
      <c r="Z289" s="9"/>
    </row>
    <row r="290" spans="7:26">
      <c r="G290" s="9"/>
      <c r="I290" s="6"/>
      <c r="K290" s="4"/>
      <c r="L290" s="6"/>
      <c r="M290" s="6"/>
      <c r="O290" s="3"/>
      <c r="P290" s="8"/>
      <c r="Q290" s="7"/>
      <c r="R290" s="7"/>
      <c r="S290" s="8"/>
      <c r="T290" s="9"/>
      <c r="U290" s="9"/>
      <c r="Z290" s="9"/>
    </row>
    <row r="291" spans="7:26">
      <c r="G291" s="9"/>
      <c r="I291" s="6"/>
      <c r="K291" s="4"/>
      <c r="L291" s="6"/>
      <c r="M291" s="6"/>
      <c r="O291" s="3"/>
      <c r="P291" s="8"/>
      <c r="Q291" s="7"/>
      <c r="R291" s="7"/>
      <c r="S291" s="8"/>
      <c r="T291" s="9"/>
      <c r="U291" s="9"/>
      <c r="Z291" s="9"/>
    </row>
    <row r="292" spans="7:26">
      <c r="G292" s="9"/>
      <c r="I292" s="6"/>
      <c r="K292" s="4"/>
      <c r="L292" s="6"/>
      <c r="M292" s="6"/>
      <c r="O292" s="3"/>
      <c r="P292" s="8"/>
      <c r="Q292" s="7"/>
      <c r="R292" s="7"/>
      <c r="S292" s="8"/>
      <c r="T292" s="9"/>
      <c r="U292" s="9"/>
      <c r="Z292" s="9"/>
    </row>
    <row r="293" spans="7:26">
      <c r="G293" s="9"/>
      <c r="I293" s="6"/>
      <c r="K293" s="4"/>
      <c r="L293" s="6"/>
      <c r="M293" s="6"/>
      <c r="O293" s="3"/>
      <c r="P293" s="8"/>
      <c r="Q293" s="7"/>
      <c r="R293" s="7"/>
      <c r="S293" s="8"/>
      <c r="T293" s="9"/>
      <c r="U293" s="9"/>
      <c r="Z293" s="9"/>
    </row>
    <row r="294" spans="7:26">
      <c r="G294" s="9"/>
      <c r="I294" s="6"/>
      <c r="K294" s="4"/>
      <c r="L294" s="6"/>
      <c r="M294" s="6"/>
      <c r="O294" s="3"/>
      <c r="P294" s="8"/>
      <c r="Q294" s="7"/>
      <c r="R294" s="7"/>
      <c r="S294" s="8"/>
      <c r="T294" s="9"/>
      <c r="U294" s="9"/>
      <c r="Z294" s="9"/>
    </row>
    <row r="295" spans="7:26">
      <c r="G295" s="9"/>
      <c r="I295" s="6"/>
      <c r="K295" s="4"/>
      <c r="L295" s="6"/>
      <c r="M295" s="6"/>
      <c r="O295" s="3"/>
      <c r="P295" s="8"/>
      <c r="Q295" s="7"/>
      <c r="R295" s="7"/>
      <c r="S295" s="8"/>
      <c r="T295" s="9"/>
      <c r="U295" s="9"/>
      <c r="Z295" s="9"/>
    </row>
    <row r="296" spans="7:26">
      <c r="G296" s="9"/>
      <c r="I296" s="6"/>
      <c r="K296" s="4"/>
      <c r="L296" s="6"/>
      <c r="M296" s="6"/>
      <c r="O296" s="3"/>
      <c r="P296" s="8"/>
      <c r="Q296" s="7"/>
      <c r="R296" s="7"/>
      <c r="S296" s="8"/>
      <c r="T296" s="9"/>
      <c r="U296" s="9"/>
      <c r="Z296" s="9"/>
    </row>
    <row r="297" spans="7:26">
      <c r="G297" s="9"/>
      <c r="I297" s="6"/>
      <c r="K297" s="4"/>
      <c r="L297" s="6"/>
      <c r="M297" s="6"/>
      <c r="O297" s="3"/>
      <c r="P297" s="8"/>
      <c r="Q297" s="7"/>
      <c r="R297" s="7"/>
      <c r="S297" s="8"/>
      <c r="T297" s="9"/>
      <c r="U297" s="9"/>
      <c r="Z297" s="9"/>
    </row>
    <row r="298" spans="7:26">
      <c r="G298" s="9"/>
      <c r="I298" s="6"/>
      <c r="K298" s="4"/>
      <c r="L298" s="6"/>
      <c r="M298" s="6"/>
      <c r="O298" s="3"/>
      <c r="P298" s="8"/>
      <c r="Q298" s="7"/>
      <c r="R298" s="7"/>
      <c r="S298" s="8"/>
      <c r="T298" s="9"/>
      <c r="U298" s="9"/>
      <c r="Z298" s="9"/>
    </row>
    <row r="299" spans="7:26">
      <c r="G299" s="9"/>
      <c r="I299" s="6"/>
      <c r="K299" s="4"/>
      <c r="L299" s="6"/>
      <c r="M299" s="6"/>
      <c r="O299" s="3"/>
      <c r="P299" s="8"/>
      <c r="Q299" s="7"/>
      <c r="R299" s="7"/>
      <c r="S299" s="8"/>
      <c r="T299" s="9"/>
      <c r="U299" s="9"/>
      <c r="Z299" s="9"/>
    </row>
    <row r="300" spans="7:26">
      <c r="G300" s="9"/>
      <c r="I300" s="6"/>
      <c r="K300" s="4"/>
      <c r="L300" s="6"/>
      <c r="M300" s="6"/>
      <c r="O300" s="3"/>
      <c r="P300" s="8"/>
      <c r="Q300" s="7"/>
      <c r="R300" s="7"/>
      <c r="S300" s="8"/>
      <c r="T300" s="9"/>
      <c r="U300" s="9"/>
      <c r="Z300" s="9"/>
    </row>
    <row r="301" spans="7:26">
      <c r="G301" s="9"/>
      <c r="I301" s="6"/>
      <c r="K301" s="4"/>
      <c r="L301" s="6"/>
      <c r="M301" s="6"/>
      <c r="O301" s="3"/>
      <c r="P301" s="8"/>
      <c r="Q301" s="7"/>
      <c r="R301" s="7"/>
      <c r="S301" s="8"/>
      <c r="T301" s="9"/>
      <c r="U301" s="9"/>
      <c r="Z301" s="9"/>
    </row>
    <row r="302" spans="7:26">
      <c r="G302" s="9"/>
      <c r="I302" s="6"/>
      <c r="K302" s="4"/>
      <c r="L302" s="6"/>
      <c r="M302" s="6"/>
      <c r="O302" s="3"/>
      <c r="P302" s="8"/>
      <c r="Q302" s="7"/>
      <c r="R302" s="7"/>
      <c r="S302" s="8"/>
      <c r="T302" s="9"/>
      <c r="U302" s="9"/>
      <c r="Z302" s="9"/>
    </row>
    <row r="303" spans="7:26">
      <c r="G303" s="9"/>
      <c r="I303" s="6"/>
      <c r="K303" s="4"/>
      <c r="L303" s="6"/>
      <c r="M303" s="6"/>
      <c r="O303" s="3"/>
      <c r="P303" s="8"/>
      <c r="Q303" s="7"/>
      <c r="R303" s="7"/>
      <c r="S303" s="8"/>
      <c r="T303" s="9"/>
      <c r="U303" s="9"/>
      <c r="Z303" s="9"/>
    </row>
    <row r="304" spans="7:26">
      <c r="G304" s="9"/>
      <c r="I304" s="6"/>
      <c r="K304" s="4"/>
      <c r="L304" s="6"/>
      <c r="M304" s="6"/>
      <c r="O304" s="3"/>
      <c r="P304" s="8"/>
      <c r="Q304" s="7"/>
      <c r="R304" s="7"/>
      <c r="S304" s="8"/>
      <c r="T304" s="9"/>
      <c r="U304" s="9"/>
      <c r="Z304" s="9"/>
    </row>
    <row r="305" spans="7:26">
      <c r="G305" s="9"/>
      <c r="I305" s="6"/>
      <c r="K305" s="4"/>
      <c r="L305" s="6"/>
      <c r="M305" s="6"/>
      <c r="O305" s="3"/>
      <c r="P305" s="8"/>
      <c r="Q305" s="7"/>
      <c r="R305" s="7"/>
      <c r="S305" s="8"/>
      <c r="T305" s="9"/>
      <c r="U305" s="9"/>
      <c r="Z305" s="9"/>
    </row>
    <row r="306" spans="7:26">
      <c r="G306" s="9"/>
      <c r="I306" s="6"/>
      <c r="K306" s="4"/>
      <c r="L306" s="6"/>
      <c r="M306" s="6"/>
      <c r="O306" s="3"/>
      <c r="P306" s="8"/>
      <c r="Q306" s="7"/>
      <c r="R306" s="7"/>
      <c r="S306" s="8"/>
      <c r="T306" s="9"/>
      <c r="U306" s="9"/>
      <c r="Z306" s="9"/>
    </row>
    <row r="307" spans="7:26">
      <c r="G307" s="9"/>
      <c r="I307" s="6"/>
      <c r="K307" s="4"/>
      <c r="L307" s="6"/>
      <c r="M307" s="6"/>
      <c r="O307" s="3"/>
      <c r="P307" s="8"/>
      <c r="Q307" s="7"/>
      <c r="R307" s="7"/>
      <c r="S307" s="8"/>
      <c r="T307" s="9"/>
      <c r="U307" s="9"/>
      <c r="Z307" s="9"/>
    </row>
    <row r="308" spans="7:26">
      <c r="G308" s="9"/>
      <c r="I308" s="6"/>
      <c r="K308" s="4"/>
      <c r="L308" s="6"/>
      <c r="M308" s="6"/>
      <c r="O308" s="3"/>
      <c r="P308" s="8"/>
      <c r="Q308" s="7"/>
      <c r="R308" s="7"/>
      <c r="S308" s="8"/>
      <c r="T308" s="9"/>
      <c r="U308" s="9"/>
      <c r="Z308" s="9"/>
    </row>
    <row r="309" spans="7:26">
      <c r="G309" s="9"/>
      <c r="I309" s="6"/>
      <c r="K309" s="4"/>
      <c r="L309" s="6"/>
      <c r="M309" s="6"/>
      <c r="O309" s="3"/>
      <c r="P309" s="8"/>
      <c r="Q309" s="7"/>
      <c r="R309" s="7"/>
      <c r="S309" s="8"/>
      <c r="T309" s="9"/>
      <c r="U309" s="9"/>
      <c r="Z309" s="9"/>
    </row>
    <row r="310" spans="7:26">
      <c r="G310" s="9"/>
      <c r="I310" s="6"/>
      <c r="K310" s="4"/>
      <c r="L310" s="6"/>
      <c r="M310" s="6"/>
      <c r="O310" s="3"/>
      <c r="P310" s="8"/>
      <c r="Q310" s="7"/>
      <c r="R310" s="7"/>
      <c r="S310" s="8"/>
      <c r="T310" s="9"/>
      <c r="U310" s="9"/>
      <c r="Z310" s="9"/>
    </row>
    <row r="311" spans="7:26">
      <c r="G311" s="9"/>
      <c r="I311" s="6"/>
      <c r="K311" s="4"/>
      <c r="L311" s="6"/>
      <c r="M311" s="6"/>
      <c r="O311" s="3"/>
      <c r="P311" s="8"/>
      <c r="Q311" s="7"/>
      <c r="R311" s="7"/>
      <c r="S311" s="8"/>
      <c r="T311" s="9"/>
      <c r="U311" s="9"/>
      <c r="Z311" s="9"/>
    </row>
    <row r="312" spans="7:26">
      <c r="G312" s="9"/>
      <c r="I312" s="6"/>
      <c r="K312" s="4"/>
      <c r="L312" s="6"/>
      <c r="M312" s="6"/>
      <c r="O312" s="3"/>
      <c r="P312" s="8"/>
      <c r="Q312" s="7"/>
      <c r="R312" s="7"/>
      <c r="S312" s="8"/>
      <c r="T312" s="9"/>
      <c r="U312" s="9"/>
      <c r="Z312" s="9"/>
    </row>
    <row r="313" spans="7:26">
      <c r="G313" s="9"/>
      <c r="I313" s="6"/>
      <c r="K313" s="4"/>
      <c r="L313" s="6"/>
      <c r="M313" s="6"/>
      <c r="O313" s="3"/>
      <c r="P313" s="8"/>
      <c r="Q313" s="7"/>
      <c r="R313" s="7"/>
      <c r="S313" s="8"/>
      <c r="T313" s="9"/>
      <c r="U313" s="9"/>
      <c r="Z313" s="9"/>
    </row>
    <row r="314" spans="7:26">
      <c r="G314" s="9"/>
      <c r="I314" s="6"/>
      <c r="K314" s="4"/>
      <c r="L314" s="6"/>
      <c r="M314" s="6"/>
      <c r="O314" s="3"/>
      <c r="P314" s="8"/>
      <c r="Q314" s="7"/>
      <c r="R314" s="7"/>
      <c r="S314" s="8"/>
      <c r="T314" s="9"/>
      <c r="U314" s="9"/>
      <c r="Z314" s="9"/>
    </row>
    <row r="315" spans="7:26">
      <c r="G315" s="9"/>
      <c r="I315" s="6"/>
      <c r="K315" s="4"/>
      <c r="L315" s="6"/>
      <c r="M315" s="6"/>
      <c r="O315" s="3"/>
      <c r="P315" s="8"/>
      <c r="Q315" s="7"/>
      <c r="R315" s="7"/>
      <c r="S315" s="8"/>
      <c r="T315" s="9"/>
      <c r="U315" s="9"/>
      <c r="Z315" s="9"/>
    </row>
    <row r="316" spans="7:26">
      <c r="G316" s="9"/>
      <c r="I316" s="6"/>
      <c r="K316" s="4"/>
      <c r="L316" s="6"/>
      <c r="M316" s="6"/>
      <c r="O316" s="3"/>
      <c r="P316" s="8"/>
      <c r="Q316" s="7"/>
      <c r="R316" s="7"/>
      <c r="S316" s="8"/>
      <c r="T316" s="9"/>
      <c r="U316" s="9"/>
      <c r="Z316" s="9"/>
    </row>
    <row r="317" spans="7:26">
      <c r="G317" s="9"/>
      <c r="I317" s="6"/>
      <c r="K317" s="4"/>
      <c r="L317" s="6"/>
      <c r="M317" s="6"/>
      <c r="O317" s="3"/>
      <c r="P317" s="8"/>
      <c r="Q317" s="7"/>
      <c r="R317" s="7"/>
      <c r="S317" s="8"/>
      <c r="T317" s="9"/>
      <c r="U317" s="9"/>
      <c r="Z317" s="9"/>
    </row>
    <row r="318" spans="7:26">
      <c r="G318" s="9"/>
      <c r="I318" s="6"/>
      <c r="K318" s="4"/>
      <c r="L318" s="6"/>
      <c r="M318" s="6"/>
      <c r="O318" s="3"/>
      <c r="P318" s="8"/>
      <c r="Q318" s="7"/>
      <c r="R318" s="7"/>
      <c r="S318" s="8"/>
      <c r="T318" s="9"/>
      <c r="U318" s="9"/>
      <c r="Z318" s="9"/>
    </row>
    <row r="319" spans="7:26">
      <c r="G319" s="9"/>
      <c r="I319" s="6"/>
      <c r="K319" s="4"/>
      <c r="L319" s="6"/>
      <c r="M319" s="6"/>
      <c r="O319" s="3"/>
      <c r="P319" s="8"/>
      <c r="Q319" s="7"/>
      <c r="R319" s="7"/>
      <c r="S319" s="8"/>
      <c r="T319" s="9"/>
      <c r="U319" s="9"/>
      <c r="Z319" s="9"/>
    </row>
    <row r="320" spans="7:26">
      <c r="G320" s="9"/>
      <c r="I320" s="6"/>
      <c r="K320" s="4"/>
      <c r="L320" s="6"/>
      <c r="M320" s="6"/>
      <c r="O320" s="3"/>
      <c r="P320" s="8"/>
      <c r="Q320" s="7"/>
      <c r="R320" s="7"/>
      <c r="S320" s="8"/>
      <c r="T320" s="9"/>
      <c r="U320" s="9"/>
      <c r="Z320" s="9"/>
    </row>
    <row r="321" spans="7:26">
      <c r="G321" s="9"/>
      <c r="I321" s="6"/>
      <c r="K321" s="4"/>
      <c r="L321" s="6"/>
      <c r="M321" s="6"/>
      <c r="O321" s="3"/>
      <c r="P321" s="8"/>
      <c r="Q321" s="7"/>
      <c r="R321" s="7"/>
      <c r="S321" s="8"/>
      <c r="T321" s="9"/>
      <c r="U321" s="9"/>
      <c r="Z321" s="9"/>
    </row>
    <row r="322" spans="7:26">
      <c r="G322" s="9"/>
      <c r="I322" s="6"/>
      <c r="K322" s="4"/>
      <c r="L322" s="6"/>
      <c r="M322" s="6"/>
      <c r="O322" s="3"/>
      <c r="P322" s="8"/>
      <c r="Q322" s="7"/>
      <c r="R322" s="7"/>
      <c r="S322" s="8"/>
      <c r="T322" s="9"/>
      <c r="U322" s="9"/>
      <c r="Z322" s="9"/>
    </row>
    <row r="323" spans="7:26">
      <c r="G323" s="9"/>
      <c r="I323" s="6"/>
      <c r="K323" s="4"/>
      <c r="L323" s="6"/>
      <c r="M323" s="6"/>
      <c r="O323" s="3"/>
      <c r="P323" s="8"/>
      <c r="Q323" s="7"/>
      <c r="R323" s="7"/>
      <c r="S323" s="8"/>
      <c r="T323" s="9"/>
      <c r="U323" s="9"/>
      <c r="Z323" s="9"/>
    </row>
    <row r="324" spans="7:26">
      <c r="G324" s="9"/>
      <c r="I324" s="6"/>
      <c r="K324" s="4"/>
      <c r="L324" s="6"/>
      <c r="M324" s="6"/>
      <c r="O324" s="3"/>
      <c r="P324" s="8"/>
      <c r="Q324" s="7"/>
      <c r="R324" s="7"/>
      <c r="S324" s="8"/>
      <c r="T324" s="9"/>
      <c r="U324" s="9"/>
      <c r="Z324" s="9"/>
    </row>
    <row r="325" spans="7:26">
      <c r="G325" s="9"/>
      <c r="I325" s="6"/>
      <c r="K325" s="4"/>
      <c r="L325" s="6"/>
      <c r="M325" s="6"/>
      <c r="O325" s="3"/>
      <c r="P325" s="8"/>
      <c r="Q325" s="7"/>
      <c r="R325" s="7"/>
      <c r="S325" s="8"/>
      <c r="T325" s="9"/>
      <c r="U325" s="9"/>
      <c r="Z325" s="9"/>
    </row>
    <row r="326" spans="7:26">
      <c r="G326" s="9"/>
      <c r="I326" s="6"/>
      <c r="K326" s="4"/>
      <c r="L326" s="6"/>
      <c r="M326" s="6"/>
      <c r="O326" s="3"/>
      <c r="P326" s="8"/>
      <c r="Q326" s="7"/>
      <c r="R326" s="7"/>
      <c r="S326" s="8"/>
      <c r="T326" s="9"/>
      <c r="U326" s="9"/>
      <c r="Z326" s="9"/>
    </row>
    <row r="327" spans="7:26">
      <c r="G327" s="9"/>
      <c r="I327" s="6"/>
      <c r="K327" s="4"/>
      <c r="L327" s="6"/>
      <c r="M327" s="6"/>
      <c r="O327" s="3"/>
      <c r="P327" s="8"/>
      <c r="Q327" s="7"/>
      <c r="R327" s="7"/>
      <c r="S327" s="8"/>
      <c r="T327" s="9"/>
      <c r="U327" s="9"/>
      <c r="Z327" s="9"/>
    </row>
    <row r="328" spans="7:26">
      <c r="G328" s="9"/>
      <c r="I328" s="6"/>
      <c r="K328" s="4"/>
      <c r="L328" s="6"/>
      <c r="M328" s="6"/>
      <c r="O328" s="3"/>
      <c r="P328" s="8"/>
      <c r="Q328" s="7"/>
      <c r="R328" s="7"/>
      <c r="S328" s="8"/>
      <c r="T328" s="9"/>
      <c r="U328" s="9"/>
      <c r="Z328" s="9"/>
    </row>
    <row r="329" spans="7:26">
      <c r="G329" s="9"/>
      <c r="I329" s="6"/>
      <c r="K329" s="4"/>
      <c r="L329" s="6"/>
      <c r="M329" s="6"/>
      <c r="O329" s="3"/>
      <c r="P329" s="8"/>
      <c r="Q329" s="7"/>
      <c r="R329" s="7"/>
      <c r="S329" s="8"/>
      <c r="T329" s="9"/>
      <c r="U329" s="9"/>
      <c r="Z329" s="9"/>
    </row>
    <row r="330" spans="7:26">
      <c r="G330" s="9"/>
      <c r="I330" s="6"/>
      <c r="K330" s="4"/>
      <c r="L330" s="6"/>
      <c r="M330" s="6"/>
      <c r="O330" s="3"/>
      <c r="P330" s="8"/>
      <c r="Q330" s="7"/>
      <c r="R330" s="7"/>
      <c r="S330" s="8"/>
      <c r="T330" s="9"/>
      <c r="U330" s="9"/>
      <c r="Z330" s="9"/>
    </row>
    <row r="331" spans="7:26">
      <c r="G331" s="9"/>
      <c r="I331" s="6"/>
      <c r="K331" s="4"/>
      <c r="L331" s="6"/>
      <c r="M331" s="6"/>
      <c r="O331" s="3"/>
      <c r="P331" s="8"/>
      <c r="Q331" s="7"/>
      <c r="R331" s="7"/>
      <c r="S331" s="8"/>
      <c r="T331" s="9"/>
      <c r="U331" s="9"/>
      <c r="Z331" s="9"/>
    </row>
    <row r="332" spans="7:26">
      <c r="G332" s="9"/>
      <c r="I332" s="6"/>
      <c r="K332" s="4"/>
      <c r="L332" s="6"/>
      <c r="M332" s="6"/>
      <c r="O332" s="3"/>
      <c r="P332" s="8"/>
      <c r="Q332" s="7"/>
      <c r="R332" s="7"/>
      <c r="S332" s="8"/>
      <c r="T332" s="9"/>
      <c r="U332" s="9"/>
      <c r="Z332" s="9"/>
    </row>
    <row r="333" spans="7:26">
      <c r="G333" s="9"/>
      <c r="I333" s="6"/>
      <c r="K333" s="4"/>
      <c r="L333" s="6"/>
      <c r="M333" s="6"/>
      <c r="O333" s="3"/>
      <c r="P333" s="8"/>
      <c r="Q333" s="7"/>
      <c r="R333" s="7"/>
      <c r="S333" s="8"/>
      <c r="T333" s="9"/>
      <c r="U333" s="9"/>
      <c r="Z333" s="9"/>
    </row>
    <row r="334" spans="7:26">
      <c r="G334" s="9"/>
      <c r="I334" s="6"/>
      <c r="K334" s="4"/>
      <c r="L334" s="6"/>
      <c r="M334" s="6"/>
      <c r="O334" s="3"/>
      <c r="P334" s="8"/>
      <c r="Q334" s="7"/>
      <c r="R334" s="7"/>
      <c r="S334" s="8"/>
      <c r="T334" s="9"/>
      <c r="U334" s="9"/>
      <c r="Z334" s="9"/>
    </row>
    <row r="335" spans="7:26">
      <c r="G335" s="9"/>
      <c r="I335" s="6"/>
      <c r="K335" s="4"/>
      <c r="L335" s="6"/>
      <c r="M335" s="6"/>
      <c r="O335" s="3"/>
      <c r="P335" s="8"/>
      <c r="Q335" s="7"/>
      <c r="R335" s="7"/>
      <c r="S335" s="8"/>
      <c r="T335" s="9"/>
      <c r="U335" s="9"/>
      <c r="Z335" s="9"/>
    </row>
    <row r="336" spans="7:26">
      <c r="G336" s="9"/>
      <c r="I336" s="6"/>
      <c r="K336" s="4"/>
      <c r="L336" s="6"/>
      <c r="M336" s="6"/>
      <c r="O336" s="3"/>
      <c r="P336" s="8"/>
      <c r="Q336" s="7"/>
      <c r="R336" s="7"/>
      <c r="S336" s="8"/>
      <c r="T336" s="9"/>
      <c r="U336" s="9"/>
      <c r="Z336" s="9"/>
    </row>
    <row r="337" spans="7:26">
      <c r="G337" s="9"/>
      <c r="I337" s="6"/>
      <c r="K337" s="4"/>
      <c r="L337" s="6"/>
      <c r="M337" s="6"/>
      <c r="O337" s="3"/>
      <c r="P337" s="8"/>
      <c r="Q337" s="7"/>
      <c r="R337" s="7"/>
      <c r="S337" s="8"/>
      <c r="T337" s="9"/>
      <c r="U337" s="9"/>
      <c r="Z337" s="9"/>
    </row>
    <row r="338" spans="7:26">
      <c r="G338" s="9"/>
      <c r="I338" s="6"/>
      <c r="K338" s="4"/>
      <c r="L338" s="6"/>
      <c r="M338" s="6"/>
      <c r="O338" s="3"/>
      <c r="P338" s="8"/>
      <c r="Q338" s="7"/>
      <c r="R338" s="7"/>
      <c r="S338" s="8"/>
      <c r="T338" s="9"/>
      <c r="U338" s="9"/>
      <c r="Z338" s="9"/>
    </row>
    <row r="339" spans="7:26">
      <c r="G339" s="9"/>
      <c r="I339" s="6"/>
      <c r="K339" s="4"/>
      <c r="L339" s="6"/>
      <c r="M339" s="6"/>
      <c r="O339" s="3"/>
      <c r="P339" s="8"/>
      <c r="Q339" s="7"/>
      <c r="R339" s="7"/>
      <c r="S339" s="8"/>
      <c r="T339" s="9"/>
      <c r="U339" s="9"/>
      <c r="Z339" s="9"/>
    </row>
    <row r="340" spans="7:26">
      <c r="G340" s="9"/>
      <c r="I340" s="6"/>
      <c r="K340" s="4"/>
      <c r="L340" s="6"/>
      <c r="M340" s="6"/>
      <c r="O340" s="3"/>
      <c r="P340" s="8"/>
      <c r="Q340" s="7"/>
      <c r="R340" s="7"/>
      <c r="S340" s="8"/>
      <c r="T340" s="9"/>
      <c r="U340" s="9"/>
      <c r="Z340" s="9"/>
    </row>
    <row r="341" spans="7:26">
      <c r="G341" s="9"/>
      <c r="I341" s="6"/>
      <c r="K341" s="4"/>
      <c r="L341" s="6"/>
      <c r="M341" s="6"/>
      <c r="O341" s="3"/>
      <c r="P341" s="8"/>
      <c r="Q341" s="7"/>
      <c r="R341" s="7"/>
      <c r="S341" s="8"/>
      <c r="T341" s="9"/>
      <c r="U341" s="9"/>
      <c r="Z341" s="9"/>
    </row>
    <row r="342" spans="7:26">
      <c r="G342" s="9"/>
      <c r="I342" s="6"/>
      <c r="K342" s="4"/>
      <c r="L342" s="6"/>
      <c r="M342" s="6"/>
      <c r="O342" s="3"/>
      <c r="P342" s="8"/>
      <c r="Q342" s="7"/>
      <c r="R342" s="7"/>
      <c r="S342" s="8"/>
      <c r="T342" s="9"/>
      <c r="U342" s="9"/>
      <c r="Z342" s="9"/>
    </row>
    <row r="343" spans="7:26">
      <c r="G343" s="9"/>
      <c r="I343" s="6"/>
      <c r="K343" s="4"/>
      <c r="L343" s="6"/>
      <c r="M343" s="6"/>
      <c r="O343" s="3"/>
      <c r="P343" s="8"/>
      <c r="Q343" s="7"/>
      <c r="R343" s="7"/>
      <c r="S343" s="8"/>
      <c r="T343" s="9"/>
      <c r="U343" s="9"/>
      <c r="Z343" s="9"/>
    </row>
    <row r="344" spans="7:26">
      <c r="G344" s="9"/>
      <c r="I344" s="6"/>
      <c r="K344" s="4"/>
      <c r="L344" s="6"/>
      <c r="M344" s="6"/>
      <c r="O344" s="3"/>
      <c r="P344" s="8"/>
      <c r="Q344" s="7"/>
      <c r="R344" s="7"/>
      <c r="S344" s="8"/>
      <c r="T344" s="9"/>
      <c r="U344" s="9"/>
      <c r="Z344" s="9"/>
    </row>
    <row r="345" spans="7:26">
      <c r="G345" s="9"/>
      <c r="I345" s="6"/>
      <c r="K345" s="4"/>
      <c r="L345" s="6"/>
      <c r="M345" s="6"/>
      <c r="O345" s="3"/>
      <c r="P345" s="8"/>
      <c r="Q345" s="7"/>
      <c r="R345" s="7"/>
      <c r="S345" s="8"/>
      <c r="T345" s="9"/>
      <c r="U345" s="9"/>
      <c r="Z345" s="9"/>
    </row>
    <row r="346" spans="7:26">
      <c r="G346" s="9"/>
      <c r="I346" s="6"/>
      <c r="K346" s="4"/>
      <c r="L346" s="6"/>
      <c r="M346" s="6"/>
      <c r="O346" s="3"/>
      <c r="P346" s="8"/>
      <c r="Q346" s="7"/>
      <c r="R346" s="7"/>
      <c r="S346" s="8"/>
      <c r="T346" s="9"/>
      <c r="U346" s="9"/>
      <c r="Z346" s="9"/>
    </row>
    <row r="347" spans="7:26">
      <c r="G347" s="9"/>
      <c r="I347" s="6"/>
      <c r="K347" s="4"/>
      <c r="L347" s="6"/>
      <c r="M347" s="6"/>
      <c r="O347" s="3"/>
      <c r="P347" s="8"/>
      <c r="Q347" s="7"/>
      <c r="R347" s="7"/>
      <c r="S347" s="8"/>
      <c r="T347" s="9"/>
      <c r="U347" s="9"/>
      <c r="Z347" s="9"/>
    </row>
    <row r="348" spans="7:26">
      <c r="G348" s="9"/>
      <c r="I348" s="6"/>
      <c r="K348" s="4"/>
      <c r="L348" s="6"/>
      <c r="M348" s="6"/>
      <c r="O348" s="3"/>
      <c r="P348" s="8"/>
      <c r="Q348" s="7"/>
      <c r="R348" s="7"/>
      <c r="S348" s="8"/>
      <c r="T348" s="9"/>
      <c r="U348" s="9"/>
      <c r="Z348" s="9"/>
    </row>
    <row r="349" spans="7:26">
      <c r="G349" s="9"/>
      <c r="I349" s="6"/>
      <c r="K349" s="4"/>
      <c r="L349" s="6"/>
      <c r="M349" s="6"/>
      <c r="O349" s="3"/>
      <c r="P349" s="8"/>
      <c r="Q349" s="7"/>
      <c r="R349" s="7"/>
      <c r="S349" s="8"/>
      <c r="T349" s="9"/>
      <c r="U349" s="9"/>
      <c r="Z349" s="9"/>
    </row>
    <row r="350" spans="7:26">
      <c r="G350" s="9"/>
      <c r="I350" s="6"/>
      <c r="K350" s="4"/>
      <c r="L350" s="6"/>
      <c r="M350" s="6"/>
      <c r="O350" s="3"/>
      <c r="P350" s="8"/>
      <c r="Q350" s="7"/>
      <c r="R350" s="7"/>
      <c r="S350" s="8"/>
      <c r="T350" s="9"/>
      <c r="U350" s="9"/>
      <c r="Z350" s="9"/>
    </row>
    <row r="351" spans="7:26">
      <c r="G351" s="9"/>
      <c r="I351" s="6"/>
      <c r="K351" s="4"/>
      <c r="L351" s="6"/>
      <c r="M351" s="6"/>
      <c r="O351" s="3"/>
      <c r="P351" s="8"/>
      <c r="Q351" s="7"/>
      <c r="R351" s="7"/>
      <c r="S351" s="8"/>
      <c r="T351" s="9"/>
      <c r="U351" s="9"/>
      <c r="Z351" s="9"/>
    </row>
    <row r="352" spans="7:26">
      <c r="G352" s="9"/>
      <c r="I352" s="6"/>
      <c r="K352" s="4"/>
      <c r="L352" s="6"/>
      <c r="M352" s="6"/>
      <c r="O352" s="3"/>
      <c r="P352" s="8"/>
      <c r="Q352" s="7"/>
      <c r="R352" s="7"/>
      <c r="S352" s="8"/>
      <c r="T352" s="9"/>
      <c r="U352" s="9"/>
      <c r="Z352" s="9"/>
    </row>
    <row r="353" spans="7:26">
      <c r="G353" s="9"/>
      <c r="I353" s="6"/>
      <c r="K353" s="4"/>
      <c r="L353" s="6"/>
      <c r="M353" s="6"/>
      <c r="O353" s="3"/>
      <c r="P353" s="8"/>
      <c r="Q353" s="7"/>
      <c r="R353" s="7"/>
      <c r="S353" s="8"/>
      <c r="T353" s="9"/>
      <c r="U353" s="9"/>
      <c r="Z353" s="9"/>
    </row>
    <row r="354" spans="7:26">
      <c r="G354" s="9"/>
      <c r="I354" s="6"/>
      <c r="K354" s="4"/>
      <c r="L354" s="6"/>
      <c r="M354" s="6"/>
      <c r="O354" s="3"/>
      <c r="P354" s="8"/>
      <c r="Q354" s="7"/>
      <c r="R354" s="7"/>
      <c r="S354" s="8"/>
      <c r="T354" s="9"/>
      <c r="U354" s="9"/>
      <c r="Z354" s="9"/>
    </row>
    <row r="355" spans="7:26">
      <c r="G355" s="9"/>
      <c r="I355" s="6"/>
      <c r="K355" s="4"/>
      <c r="L355" s="6"/>
      <c r="M355" s="6"/>
      <c r="O355" s="3"/>
      <c r="P355" s="8"/>
      <c r="Q355" s="7"/>
      <c r="R355" s="7"/>
      <c r="S355" s="8"/>
      <c r="T355" s="9"/>
      <c r="U355" s="9"/>
      <c r="Z355" s="9"/>
    </row>
    <row r="356" spans="7:26">
      <c r="G356" s="9"/>
      <c r="I356" s="6"/>
      <c r="K356" s="4"/>
      <c r="L356" s="6"/>
      <c r="M356" s="6"/>
      <c r="O356" s="3"/>
      <c r="P356" s="8"/>
      <c r="Q356" s="7"/>
      <c r="R356" s="7"/>
      <c r="S356" s="8"/>
      <c r="T356" s="9"/>
      <c r="U356" s="9"/>
      <c r="Z356" s="9"/>
    </row>
    <row r="357" spans="7:26">
      <c r="G357" s="9"/>
      <c r="I357" s="6"/>
      <c r="K357" s="4"/>
      <c r="L357" s="6"/>
      <c r="M357" s="6"/>
      <c r="O357" s="3"/>
      <c r="P357" s="8"/>
      <c r="Q357" s="7"/>
      <c r="R357" s="7"/>
      <c r="S357" s="8"/>
      <c r="T357" s="9"/>
      <c r="U357" s="9"/>
      <c r="Z357" s="9"/>
    </row>
    <row r="358" spans="7:26">
      <c r="G358" s="9"/>
      <c r="I358" s="6"/>
      <c r="K358" s="4"/>
      <c r="L358" s="6"/>
      <c r="M358" s="6"/>
      <c r="O358" s="3"/>
      <c r="P358" s="8"/>
      <c r="Q358" s="7"/>
      <c r="R358" s="7"/>
      <c r="S358" s="8"/>
      <c r="T358" s="9"/>
      <c r="U358" s="9"/>
      <c r="Z358" s="9"/>
    </row>
    <row r="359" spans="7:26">
      <c r="G359" s="9"/>
      <c r="I359" s="6"/>
      <c r="K359" s="4"/>
      <c r="L359" s="6"/>
      <c r="M359" s="6"/>
      <c r="O359" s="3"/>
      <c r="P359" s="8"/>
      <c r="Q359" s="7"/>
      <c r="R359" s="7"/>
      <c r="S359" s="8"/>
      <c r="T359" s="9"/>
      <c r="U359" s="9"/>
      <c r="Z359" s="9"/>
    </row>
    <row r="360" spans="7:26">
      <c r="G360" s="9"/>
      <c r="I360" s="6"/>
      <c r="K360" s="4"/>
      <c r="L360" s="6"/>
      <c r="M360" s="6"/>
      <c r="O360" s="3"/>
      <c r="P360" s="8"/>
      <c r="Q360" s="7"/>
      <c r="R360" s="7"/>
      <c r="S360" s="8"/>
      <c r="T360" s="9"/>
      <c r="U360" s="9"/>
      <c r="Z360" s="9"/>
    </row>
    <row r="361" spans="7:26">
      <c r="G361" s="9"/>
      <c r="I361" s="6"/>
      <c r="K361" s="4"/>
      <c r="L361" s="6"/>
      <c r="M361" s="6"/>
      <c r="O361" s="3"/>
      <c r="P361" s="8"/>
      <c r="Q361" s="7"/>
      <c r="R361" s="7"/>
      <c r="S361" s="8"/>
      <c r="T361" s="9"/>
      <c r="U361" s="9"/>
      <c r="Z361" s="9"/>
    </row>
    <row r="362" spans="7:26">
      <c r="G362" s="9"/>
      <c r="I362" s="6"/>
      <c r="K362" s="4"/>
      <c r="L362" s="6"/>
      <c r="M362" s="6"/>
      <c r="O362" s="3"/>
      <c r="P362" s="8"/>
      <c r="Q362" s="7"/>
      <c r="R362" s="7"/>
      <c r="S362" s="8"/>
      <c r="T362" s="9"/>
      <c r="U362" s="9"/>
      <c r="Z362" s="9"/>
    </row>
    <row r="363" spans="7:26">
      <c r="G363" s="9"/>
      <c r="I363" s="6"/>
      <c r="K363" s="4"/>
      <c r="L363" s="6"/>
      <c r="M363" s="6"/>
      <c r="O363" s="3"/>
      <c r="P363" s="8"/>
      <c r="Q363" s="7"/>
      <c r="R363" s="7"/>
      <c r="S363" s="8"/>
      <c r="T363" s="9"/>
      <c r="U363" s="9"/>
      <c r="Z363" s="9"/>
    </row>
    <row r="364" spans="7:26">
      <c r="G364" s="9"/>
      <c r="I364" s="6"/>
      <c r="K364" s="4"/>
      <c r="L364" s="6"/>
      <c r="M364" s="6"/>
      <c r="O364" s="3"/>
      <c r="P364" s="8"/>
      <c r="Q364" s="7"/>
      <c r="R364" s="7"/>
      <c r="S364" s="8"/>
      <c r="T364" s="9"/>
      <c r="U364" s="9"/>
      <c r="Z364" s="9"/>
    </row>
    <row r="365" spans="7:26">
      <c r="G365" s="9"/>
      <c r="I365" s="6"/>
      <c r="K365" s="4"/>
      <c r="L365" s="6"/>
      <c r="M365" s="6"/>
      <c r="O365" s="3"/>
      <c r="P365" s="8"/>
      <c r="Q365" s="7"/>
      <c r="R365" s="7"/>
      <c r="S365" s="8"/>
      <c r="T365" s="9"/>
      <c r="U365" s="9"/>
      <c r="Z365" s="9"/>
    </row>
    <row r="366" spans="7:26">
      <c r="G366" s="9"/>
      <c r="I366" s="6"/>
      <c r="K366" s="4"/>
      <c r="L366" s="6"/>
      <c r="M366" s="6"/>
      <c r="O366" s="3"/>
      <c r="P366" s="8"/>
      <c r="Q366" s="7"/>
      <c r="R366" s="7"/>
      <c r="S366" s="8"/>
      <c r="T366" s="9"/>
      <c r="U366" s="9"/>
      <c r="Z366" s="9"/>
    </row>
    <row r="367" spans="7:26">
      <c r="G367" s="9"/>
      <c r="I367" s="6"/>
      <c r="K367" s="4"/>
      <c r="L367" s="6"/>
      <c r="M367" s="6"/>
      <c r="O367" s="3"/>
      <c r="P367" s="8"/>
      <c r="Q367" s="7"/>
      <c r="R367" s="7"/>
      <c r="S367" s="8"/>
      <c r="T367" s="9"/>
      <c r="U367" s="9"/>
      <c r="Z367" s="9"/>
    </row>
    <row r="368" spans="7:26">
      <c r="G368" s="9"/>
      <c r="I368" s="6"/>
      <c r="K368" s="4"/>
      <c r="L368" s="6"/>
      <c r="M368" s="6"/>
      <c r="O368" s="3"/>
      <c r="P368" s="8"/>
      <c r="Q368" s="7"/>
      <c r="R368" s="7"/>
      <c r="S368" s="8"/>
      <c r="T368" s="9"/>
      <c r="U368" s="9"/>
      <c r="Z368" s="9"/>
    </row>
    <row r="369" spans="7:26">
      <c r="G369" s="9"/>
      <c r="I369" s="6"/>
      <c r="K369" s="4"/>
      <c r="L369" s="6"/>
      <c r="M369" s="6"/>
      <c r="O369" s="3"/>
      <c r="P369" s="8"/>
      <c r="Q369" s="7"/>
      <c r="R369" s="7"/>
      <c r="S369" s="8"/>
      <c r="T369" s="9"/>
      <c r="U369" s="9"/>
      <c r="Z369" s="9"/>
    </row>
    <row r="370" spans="7:26">
      <c r="G370" s="9"/>
      <c r="I370" s="6"/>
      <c r="K370" s="4"/>
      <c r="L370" s="6"/>
      <c r="M370" s="6"/>
      <c r="O370" s="3"/>
      <c r="P370" s="8"/>
      <c r="Q370" s="7"/>
      <c r="R370" s="7"/>
      <c r="S370" s="8"/>
      <c r="T370" s="9"/>
      <c r="U370" s="9"/>
      <c r="Z370" s="9"/>
    </row>
    <row r="371" spans="7:26">
      <c r="G371" s="9"/>
      <c r="I371" s="6"/>
      <c r="K371" s="4"/>
      <c r="L371" s="6"/>
      <c r="M371" s="6"/>
      <c r="O371" s="3"/>
      <c r="P371" s="8"/>
      <c r="Q371" s="7"/>
      <c r="R371" s="7"/>
      <c r="S371" s="8"/>
      <c r="T371" s="9"/>
      <c r="U371" s="9"/>
      <c r="Z371" s="9"/>
    </row>
    <row r="372" spans="7:26">
      <c r="G372" s="9"/>
      <c r="I372" s="6"/>
      <c r="K372" s="4"/>
      <c r="L372" s="6"/>
      <c r="M372" s="6"/>
      <c r="O372" s="3"/>
      <c r="P372" s="8"/>
      <c r="Q372" s="7"/>
      <c r="R372" s="7"/>
      <c r="S372" s="8"/>
      <c r="T372" s="9"/>
      <c r="U372" s="9"/>
      <c r="Z372" s="9"/>
    </row>
    <row r="373" spans="7:26">
      <c r="G373" s="9"/>
      <c r="I373" s="6"/>
      <c r="K373" s="4"/>
      <c r="L373" s="6"/>
      <c r="M373" s="6"/>
      <c r="O373" s="3"/>
      <c r="P373" s="8"/>
      <c r="Q373" s="7"/>
      <c r="R373" s="7"/>
      <c r="S373" s="8"/>
      <c r="T373" s="9"/>
      <c r="U373" s="9"/>
      <c r="Z373" s="9"/>
    </row>
    <row r="374" spans="7:26">
      <c r="G374" s="9"/>
      <c r="I374" s="6"/>
      <c r="K374" s="4"/>
      <c r="L374" s="6"/>
      <c r="M374" s="6"/>
      <c r="O374" s="3"/>
      <c r="P374" s="8"/>
      <c r="Q374" s="7"/>
      <c r="R374" s="7"/>
      <c r="S374" s="8"/>
      <c r="T374" s="9"/>
      <c r="U374" s="9"/>
      <c r="Z374" s="9"/>
    </row>
    <row r="375" spans="7:26">
      <c r="G375" s="9"/>
      <c r="I375" s="6"/>
      <c r="K375" s="4"/>
      <c r="L375" s="6"/>
      <c r="M375" s="6"/>
      <c r="O375" s="3"/>
      <c r="P375" s="8"/>
      <c r="Q375" s="7"/>
      <c r="R375" s="7"/>
      <c r="S375" s="8"/>
      <c r="T375" s="9"/>
      <c r="U375" s="9"/>
      <c r="Z375" s="9"/>
    </row>
    <row r="376" spans="7:26">
      <c r="G376" s="9"/>
      <c r="I376" s="6"/>
      <c r="K376" s="4"/>
      <c r="L376" s="6"/>
      <c r="M376" s="6"/>
      <c r="O376" s="3"/>
      <c r="P376" s="8"/>
      <c r="Q376" s="7"/>
      <c r="R376" s="7"/>
      <c r="S376" s="8"/>
      <c r="T376" s="9"/>
      <c r="U376" s="9"/>
      <c r="Z376" s="9"/>
    </row>
    <row r="377" spans="7:26">
      <c r="G377" s="9"/>
      <c r="I377" s="6"/>
      <c r="K377" s="4"/>
      <c r="L377" s="6"/>
      <c r="M377" s="6"/>
      <c r="O377" s="3"/>
      <c r="P377" s="8"/>
      <c r="Q377" s="7"/>
      <c r="R377" s="7"/>
      <c r="S377" s="8"/>
      <c r="T377" s="9"/>
      <c r="U377" s="9"/>
      <c r="Z377" s="9"/>
    </row>
    <row r="378" spans="7:26">
      <c r="G378" s="9"/>
      <c r="I378" s="6"/>
      <c r="K378" s="4"/>
      <c r="L378" s="6"/>
      <c r="M378" s="6"/>
      <c r="O378" s="3"/>
      <c r="P378" s="8"/>
      <c r="Q378" s="7"/>
      <c r="R378" s="7"/>
      <c r="S378" s="8"/>
      <c r="T378" s="9"/>
      <c r="U378" s="9"/>
      <c r="Z378" s="9"/>
    </row>
    <row r="379" spans="7:26">
      <c r="G379" s="9"/>
      <c r="I379" s="6"/>
      <c r="K379" s="4"/>
      <c r="L379" s="6"/>
      <c r="M379" s="6"/>
      <c r="O379" s="3"/>
      <c r="P379" s="8"/>
      <c r="Q379" s="7"/>
      <c r="R379" s="7"/>
      <c r="S379" s="8"/>
      <c r="T379" s="9"/>
      <c r="U379" s="9"/>
      <c r="Z379" s="9"/>
    </row>
    <row r="380" spans="7:26">
      <c r="G380" s="9"/>
      <c r="I380" s="6"/>
      <c r="K380" s="4"/>
      <c r="L380" s="6"/>
      <c r="M380" s="6"/>
      <c r="O380" s="3"/>
      <c r="P380" s="8"/>
      <c r="Q380" s="7"/>
      <c r="R380" s="7"/>
      <c r="S380" s="8"/>
      <c r="T380" s="9"/>
      <c r="U380" s="9"/>
      <c r="Z380" s="9"/>
    </row>
    <row r="381" spans="7:26">
      <c r="G381" s="9"/>
      <c r="I381" s="6"/>
      <c r="K381" s="4"/>
      <c r="L381" s="6"/>
      <c r="M381" s="6"/>
      <c r="O381" s="3"/>
      <c r="P381" s="8"/>
      <c r="Q381" s="7"/>
      <c r="R381" s="7"/>
      <c r="S381" s="8"/>
      <c r="T381" s="9"/>
      <c r="U381" s="9"/>
      <c r="Z381" s="9"/>
    </row>
    <row r="382" spans="7:26">
      <c r="G382" s="9"/>
      <c r="I382" s="6"/>
      <c r="K382" s="4"/>
      <c r="L382" s="6"/>
      <c r="M382" s="6"/>
      <c r="O382" s="3"/>
      <c r="P382" s="8"/>
      <c r="Q382" s="7"/>
      <c r="R382" s="7"/>
      <c r="S382" s="8"/>
      <c r="T382" s="9"/>
      <c r="U382" s="9"/>
      <c r="Z382" s="9"/>
    </row>
    <row r="383" spans="7:26">
      <c r="G383" s="9"/>
      <c r="I383" s="6"/>
      <c r="K383" s="4"/>
      <c r="L383" s="6"/>
      <c r="M383" s="6"/>
      <c r="O383" s="3"/>
      <c r="P383" s="8"/>
      <c r="Q383" s="7"/>
      <c r="R383" s="7"/>
      <c r="S383" s="8"/>
      <c r="T383" s="9"/>
      <c r="U383" s="9"/>
      <c r="Z383" s="9"/>
    </row>
    <row r="384" spans="7:26">
      <c r="G384" s="9"/>
      <c r="I384" s="6"/>
      <c r="K384" s="4"/>
      <c r="L384" s="6"/>
      <c r="M384" s="6"/>
      <c r="O384" s="3"/>
      <c r="P384" s="8"/>
      <c r="Q384" s="7"/>
      <c r="R384" s="7"/>
      <c r="S384" s="8"/>
      <c r="T384" s="9"/>
      <c r="U384" s="9"/>
      <c r="Z384" s="9"/>
    </row>
    <row r="385" spans="7:26">
      <c r="G385" s="9"/>
      <c r="I385" s="6"/>
      <c r="K385" s="4"/>
      <c r="L385" s="6"/>
      <c r="M385" s="6"/>
      <c r="O385" s="3"/>
      <c r="P385" s="8"/>
      <c r="Q385" s="7"/>
      <c r="R385" s="7"/>
      <c r="S385" s="8"/>
      <c r="T385" s="9"/>
      <c r="U385" s="9"/>
      <c r="Z385" s="9"/>
    </row>
    <row r="386" spans="7:26">
      <c r="G386" s="9"/>
      <c r="I386" s="6"/>
      <c r="K386" s="4"/>
      <c r="L386" s="6"/>
      <c r="M386" s="6"/>
      <c r="O386" s="3"/>
      <c r="P386" s="8"/>
      <c r="Q386" s="7"/>
      <c r="R386" s="7"/>
      <c r="S386" s="8"/>
      <c r="T386" s="9"/>
      <c r="U386" s="9"/>
      <c r="Z386" s="9"/>
    </row>
    <row r="387" spans="7:26">
      <c r="G387" s="9"/>
      <c r="I387" s="6"/>
      <c r="K387" s="4"/>
      <c r="L387" s="6"/>
      <c r="M387" s="6"/>
      <c r="O387" s="3"/>
      <c r="P387" s="8"/>
      <c r="Q387" s="7"/>
      <c r="R387" s="7"/>
      <c r="S387" s="8"/>
      <c r="T387" s="9"/>
      <c r="U387" s="9"/>
      <c r="Z387" s="9"/>
    </row>
    <row r="388" spans="7:26">
      <c r="G388" s="9"/>
      <c r="I388" s="6"/>
      <c r="K388" s="4"/>
      <c r="L388" s="6"/>
      <c r="M388" s="6"/>
      <c r="O388" s="3"/>
      <c r="P388" s="8"/>
      <c r="Q388" s="7"/>
      <c r="R388" s="7"/>
      <c r="S388" s="8"/>
      <c r="T388" s="9"/>
      <c r="U388" s="9"/>
      <c r="Z388" s="9"/>
    </row>
    <row r="389" spans="7:26">
      <c r="G389" s="9"/>
      <c r="I389" s="6"/>
      <c r="K389" s="4"/>
      <c r="L389" s="6"/>
      <c r="M389" s="6"/>
      <c r="O389" s="3"/>
      <c r="P389" s="8"/>
      <c r="Q389" s="7"/>
      <c r="R389" s="7"/>
      <c r="S389" s="8"/>
      <c r="T389" s="9"/>
      <c r="U389" s="9"/>
      <c r="Z389" s="9"/>
    </row>
    <row r="390" spans="7:26">
      <c r="G390" s="9"/>
      <c r="I390" s="6"/>
      <c r="K390" s="4"/>
      <c r="L390" s="6"/>
      <c r="M390" s="6"/>
      <c r="O390" s="3"/>
      <c r="P390" s="8"/>
      <c r="Q390" s="7"/>
      <c r="R390" s="7"/>
      <c r="S390" s="8"/>
      <c r="T390" s="9"/>
      <c r="U390" s="9"/>
      <c r="Z390" s="9"/>
    </row>
    <row r="391" spans="7:26">
      <c r="G391" s="9"/>
      <c r="I391" s="6"/>
      <c r="K391" s="4"/>
      <c r="L391" s="6"/>
      <c r="M391" s="6"/>
      <c r="O391" s="3"/>
      <c r="P391" s="8"/>
      <c r="Q391" s="7"/>
      <c r="R391" s="7"/>
      <c r="S391" s="8"/>
      <c r="T391" s="9"/>
      <c r="U391" s="9"/>
      <c r="Z391" s="9"/>
    </row>
    <row r="392" spans="7:26">
      <c r="G392" s="9"/>
      <c r="I392" s="6"/>
      <c r="K392" s="4"/>
      <c r="L392" s="6"/>
      <c r="M392" s="6"/>
      <c r="O392" s="3"/>
      <c r="P392" s="8"/>
      <c r="Q392" s="7"/>
      <c r="R392" s="7"/>
      <c r="S392" s="8"/>
      <c r="T392" s="9"/>
      <c r="U392" s="9"/>
      <c r="Z392" s="9"/>
    </row>
    <row r="393" spans="7:26">
      <c r="G393" s="9"/>
      <c r="I393" s="6"/>
      <c r="K393" s="4"/>
      <c r="L393" s="6"/>
      <c r="M393" s="6"/>
      <c r="O393" s="3"/>
      <c r="P393" s="8"/>
      <c r="Q393" s="7"/>
      <c r="R393" s="7"/>
      <c r="S393" s="8"/>
      <c r="T393" s="9"/>
      <c r="U393" s="9"/>
      <c r="Z393" s="9"/>
    </row>
    <row r="394" spans="7:26">
      <c r="G394" s="9"/>
      <c r="I394" s="6"/>
      <c r="K394" s="4"/>
      <c r="L394" s="6"/>
      <c r="M394" s="6"/>
      <c r="O394" s="3"/>
      <c r="P394" s="8"/>
      <c r="Q394" s="7"/>
      <c r="R394" s="7"/>
      <c r="S394" s="8"/>
      <c r="T394" s="9"/>
      <c r="U394" s="9"/>
      <c r="Z394" s="9"/>
    </row>
    <row r="395" spans="7:26">
      <c r="G395" s="9"/>
      <c r="I395" s="6"/>
      <c r="K395" s="4"/>
      <c r="L395" s="6"/>
      <c r="M395" s="6"/>
      <c r="O395" s="3"/>
      <c r="P395" s="8"/>
      <c r="Q395" s="7"/>
      <c r="R395" s="7"/>
      <c r="S395" s="8"/>
      <c r="T395" s="9"/>
      <c r="U395" s="9"/>
      <c r="Z395" s="9"/>
    </row>
    <row r="396" spans="7:26">
      <c r="G396" s="9"/>
      <c r="I396" s="6"/>
      <c r="K396" s="4"/>
      <c r="L396" s="6"/>
      <c r="M396" s="6"/>
      <c r="O396" s="3"/>
      <c r="P396" s="8"/>
      <c r="Q396" s="7"/>
      <c r="R396" s="7"/>
      <c r="S396" s="8"/>
      <c r="T396" s="9"/>
      <c r="U396" s="9"/>
      <c r="Z396" s="9"/>
    </row>
    <row r="397" spans="7:26">
      <c r="G397" s="9"/>
      <c r="I397" s="6"/>
      <c r="K397" s="4"/>
      <c r="L397" s="6"/>
      <c r="M397" s="6"/>
      <c r="O397" s="3"/>
      <c r="P397" s="8"/>
      <c r="Q397" s="7"/>
      <c r="R397" s="7"/>
      <c r="S397" s="8"/>
      <c r="T397" s="9"/>
      <c r="U397" s="9"/>
      <c r="Z397" s="9"/>
    </row>
    <row r="398" spans="7:26">
      <c r="G398" s="9"/>
      <c r="I398" s="6"/>
      <c r="K398" s="4"/>
      <c r="L398" s="6"/>
      <c r="M398" s="6"/>
      <c r="O398" s="3"/>
      <c r="P398" s="8"/>
      <c r="Q398" s="7"/>
      <c r="R398" s="7"/>
      <c r="S398" s="8"/>
      <c r="T398" s="9"/>
      <c r="U398" s="9"/>
      <c r="Z398" s="9"/>
    </row>
    <row r="399" spans="7:26">
      <c r="G399" s="9"/>
      <c r="I399" s="6"/>
      <c r="K399" s="4"/>
      <c r="L399" s="6"/>
      <c r="M399" s="6"/>
      <c r="O399" s="3"/>
      <c r="P399" s="8"/>
      <c r="Q399" s="7"/>
      <c r="R399" s="7"/>
      <c r="S399" s="8"/>
      <c r="T399" s="9"/>
      <c r="U399" s="9"/>
      <c r="Z399" s="9"/>
    </row>
    <row r="400" spans="7:26">
      <c r="G400" s="9"/>
      <c r="I400" s="6"/>
      <c r="K400" s="4"/>
      <c r="L400" s="6"/>
      <c r="M400" s="6"/>
      <c r="O400" s="3"/>
      <c r="P400" s="8"/>
      <c r="Q400" s="7"/>
      <c r="R400" s="7"/>
      <c r="S400" s="8"/>
      <c r="T400" s="9"/>
      <c r="U400" s="9"/>
      <c r="Z400" s="9"/>
    </row>
    <row r="401" spans="7:26">
      <c r="G401" s="9"/>
      <c r="I401" s="6"/>
      <c r="K401" s="4"/>
      <c r="L401" s="6"/>
      <c r="M401" s="6"/>
      <c r="O401" s="3"/>
      <c r="P401" s="8"/>
      <c r="Q401" s="7"/>
      <c r="R401" s="7"/>
      <c r="S401" s="8"/>
      <c r="T401" s="9"/>
      <c r="U401" s="9"/>
      <c r="Z401" s="9"/>
    </row>
    <row r="402" spans="7:26">
      <c r="G402" s="9"/>
      <c r="I402" s="6"/>
      <c r="K402" s="4"/>
      <c r="L402" s="6"/>
      <c r="M402" s="6"/>
      <c r="O402" s="3"/>
      <c r="P402" s="8"/>
      <c r="Q402" s="7"/>
      <c r="R402" s="7"/>
      <c r="S402" s="8"/>
      <c r="T402" s="9"/>
      <c r="U402" s="9"/>
      <c r="Z402" s="9"/>
    </row>
    <row r="403" spans="7:26">
      <c r="G403" s="9"/>
      <c r="I403" s="6"/>
      <c r="K403" s="4"/>
      <c r="L403" s="6"/>
      <c r="M403" s="6"/>
      <c r="O403" s="3"/>
      <c r="P403" s="8"/>
      <c r="Q403" s="7"/>
      <c r="R403" s="7"/>
      <c r="S403" s="8"/>
      <c r="T403" s="9"/>
      <c r="U403" s="9"/>
      <c r="Z403" s="9"/>
    </row>
    <row r="404" spans="7:26">
      <c r="G404" s="9"/>
      <c r="I404" s="6"/>
      <c r="K404" s="4"/>
      <c r="L404" s="6"/>
      <c r="M404" s="6"/>
      <c r="O404" s="3"/>
      <c r="P404" s="8"/>
      <c r="Q404" s="7"/>
      <c r="R404" s="7"/>
      <c r="S404" s="8"/>
      <c r="T404" s="9"/>
      <c r="U404" s="9"/>
      <c r="Z404" s="9"/>
    </row>
    <row r="405" spans="7:26">
      <c r="G405" s="9"/>
      <c r="I405" s="6"/>
      <c r="K405" s="4"/>
      <c r="L405" s="6"/>
      <c r="M405" s="6"/>
      <c r="O405" s="3"/>
      <c r="P405" s="8"/>
      <c r="Q405" s="7"/>
      <c r="R405" s="7"/>
      <c r="S405" s="8"/>
      <c r="T405" s="9"/>
      <c r="U405" s="9"/>
      <c r="Z405" s="9"/>
    </row>
    <row r="406" spans="7:26">
      <c r="G406" s="9"/>
      <c r="I406" s="6"/>
      <c r="K406" s="4"/>
      <c r="L406" s="6"/>
      <c r="M406" s="6"/>
      <c r="O406" s="3"/>
      <c r="P406" s="8"/>
      <c r="Q406" s="7"/>
      <c r="R406" s="7"/>
      <c r="S406" s="8"/>
      <c r="T406" s="9"/>
      <c r="U406" s="9"/>
      <c r="Z406" s="9"/>
    </row>
    <row r="407" spans="7:26">
      <c r="G407" s="9"/>
      <c r="I407" s="6"/>
      <c r="K407" s="4"/>
      <c r="L407" s="6"/>
      <c r="M407" s="6"/>
      <c r="O407" s="3"/>
      <c r="P407" s="8"/>
      <c r="Q407" s="7"/>
      <c r="R407" s="7"/>
      <c r="S407" s="8"/>
      <c r="T407" s="9"/>
      <c r="U407" s="9"/>
      <c r="Z407" s="9"/>
    </row>
    <row r="408" spans="7:26">
      <c r="G408" s="9"/>
      <c r="I408" s="6"/>
      <c r="K408" s="4"/>
      <c r="L408" s="6"/>
      <c r="M408" s="6"/>
      <c r="O408" s="3"/>
      <c r="P408" s="8"/>
      <c r="Q408" s="7"/>
      <c r="R408" s="7"/>
      <c r="S408" s="8"/>
      <c r="T408" s="9"/>
      <c r="U408" s="9"/>
      <c r="Z408" s="9"/>
    </row>
    <row r="409" spans="7:26">
      <c r="G409" s="9"/>
      <c r="I409" s="6"/>
      <c r="K409" s="4"/>
      <c r="L409" s="6"/>
      <c r="M409" s="6"/>
      <c r="O409" s="3"/>
      <c r="P409" s="8"/>
      <c r="Q409" s="7"/>
      <c r="R409" s="7"/>
      <c r="S409" s="8"/>
      <c r="T409" s="9"/>
      <c r="U409" s="9"/>
      <c r="Z409" s="9"/>
    </row>
    <row r="410" spans="7:26">
      <c r="G410" s="9"/>
      <c r="I410" s="6"/>
      <c r="K410" s="4"/>
      <c r="L410" s="6"/>
      <c r="M410" s="6"/>
      <c r="O410" s="3"/>
      <c r="P410" s="8"/>
      <c r="Q410" s="7"/>
      <c r="R410" s="7"/>
      <c r="S410" s="8"/>
      <c r="T410" s="9"/>
      <c r="U410" s="9"/>
      <c r="Z410" s="9"/>
    </row>
    <row r="411" spans="7:26">
      <c r="G411" s="9"/>
      <c r="I411" s="6"/>
      <c r="K411" s="4"/>
      <c r="L411" s="6"/>
      <c r="M411" s="6"/>
      <c r="O411" s="3"/>
      <c r="P411" s="8"/>
      <c r="Q411" s="7"/>
      <c r="R411" s="7"/>
      <c r="S411" s="8"/>
      <c r="T411" s="9"/>
      <c r="U411" s="9"/>
      <c r="Z411" s="9"/>
    </row>
    <row r="412" spans="7:26">
      <c r="G412" s="9"/>
      <c r="I412" s="6"/>
      <c r="K412" s="4"/>
      <c r="L412" s="6"/>
      <c r="M412" s="6"/>
      <c r="O412" s="3"/>
      <c r="P412" s="8"/>
      <c r="Q412" s="7"/>
      <c r="R412" s="7"/>
      <c r="S412" s="8"/>
      <c r="T412" s="9"/>
      <c r="U412" s="9"/>
      <c r="Z412" s="9"/>
    </row>
    <row r="413" spans="7:26">
      <c r="G413" s="9"/>
      <c r="I413" s="6"/>
      <c r="K413" s="4"/>
      <c r="L413" s="6"/>
      <c r="M413" s="6"/>
      <c r="O413" s="3"/>
      <c r="P413" s="8"/>
      <c r="Q413" s="7"/>
      <c r="R413" s="7"/>
      <c r="S413" s="8"/>
      <c r="T413" s="9"/>
      <c r="U413" s="9"/>
      <c r="Z413" s="9"/>
    </row>
    <row r="414" spans="7:26">
      <c r="G414" s="9"/>
      <c r="I414" s="6"/>
      <c r="K414" s="4"/>
      <c r="L414" s="6"/>
      <c r="M414" s="6"/>
      <c r="O414" s="3"/>
      <c r="P414" s="8"/>
      <c r="Q414" s="7"/>
      <c r="R414" s="7"/>
      <c r="S414" s="8"/>
      <c r="T414" s="9"/>
      <c r="U414" s="9"/>
      <c r="Z414" s="9"/>
    </row>
    <row r="415" spans="7:26">
      <c r="G415" s="9"/>
      <c r="I415" s="6"/>
      <c r="K415" s="4"/>
      <c r="L415" s="6"/>
      <c r="M415" s="6"/>
      <c r="O415" s="3"/>
      <c r="P415" s="8"/>
      <c r="Q415" s="7"/>
      <c r="R415" s="7"/>
      <c r="S415" s="8"/>
      <c r="T415" s="9"/>
      <c r="U415" s="9"/>
      <c r="Z415" s="9"/>
    </row>
    <row r="416" spans="7:26">
      <c r="G416" s="9"/>
      <c r="I416" s="6"/>
      <c r="K416" s="4"/>
      <c r="L416" s="6"/>
      <c r="M416" s="6"/>
      <c r="O416" s="3"/>
      <c r="P416" s="8"/>
      <c r="Q416" s="7"/>
      <c r="R416" s="7"/>
      <c r="S416" s="8"/>
      <c r="T416" s="9"/>
      <c r="U416" s="9"/>
      <c r="Z416" s="9"/>
    </row>
    <row r="417" spans="7:26">
      <c r="G417" s="9"/>
      <c r="I417" s="6"/>
      <c r="K417" s="4"/>
      <c r="L417" s="6"/>
      <c r="M417" s="6"/>
      <c r="O417" s="3"/>
      <c r="P417" s="8"/>
      <c r="Q417" s="7"/>
      <c r="R417" s="7"/>
      <c r="S417" s="8"/>
      <c r="T417" s="9"/>
      <c r="U417" s="9"/>
      <c r="Z417" s="9"/>
    </row>
    <row r="418" spans="7:26">
      <c r="G418" s="9"/>
      <c r="I418" s="6"/>
      <c r="K418" s="4"/>
      <c r="L418" s="6"/>
      <c r="M418" s="6"/>
      <c r="O418" s="3"/>
      <c r="P418" s="8"/>
      <c r="Q418" s="7"/>
      <c r="R418" s="7"/>
      <c r="S418" s="8"/>
      <c r="T418" s="9"/>
      <c r="U418" s="9"/>
      <c r="Z418" s="9"/>
    </row>
    <row r="419" spans="7:26">
      <c r="G419" s="9"/>
      <c r="I419" s="6"/>
      <c r="K419" s="4"/>
      <c r="L419" s="6"/>
      <c r="M419" s="6"/>
      <c r="O419" s="3"/>
      <c r="P419" s="8"/>
      <c r="Q419" s="7"/>
      <c r="R419" s="7"/>
      <c r="S419" s="8"/>
      <c r="T419" s="9"/>
      <c r="U419" s="9"/>
      <c r="Z419" s="9"/>
    </row>
    <row r="420" spans="7:26">
      <c r="G420" s="9"/>
      <c r="I420" s="6"/>
      <c r="K420" s="4"/>
      <c r="L420" s="6"/>
      <c r="M420" s="6"/>
      <c r="O420" s="3"/>
      <c r="P420" s="8"/>
      <c r="Q420" s="7"/>
      <c r="R420" s="7"/>
      <c r="S420" s="8"/>
      <c r="T420" s="9"/>
      <c r="U420" s="9"/>
      <c r="Z420" s="9"/>
    </row>
    <row r="421" spans="7:26">
      <c r="G421" s="9"/>
      <c r="I421" s="6"/>
      <c r="K421" s="4"/>
      <c r="L421" s="6"/>
      <c r="M421" s="6"/>
      <c r="O421" s="3"/>
      <c r="P421" s="8"/>
      <c r="Q421" s="7"/>
      <c r="R421" s="7"/>
      <c r="S421" s="8"/>
      <c r="T421" s="9"/>
      <c r="U421" s="9"/>
      <c r="Z421" s="9"/>
    </row>
    <row r="422" spans="7:26">
      <c r="G422" s="9"/>
      <c r="I422" s="6"/>
      <c r="K422" s="4"/>
      <c r="L422" s="6"/>
      <c r="M422" s="6"/>
      <c r="O422" s="3"/>
      <c r="P422" s="8"/>
      <c r="Q422" s="7"/>
      <c r="R422" s="7"/>
      <c r="S422" s="8"/>
      <c r="T422" s="9"/>
      <c r="U422" s="9"/>
      <c r="Z422" s="9"/>
    </row>
    <row r="423" spans="7:26">
      <c r="H423" s="9"/>
      <c r="J423" s="6"/>
      <c r="L423" s="4"/>
      <c r="M423" s="6"/>
      <c r="N423" s="6"/>
      <c r="P423" s="3"/>
      <c r="Q423" s="8"/>
      <c r="R423" s="7"/>
      <c r="S423" s="7"/>
      <c r="T423" s="8"/>
      <c r="U423" s="9"/>
      <c r="V423" s="9"/>
    </row>
    <row r="424" spans="7:26">
      <c r="H424" s="9"/>
      <c r="J424" s="6"/>
      <c r="L424" s="4"/>
      <c r="M424" s="6"/>
      <c r="N424" s="6"/>
      <c r="P424" s="3"/>
      <c r="Q424" s="8"/>
      <c r="R424" s="7"/>
      <c r="S424" s="7"/>
      <c r="T424" s="8"/>
      <c r="U424" s="9"/>
      <c r="V424" s="9"/>
    </row>
    <row r="425" spans="7:26">
      <c r="H425" s="9"/>
      <c r="J425" s="6"/>
      <c r="L425" s="4"/>
      <c r="M425" s="6"/>
      <c r="N425" s="6"/>
      <c r="P425" s="3"/>
      <c r="Q425" s="8"/>
      <c r="R425" s="7"/>
      <c r="S425" s="7"/>
      <c r="T425" s="8"/>
      <c r="U425" s="9"/>
      <c r="V425" s="9"/>
    </row>
    <row r="426" spans="7:26">
      <c r="H426" s="9"/>
      <c r="J426" s="6"/>
      <c r="L426" s="4"/>
      <c r="M426" s="6"/>
      <c r="N426" s="6"/>
      <c r="P426" s="3"/>
      <c r="Q426" s="8"/>
      <c r="R426" s="7"/>
      <c r="S426" s="7"/>
      <c r="T426" s="8"/>
      <c r="U426" s="9"/>
      <c r="V426" s="9"/>
    </row>
    <row r="427" spans="7:26">
      <c r="H427" s="9"/>
      <c r="J427" s="6"/>
      <c r="L427" s="4"/>
      <c r="M427" s="6"/>
      <c r="N427" s="6"/>
      <c r="P427" s="3"/>
      <c r="Q427" s="8"/>
      <c r="R427" s="7"/>
      <c r="S427" s="7"/>
      <c r="T427" s="8"/>
      <c r="U427" s="9"/>
      <c r="V427" s="9"/>
    </row>
    <row r="428" spans="7:26">
      <c r="J428" s="6"/>
      <c r="L428" s="4"/>
      <c r="M428" s="6"/>
      <c r="N428" s="6"/>
      <c r="P428" s="3"/>
      <c r="Q428" s="8"/>
      <c r="R428" s="7"/>
      <c r="S428" s="7"/>
      <c r="T428" s="8"/>
      <c r="U428" s="9"/>
      <c r="V428" s="9"/>
    </row>
    <row r="429" spans="7:26">
      <c r="H429" s="9"/>
      <c r="J429" s="6"/>
      <c r="L429" s="4"/>
      <c r="M429" s="6"/>
      <c r="N429" s="6"/>
      <c r="P429" s="3"/>
      <c r="Q429" s="8"/>
      <c r="R429" s="7"/>
      <c r="S429" s="7"/>
      <c r="T429" s="8"/>
      <c r="U429" s="9"/>
      <c r="V429" s="9"/>
    </row>
    <row r="430" spans="7:26">
      <c r="H430" s="9"/>
      <c r="J430" s="6"/>
      <c r="L430" s="4"/>
      <c r="M430" s="6"/>
      <c r="N430" s="6"/>
      <c r="P430" s="3"/>
      <c r="Q430" s="8"/>
      <c r="R430" s="7"/>
      <c r="S430" s="7"/>
      <c r="T430" s="8"/>
      <c r="U430" s="9"/>
      <c r="V430" s="9"/>
    </row>
    <row r="431" spans="7:26">
      <c r="H431" s="9"/>
      <c r="J431" s="6"/>
      <c r="L431" s="4"/>
      <c r="M431" s="6"/>
      <c r="N431" s="6"/>
      <c r="P431" s="3"/>
      <c r="Q431" s="8"/>
      <c r="R431" s="7"/>
      <c r="S431" s="7"/>
      <c r="T431" s="8"/>
      <c r="U431" s="9"/>
      <c r="V431" s="9"/>
    </row>
    <row r="432" spans="7:26">
      <c r="H432" s="9"/>
      <c r="J432" s="6"/>
      <c r="L432" s="4"/>
      <c r="M432" s="6"/>
      <c r="N432" s="6"/>
      <c r="P432" s="3"/>
      <c r="Q432" s="8"/>
      <c r="R432" s="7"/>
      <c r="S432" s="7"/>
      <c r="T432" s="8"/>
      <c r="U432" s="9"/>
      <c r="V432" s="9"/>
    </row>
    <row r="433" spans="4:21">
      <c r="D433" s="9"/>
      <c r="H433" s="9"/>
      <c r="J433" s="6"/>
      <c r="L433" s="4"/>
      <c r="M433" s="6"/>
      <c r="N433" s="6"/>
      <c r="P433" s="3"/>
      <c r="Q433" s="8"/>
      <c r="R433" s="9"/>
      <c r="S433" s="9"/>
      <c r="T433" s="8"/>
      <c r="U433" s="9"/>
    </row>
    <row r="434" spans="4:21">
      <c r="D434" s="9"/>
      <c r="H434" s="9"/>
      <c r="J434" s="6"/>
      <c r="L434" s="4"/>
      <c r="M434" s="6"/>
      <c r="N434" s="6"/>
      <c r="P434" s="3"/>
      <c r="Q434" s="8"/>
      <c r="R434" s="9"/>
      <c r="S434" s="9"/>
      <c r="T434" s="8"/>
      <c r="U434" s="9"/>
    </row>
    <row r="435" spans="4:21">
      <c r="D435" s="9"/>
      <c r="H435" s="9"/>
      <c r="J435" s="6"/>
      <c r="L435" s="4"/>
      <c r="M435" s="6"/>
      <c r="N435" s="6"/>
      <c r="P435" s="3"/>
      <c r="Q435" s="8"/>
      <c r="R435" s="9"/>
      <c r="S435" s="9"/>
      <c r="T435" s="8"/>
      <c r="U435" s="9"/>
    </row>
    <row r="436" spans="4:21">
      <c r="D436" s="9"/>
      <c r="H436" s="9"/>
      <c r="J436" s="6"/>
      <c r="L436" s="4"/>
      <c r="M436" s="6"/>
      <c r="N436" s="6"/>
      <c r="P436" s="3"/>
      <c r="Q436" s="8"/>
      <c r="R436" s="9"/>
      <c r="S436" s="9"/>
      <c r="T436" s="8"/>
      <c r="U436" s="9"/>
    </row>
    <row r="437" spans="4:21">
      <c r="D437" s="9"/>
      <c r="H437" s="9"/>
      <c r="J437" s="6"/>
      <c r="L437" s="4"/>
      <c r="M437" s="6"/>
      <c r="N437" s="6"/>
      <c r="P437" s="3"/>
      <c r="Q437" s="8"/>
      <c r="R437" s="9"/>
      <c r="S437" s="9"/>
      <c r="T437" s="8"/>
      <c r="U437" s="9"/>
    </row>
    <row r="438" spans="4:21">
      <c r="D438" s="9"/>
      <c r="H438" s="9"/>
      <c r="J438" s="6"/>
      <c r="L438" s="4"/>
      <c r="M438" s="6"/>
      <c r="N438" s="6"/>
      <c r="P438" s="3"/>
      <c r="Q438" s="8"/>
      <c r="R438" s="9"/>
      <c r="S438" s="9"/>
      <c r="T438" s="8"/>
      <c r="U438" s="9"/>
    </row>
    <row r="439" spans="4:21">
      <c r="D439" s="9"/>
      <c r="H439" s="9"/>
      <c r="J439" s="6"/>
      <c r="L439" s="4"/>
      <c r="M439" s="6"/>
      <c r="N439" s="6"/>
      <c r="P439" s="3"/>
      <c r="Q439" s="8"/>
      <c r="R439" s="9"/>
      <c r="S439" s="9"/>
      <c r="T439" s="8"/>
      <c r="U439" s="9"/>
    </row>
    <row r="440" spans="4:21">
      <c r="D440" s="9"/>
      <c r="H440" s="9"/>
      <c r="J440" s="6"/>
      <c r="L440" s="4"/>
      <c r="M440" s="6"/>
      <c r="N440" s="6"/>
      <c r="P440" s="3"/>
      <c r="Q440" s="8"/>
      <c r="R440" s="9"/>
      <c r="S440" s="9"/>
      <c r="T440" s="8"/>
      <c r="U440" s="9"/>
    </row>
    <row r="441" spans="4:21">
      <c r="D441" s="9"/>
      <c r="H441" s="9"/>
      <c r="J441" s="6"/>
      <c r="L441" s="4"/>
      <c r="M441" s="6"/>
      <c r="N441" s="6"/>
      <c r="P441" s="3"/>
      <c r="Q441" s="8"/>
      <c r="R441" s="9"/>
      <c r="S441" s="9"/>
      <c r="T441" s="8"/>
      <c r="U441" s="9"/>
    </row>
    <row r="442" spans="4:21">
      <c r="D442" s="9"/>
      <c r="H442" s="9"/>
      <c r="J442" s="6"/>
      <c r="L442" s="4"/>
      <c r="M442" s="6"/>
      <c r="N442" s="6"/>
      <c r="P442" s="3"/>
      <c r="Q442" s="8"/>
      <c r="R442" s="9"/>
      <c r="S442" s="9"/>
      <c r="T442" s="8"/>
      <c r="U442" s="9"/>
    </row>
    <row r="443" spans="4:21">
      <c r="D443" s="9"/>
      <c r="H443" s="9"/>
      <c r="J443" s="6"/>
      <c r="L443" s="4"/>
      <c r="M443" s="6"/>
      <c r="N443" s="6"/>
      <c r="P443" s="3"/>
      <c r="Q443" s="8"/>
      <c r="R443" s="9"/>
      <c r="S443" s="9"/>
      <c r="T443" s="8"/>
      <c r="U443" s="9"/>
    </row>
    <row r="444" spans="4:21">
      <c r="D444" s="9"/>
      <c r="H444" s="9"/>
      <c r="J444" s="6"/>
      <c r="L444" s="4"/>
      <c r="M444" s="6"/>
      <c r="N444" s="6"/>
      <c r="P444" s="3"/>
      <c r="Q444" s="8"/>
      <c r="R444" s="9"/>
      <c r="S444" s="9"/>
      <c r="T444" s="8"/>
      <c r="U444" s="9"/>
    </row>
    <row r="445" spans="4:21">
      <c r="D445" s="9"/>
      <c r="H445" s="9"/>
      <c r="J445" s="6"/>
      <c r="L445" s="4"/>
      <c r="M445" s="6"/>
      <c r="N445" s="6"/>
      <c r="P445" s="3"/>
      <c r="Q445" s="8"/>
      <c r="R445" s="9"/>
      <c r="S445" s="9"/>
      <c r="T445" s="8"/>
      <c r="U445" s="9"/>
    </row>
    <row r="446" spans="4:21">
      <c r="D446" s="9"/>
      <c r="H446" s="9"/>
      <c r="J446" s="6"/>
      <c r="L446" s="4"/>
      <c r="M446" s="6"/>
      <c r="N446" s="6"/>
      <c r="P446" s="3"/>
      <c r="Q446" s="8"/>
      <c r="R446" s="9"/>
      <c r="S446" s="9"/>
      <c r="T446" s="8"/>
      <c r="U446" s="9"/>
    </row>
    <row r="447" spans="4:21">
      <c r="D447" s="9"/>
      <c r="H447" s="9"/>
      <c r="J447" s="6"/>
      <c r="L447" s="4"/>
      <c r="M447" s="6"/>
      <c r="N447" s="6"/>
      <c r="P447" s="3"/>
      <c r="Q447" s="8"/>
      <c r="R447" s="9"/>
      <c r="S447" s="9"/>
      <c r="T447" s="8"/>
      <c r="U447" s="9"/>
    </row>
    <row r="448" spans="4:21">
      <c r="D448" s="9"/>
      <c r="H448" s="9"/>
      <c r="J448" s="6"/>
      <c r="L448" s="4"/>
      <c r="M448" s="6"/>
      <c r="N448" s="6"/>
      <c r="P448" s="3"/>
      <c r="Q448" s="8"/>
      <c r="R448" s="9"/>
      <c r="S448" s="9"/>
      <c r="T448" s="8"/>
      <c r="U448" s="9"/>
    </row>
    <row r="449" spans="4:21">
      <c r="D449" s="9"/>
      <c r="H449" s="9"/>
      <c r="J449" s="6"/>
      <c r="L449" s="4"/>
      <c r="M449" s="6"/>
      <c r="N449" s="6"/>
      <c r="P449" s="3"/>
      <c r="Q449" s="8"/>
      <c r="R449" s="9"/>
      <c r="S449" s="9"/>
      <c r="T449" s="8"/>
      <c r="U449" s="9"/>
    </row>
    <row r="450" spans="4:21">
      <c r="D450" s="9"/>
      <c r="H450" s="9"/>
      <c r="J450" s="6"/>
      <c r="L450" s="4"/>
      <c r="M450" s="6"/>
      <c r="N450" s="6"/>
      <c r="P450" s="3"/>
      <c r="Q450" s="8"/>
      <c r="R450" s="9"/>
      <c r="S450" s="9"/>
      <c r="T450" s="8"/>
      <c r="U450" s="9"/>
    </row>
    <row r="451" spans="4:21">
      <c r="D451" s="9"/>
      <c r="H451" s="9"/>
      <c r="J451" s="6"/>
      <c r="L451" s="4"/>
      <c r="M451" s="6"/>
      <c r="N451" s="6"/>
      <c r="P451" s="3"/>
      <c r="Q451" s="8"/>
      <c r="R451" s="9"/>
      <c r="S451" s="9"/>
      <c r="T451" s="8"/>
      <c r="U451" s="9"/>
    </row>
    <row r="452" spans="4:21">
      <c r="D452" s="9"/>
      <c r="H452" s="9"/>
      <c r="J452" s="6"/>
      <c r="L452" s="4"/>
      <c r="M452" s="6"/>
      <c r="N452" s="6"/>
      <c r="P452" s="3"/>
      <c r="Q452" s="8"/>
      <c r="R452" s="9"/>
      <c r="S452" s="9"/>
      <c r="T452" s="8"/>
      <c r="U452" s="9"/>
    </row>
    <row r="453" spans="4:21">
      <c r="D453" s="9"/>
      <c r="H453" s="9"/>
      <c r="J453" s="6"/>
      <c r="L453" s="4"/>
      <c r="M453" s="6"/>
      <c r="N453" s="6"/>
      <c r="P453" s="3"/>
      <c r="Q453" s="8"/>
      <c r="R453" s="9"/>
      <c r="S453" s="9"/>
      <c r="T453" s="8"/>
      <c r="U453" s="9"/>
    </row>
    <row r="454" spans="4:21">
      <c r="D454" s="9"/>
      <c r="H454" s="9"/>
      <c r="J454" s="6"/>
      <c r="L454" s="4"/>
      <c r="M454" s="6"/>
      <c r="N454" s="6"/>
      <c r="P454" s="3"/>
      <c r="Q454" s="8"/>
      <c r="R454" s="9"/>
      <c r="S454" s="9"/>
      <c r="T454" s="8"/>
      <c r="U454" s="9"/>
    </row>
    <row r="455" spans="4:21">
      <c r="D455" s="9"/>
      <c r="H455" s="9"/>
      <c r="J455" s="6"/>
      <c r="L455" s="4"/>
      <c r="M455" s="6"/>
      <c r="N455" s="6"/>
      <c r="P455" s="3"/>
      <c r="Q455" s="8"/>
      <c r="R455" s="9"/>
      <c r="S455" s="9"/>
      <c r="T455" s="8"/>
      <c r="U455" s="9"/>
    </row>
    <row r="456" spans="4:21">
      <c r="D456" s="9"/>
      <c r="H456" s="9"/>
      <c r="J456" s="6"/>
      <c r="L456" s="4"/>
      <c r="M456" s="6"/>
      <c r="N456" s="6"/>
      <c r="P456" s="3"/>
      <c r="Q456" s="8"/>
      <c r="R456" s="9"/>
      <c r="S456" s="9"/>
      <c r="T456" s="8"/>
      <c r="U456" s="9"/>
    </row>
    <row r="457" spans="4:21">
      <c r="D457" s="9"/>
      <c r="H457" s="9"/>
      <c r="J457" s="6"/>
      <c r="L457" s="4"/>
      <c r="M457" s="6"/>
      <c r="N457" s="6"/>
      <c r="P457" s="3"/>
      <c r="Q457" s="8"/>
      <c r="R457" s="9"/>
      <c r="S457" s="9"/>
      <c r="T457" s="8"/>
      <c r="U457" s="9"/>
    </row>
    <row r="458" spans="4:21">
      <c r="D458" s="9"/>
      <c r="H458" s="9"/>
      <c r="J458" s="6"/>
      <c r="L458" s="4"/>
      <c r="M458" s="6"/>
      <c r="N458" s="6"/>
      <c r="P458" s="3"/>
      <c r="Q458" s="8"/>
      <c r="R458" s="9"/>
      <c r="S458" s="9"/>
      <c r="T458" s="8"/>
      <c r="U458" s="9"/>
    </row>
    <row r="459" spans="4:21">
      <c r="D459" s="9"/>
      <c r="H459" s="9"/>
      <c r="J459" s="6"/>
      <c r="L459" s="4"/>
      <c r="M459" s="6"/>
      <c r="N459" s="6"/>
      <c r="P459" s="3"/>
      <c r="Q459" s="8"/>
      <c r="R459" s="9"/>
      <c r="S459" s="9"/>
      <c r="T459" s="8"/>
      <c r="U459" s="9"/>
    </row>
    <row r="460" spans="4:21">
      <c r="D460" s="9"/>
      <c r="H460" s="9"/>
      <c r="J460" s="6"/>
      <c r="L460" s="4"/>
      <c r="M460" s="6"/>
      <c r="N460" s="6"/>
      <c r="P460" s="3"/>
      <c r="Q460" s="8"/>
      <c r="R460" s="9"/>
      <c r="S460" s="9"/>
      <c r="T460" s="8"/>
      <c r="U460" s="9"/>
    </row>
    <row r="461" spans="4:21">
      <c r="D461" s="9"/>
      <c r="H461" s="9"/>
      <c r="J461" s="6"/>
      <c r="L461" s="4"/>
      <c r="M461" s="6"/>
      <c r="N461" s="6"/>
      <c r="P461" s="3"/>
      <c r="Q461" s="8"/>
      <c r="R461" s="9"/>
      <c r="S461" s="9"/>
      <c r="T461" s="8"/>
      <c r="U461" s="9"/>
    </row>
    <row r="462" spans="4:21">
      <c r="D462" s="9"/>
      <c r="H462" s="9"/>
      <c r="J462" s="6"/>
      <c r="L462" s="4"/>
      <c r="M462" s="6"/>
      <c r="N462" s="6"/>
      <c r="P462" s="3"/>
      <c r="Q462" s="8"/>
      <c r="R462" s="9"/>
      <c r="S462" s="9"/>
      <c r="T462" s="8"/>
      <c r="U462" s="9"/>
    </row>
    <row r="463" spans="4:21">
      <c r="D463" s="9"/>
      <c r="H463" s="9"/>
      <c r="J463" s="6"/>
      <c r="L463" s="4"/>
      <c r="M463" s="6"/>
      <c r="N463" s="6"/>
      <c r="P463" s="3"/>
      <c r="Q463" s="8"/>
      <c r="R463" s="9"/>
      <c r="S463" s="9"/>
      <c r="T463" s="8"/>
      <c r="U463" s="9"/>
    </row>
    <row r="464" spans="4:21">
      <c r="D464" s="9"/>
      <c r="H464" s="9"/>
      <c r="J464" s="6"/>
      <c r="L464" s="4"/>
      <c r="M464" s="6"/>
      <c r="N464" s="6"/>
      <c r="P464" s="3"/>
      <c r="Q464" s="8"/>
      <c r="R464" s="9"/>
      <c r="S464" s="9"/>
      <c r="T464" s="8"/>
      <c r="U464" s="9"/>
    </row>
    <row r="465" spans="4:21">
      <c r="D465" s="9"/>
      <c r="H465" s="9"/>
      <c r="J465" s="6"/>
      <c r="L465" s="4"/>
      <c r="M465" s="6"/>
      <c r="N465" s="6"/>
      <c r="P465" s="3"/>
      <c r="Q465" s="8"/>
      <c r="R465" s="9"/>
      <c r="S465" s="9"/>
      <c r="T465" s="8"/>
      <c r="U465" s="9"/>
    </row>
    <row r="466" spans="4:21">
      <c r="D466" s="9"/>
      <c r="H466" s="9"/>
      <c r="J466" s="6"/>
      <c r="L466" s="4"/>
      <c r="M466" s="6"/>
      <c r="N466" s="6"/>
      <c r="P466" s="3"/>
      <c r="Q466" s="8"/>
      <c r="R466" s="9"/>
      <c r="S466" s="9"/>
      <c r="T466" s="8"/>
      <c r="U466" s="9"/>
    </row>
    <row r="467" spans="4:21">
      <c r="D467" s="9"/>
      <c r="H467" s="9"/>
      <c r="J467" s="6"/>
      <c r="L467" s="4"/>
      <c r="M467" s="6"/>
      <c r="N467" s="6"/>
      <c r="P467" s="3"/>
      <c r="Q467" s="8"/>
      <c r="R467" s="9"/>
      <c r="S467" s="9"/>
      <c r="T467" s="8"/>
      <c r="U467" s="9"/>
    </row>
    <row r="468" spans="4:21">
      <c r="D468" s="9"/>
      <c r="H468" s="9"/>
      <c r="J468" s="6"/>
      <c r="L468" s="4"/>
      <c r="M468" s="6"/>
      <c r="N468" s="6"/>
      <c r="P468" s="3"/>
      <c r="Q468" s="8"/>
      <c r="R468" s="9"/>
      <c r="S468" s="9"/>
      <c r="T468" s="8"/>
      <c r="U468" s="9"/>
    </row>
    <row r="469" spans="4:21">
      <c r="D469" s="9"/>
      <c r="H469" s="9"/>
      <c r="J469" s="6"/>
      <c r="L469" s="4"/>
      <c r="M469" s="6"/>
      <c r="N469" s="6"/>
      <c r="P469" s="3"/>
      <c r="Q469" s="8"/>
      <c r="R469" s="9"/>
      <c r="S469" s="9"/>
      <c r="T469" s="8"/>
      <c r="U469" s="9"/>
    </row>
    <row r="470" spans="4:21">
      <c r="D470" s="9"/>
      <c r="H470" s="9"/>
      <c r="J470" s="6"/>
      <c r="L470" s="4"/>
      <c r="M470" s="6"/>
      <c r="N470" s="6"/>
      <c r="P470" s="3"/>
      <c r="Q470" s="8"/>
      <c r="R470" s="9"/>
      <c r="S470" s="9"/>
      <c r="T470" s="8"/>
      <c r="U470" s="9"/>
    </row>
    <row r="471" spans="4:21">
      <c r="D471" s="9"/>
      <c r="H471" s="9"/>
      <c r="J471" s="6"/>
      <c r="L471" s="4"/>
      <c r="M471" s="6"/>
      <c r="N471" s="6"/>
      <c r="P471" s="3"/>
      <c r="Q471" s="8"/>
      <c r="R471" s="9"/>
      <c r="S471" s="9"/>
      <c r="T471" s="8"/>
      <c r="U471" s="9"/>
    </row>
    <row r="472" spans="4:21">
      <c r="D472" s="9"/>
      <c r="H472" s="9"/>
      <c r="J472" s="6"/>
      <c r="L472" s="4"/>
      <c r="M472" s="6"/>
      <c r="N472" s="6"/>
      <c r="P472" s="3"/>
      <c r="Q472" s="8"/>
      <c r="R472" s="9"/>
      <c r="S472" s="9"/>
      <c r="T472" s="8"/>
      <c r="U472" s="9"/>
    </row>
    <row r="473" spans="4:21">
      <c r="D473" s="9"/>
      <c r="H473" s="9"/>
      <c r="J473" s="6"/>
      <c r="L473" s="4"/>
      <c r="M473" s="6"/>
      <c r="N473" s="6"/>
      <c r="P473" s="3"/>
      <c r="Q473" s="8"/>
      <c r="R473" s="9"/>
      <c r="S473" s="9"/>
      <c r="T473" s="8"/>
      <c r="U473" s="9"/>
    </row>
    <row r="474" spans="4:21">
      <c r="D474" s="9"/>
      <c r="H474" s="9"/>
      <c r="J474" s="6"/>
      <c r="L474" s="4"/>
      <c r="M474" s="6"/>
      <c r="N474" s="6"/>
      <c r="P474" s="3"/>
      <c r="Q474" s="8"/>
      <c r="R474" s="9"/>
      <c r="S474" s="9"/>
      <c r="T474" s="8"/>
      <c r="U474" s="9"/>
    </row>
    <row r="475" spans="4:21">
      <c r="D475" s="9"/>
      <c r="H475" s="9"/>
      <c r="J475" s="6"/>
      <c r="L475" s="4"/>
      <c r="M475" s="6"/>
      <c r="N475" s="6"/>
      <c r="P475" s="3"/>
      <c r="Q475" s="8"/>
      <c r="R475" s="9"/>
      <c r="S475" s="9"/>
      <c r="T475" s="8"/>
      <c r="U475" s="9"/>
    </row>
    <row r="476" spans="4:21">
      <c r="D476" s="9"/>
      <c r="H476" s="9"/>
      <c r="J476" s="6"/>
      <c r="L476" s="4"/>
      <c r="M476" s="6"/>
      <c r="N476" s="6"/>
      <c r="P476" s="3"/>
      <c r="Q476" s="8"/>
      <c r="R476" s="9"/>
      <c r="S476" s="9"/>
      <c r="T476" s="8"/>
      <c r="U476" s="9"/>
    </row>
    <row r="477" spans="4:21">
      <c r="D477" s="9"/>
      <c r="H477" s="9"/>
      <c r="J477" s="6"/>
      <c r="L477" s="4"/>
      <c r="M477" s="6"/>
      <c r="N477" s="6"/>
      <c r="P477" s="3"/>
      <c r="Q477" s="8"/>
      <c r="R477" s="9"/>
      <c r="S477" s="9"/>
      <c r="T477" s="8"/>
      <c r="U477" s="9"/>
    </row>
    <row r="478" spans="4:21">
      <c r="D478" s="9"/>
      <c r="H478" s="9"/>
      <c r="J478" s="6"/>
      <c r="L478" s="4"/>
      <c r="M478" s="6"/>
      <c r="N478" s="6"/>
      <c r="P478" s="3"/>
      <c r="Q478" s="8"/>
      <c r="R478" s="9"/>
      <c r="S478" s="9"/>
      <c r="T478" s="8"/>
      <c r="U478" s="9"/>
    </row>
    <row r="479" spans="4:21">
      <c r="D479" s="9"/>
      <c r="H479" s="9"/>
      <c r="J479" s="6"/>
      <c r="L479" s="4"/>
      <c r="M479" s="6"/>
      <c r="N479" s="6"/>
      <c r="P479" s="3"/>
      <c r="Q479" s="8"/>
      <c r="R479" s="9"/>
      <c r="S479" s="9"/>
      <c r="T479" s="8"/>
      <c r="U479" s="9"/>
    </row>
    <row r="480" spans="4:21">
      <c r="D480" s="9"/>
      <c r="H480" s="9"/>
      <c r="J480" s="6"/>
      <c r="L480" s="4"/>
      <c r="M480" s="6"/>
      <c r="N480" s="6"/>
      <c r="P480" s="3"/>
      <c r="Q480" s="8"/>
      <c r="R480" s="9"/>
      <c r="S480" s="9"/>
      <c r="T480" s="8"/>
      <c r="U480" s="9"/>
    </row>
    <row r="481" spans="4:21">
      <c r="D481" s="9"/>
      <c r="H481" s="9"/>
      <c r="J481" s="6"/>
      <c r="L481" s="4"/>
      <c r="M481" s="6"/>
      <c r="N481" s="6"/>
      <c r="P481" s="3"/>
      <c r="Q481" s="8"/>
      <c r="R481" s="9"/>
      <c r="S481" s="9"/>
      <c r="T481" s="8"/>
      <c r="U481" s="9"/>
    </row>
    <row r="482" spans="4:21">
      <c r="D482" s="9"/>
      <c r="H482" s="9"/>
      <c r="J482" s="6"/>
      <c r="L482" s="4"/>
      <c r="M482" s="6"/>
      <c r="N482" s="6"/>
      <c r="P482" s="3"/>
      <c r="Q482" s="8"/>
      <c r="R482" s="9"/>
      <c r="S482" s="9"/>
      <c r="T482" s="8"/>
      <c r="U482" s="9"/>
    </row>
    <row r="483" spans="4:21">
      <c r="D483" s="9"/>
      <c r="H483" s="9"/>
      <c r="J483" s="6"/>
      <c r="L483" s="4"/>
      <c r="M483" s="6"/>
      <c r="N483" s="6"/>
      <c r="P483" s="3"/>
      <c r="Q483" s="8"/>
      <c r="R483" s="9"/>
      <c r="S483" s="9"/>
      <c r="T483" s="8"/>
      <c r="U483" s="9"/>
    </row>
    <row r="484" spans="4:21">
      <c r="D484" s="9"/>
      <c r="H484" s="9"/>
      <c r="J484" s="6"/>
      <c r="L484" s="4"/>
      <c r="M484" s="6"/>
      <c r="N484" s="6"/>
      <c r="P484" s="3"/>
      <c r="Q484" s="8"/>
      <c r="R484" s="9"/>
      <c r="S484" s="9"/>
      <c r="T484" s="8"/>
      <c r="U484" s="9"/>
    </row>
    <row r="485" spans="4:21">
      <c r="D485" s="9"/>
      <c r="H485" s="9"/>
      <c r="J485" s="6"/>
      <c r="L485" s="4"/>
      <c r="M485" s="6"/>
      <c r="N485" s="6"/>
      <c r="P485" s="3"/>
      <c r="Q485" s="8"/>
      <c r="R485" s="9"/>
      <c r="S485" s="9"/>
      <c r="T485" s="8"/>
      <c r="U485" s="9"/>
    </row>
    <row r="486" spans="4:21">
      <c r="D486" s="9"/>
      <c r="H486" s="9"/>
      <c r="J486" s="6"/>
      <c r="L486" s="4"/>
      <c r="M486" s="6"/>
      <c r="N486" s="6"/>
      <c r="P486" s="3"/>
      <c r="Q486" s="8"/>
      <c r="R486" s="9"/>
      <c r="S486" s="9"/>
      <c r="T486" s="8"/>
      <c r="U486" s="9"/>
    </row>
    <row r="487" spans="4:21">
      <c r="D487" s="9"/>
      <c r="H487" s="9"/>
      <c r="J487" s="6"/>
      <c r="L487" s="4"/>
      <c r="M487" s="6"/>
      <c r="N487" s="6"/>
      <c r="P487" s="3"/>
      <c r="Q487" s="8"/>
      <c r="R487" s="9"/>
      <c r="S487" s="9"/>
      <c r="T487" s="8"/>
      <c r="U487" s="9"/>
    </row>
    <row r="488" spans="4:21">
      <c r="D488" s="9"/>
      <c r="H488" s="9"/>
      <c r="J488" s="6"/>
      <c r="L488" s="4"/>
      <c r="M488" s="6"/>
      <c r="N488" s="6"/>
      <c r="P488" s="3"/>
      <c r="Q488" s="8"/>
      <c r="R488" s="9"/>
      <c r="S488" s="9"/>
      <c r="T488" s="8"/>
      <c r="U488" s="9"/>
    </row>
    <row r="489" spans="4:21">
      <c r="D489" s="9"/>
      <c r="H489" s="9"/>
      <c r="J489" s="6"/>
      <c r="L489" s="4"/>
      <c r="M489" s="6"/>
      <c r="N489" s="6"/>
      <c r="P489" s="3"/>
      <c r="Q489" s="8"/>
      <c r="R489" s="9"/>
      <c r="S489" s="9"/>
      <c r="T489" s="8"/>
      <c r="U489" s="9"/>
    </row>
    <row r="490" spans="4:21">
      <c r="D490" s="9"/>
      <c r="H490" s="9"/>
      <c r="J490" s="6"/>
      <c r="L490" s="4"/>
      <c r="M490" s="6"/>
      <c r="N490" s="6"/>
      <c r="P490" s="3"/>
      <c r="Q490" s="8"/>
      <c r="R490" s="9"/>
      <c r="S490" s="9"/>
      <c r="T490" s="8"/>
      <c r="U490" s="9"/>
    </row>
    <row r="491" spans="4:21">
      <c r="D491" s="9"/>
      <c r="H491" s="9"/>
      <c r="J491" s="6"/>
      <c r="L491" s="4"/>
      <c r="M491" s="6"/>
      <c r="N491" s="6"/>
      <c r="P491" s="3"/>
      <c r="Q491" s="8"/>
      <c r="R491" s="9"/>
      <c r="S491" s="9"/>
      <c r="T491" s="8"/>
      <c r="U491" s="9"/>
    </row>
    <row r="492" spans="4:21">
      <c r="D492" s="9"/>
      <c r="H492" s="9"/>
      <c r="J492" s="6"/>
      <c r="L492" s="4"/>
      <c r="M492" s="6"/>
      <c r="N492" s="6"/>
      <c r="P492" s="3"/>
      <c r="Q492" s="8"/>
      <c r="R492" s="9"/>
      <c r="S492" s="9"/>
      <c r="T492" s="8"/>
      <c r="U492" s="9"/>
    </row>
    <row r="493" spans="4:21">
      <c r="D493" s="9"/>
      <c r="H493" s="9"/>
      <c r="J493" s="6"/>
      <c r="L493" s="4"/>
      <c r="M493" s="6"/>
      <c r="N493" s="6"/>
      <c r="P493" s="3"/>
      <c r="Q493" s="8"/>
      <c r="R493" s="9"/>
      <c r="S493" s="9"/>
      <c r="T493" s="8"/>
      <c r="U493" s="9"/>
    </row>
    <row r="494" spans="4:21">
      <c r="D494" s="9"/>
      <c r="H494" s="9"/>
      <c r="J494" s="6"/>
      <c r="L494" s="4"/>
      <c r="M494" s="6"/>
      <c r="N494" s="6"/>
      <c r="P494" s="3"/>
      <c r="Q494" s="8"/>
      <c r="R494" s="9"/>
      <c r="S494" s="9"/>
      <c r="T494" s="8"/>
      <c r="U494" s="9"/>
    </row>
    <row r="495" spans="4:21">
      <c r="D495" s="9"/>
      <c r="H495" s="9"/>
      <c r="J495" s="6"/>
      <c r="L495" s="4"/>
      <c r="M495" s="6"/>
      <c r="N495" s="6"/>
      <c r="P495" s="3"/>
      <c r="Q495" s="8"/>
      <c r="R495" s="9"/>
      <c r="S495" s="9"/>
      <c r="T495" s="8"/>
      <c r="U495" s="9"/>
    </row>
    <row r="496" spans="4:21">
      <c r="D496" s="9"/>
      <c r="H496" s="9"/>
      <c r="J496" s="6"/>
      <c r="L496" s="4"/>
      <c r="M496" s="6"/>
      <c r="N496" s="6"/>
      <c r="P496" s="3"/>
      <c r="Q496" s="8"/>
      <c r="R496" s="9"/>
      <c r="S496" s="9"/>
      <c r="T496" s="8"/>
      <c r="U496" s="9"/>
    </row>
    <row r="497" spans="4:21">
      <c r="D497" s="9"/>
      <c r="H497" s="9"/>
      <c r="J497" s="6"/>
      <c r="L497" s="4"/>
      <c r="M497" s="6"/>
      <c r="N497" s="6"/>
      <c r="P497" s="3"/>
      <c r="Q497" s="8"/>
      <c r="R497" s="9"/>
      <c r="S497" s="9"/>
      <c r="T497" s="8"/>
      <c r="U497" s="9"/>
    </row>
    <row r="498" spans="4:21">
      <c r="D498" s="9"/>
      <c r="H498" s="9"/>
      <c r="J498" s="6"/>
      <c r="L498" s="4"/>
      <c r="M498" s="6"/>
      <c r="N498" s="6"/>
      <c r="P498" s="3"/>
      <c r="Q498" s="8"/>
      <c r="R498" s="9"/>
      <c r="S498" s="9"/>
      <c r="T498" s="8"/>
      <c r="U498" s="9"/>
    </row>
    <row r="499" spans="4:21">
      <c r="D499" s="9"/>
      <c r="H499" s="9"/>
      <c r="J499" s="6"/>
      <c r="L499" s="4"/>
      <c r="M499" s="6"/>
      <c r="N499" s="6"/>
      <c r="P499" s="3"/>
      <c r="Q499" s="8"/>
      <c r="R499" s="9"/>
      <c r="S499" s="9"/>
      <c r="T499" s="8"/>
      <c r="U499" s="9"/>
    </row>
    <row r="500" spans="4:21">
      <c r="D500" s="9"/>
      <c r="H500" s="9"/>
      <c r="J500" s="6"/>
      <c r="L500" s="4"/>
      <c r="M500" s="6"/>
      <c r="N500" s="6"/>
      <c r="P500" s="3"/>
      <c r="Q500" s="8"/>
      <c r="R500" s="9"/>
      <c r="S500" s="9"/>
      <c r="T500" s="8"/>
      <c r="U500" s="9"/>
    </row>
    <row r="501" spans="4:21">
      <c r="D501" s="9"/>
      <c r="H501" s="9"/>
      <c r="J501" s="6"/>
      <c r="L501" s="4"/>
      <c r="M501" s="6"/>
      <c r="N501" s="6"/>
      <c r="P501" s="3"/>
      <c r="Q501" s="8"/>
      <c r="R501" s="9"/>
      <c r="S501" s="9"/>
      <c r="T501" s="8"/>
      <c r="U501" s="9"/>
    </row>
    <row r="502" spans="4:21">
      <c r="D502" s="9"/>
      <c r="H502" s="9"/>
      <c r="J502" s="6"/>
      <c r="L502" s="4"/>
      <c r="M502" s="6"/>
      <c r="N502" s="6"/>
      <c r="P502" s="3"/>
      <c r="Q502" s="8"/>
      <c r="R502" s="9"/>
      <c r="S502" s="9"/>
      <c r="T502" s="8"/>
      <c r="U502" s="9"/>
    </row>
    <row r="503" spans="4:21">
      <c r="D503" s="9"/>
      <c r="H503" s="9"/>
      <c r="J503" s="6"/>
      <c r="L503" s="4"/>
      <c r="M503" s="6"/>
      <c r="N503" s="6"/>
      <c r="P503" s="3"/>
      <c r="Q503" s="8"/>
      <c r="R503" s="9"/>
      <c r="S503" s="9"/>
      <c r="T503" s="8"/>
      <c r="U503" s="9"/>
    </row>
    <row r="504" spans="4:21">
      <c r="D504" s="9"/>
      <c r="H504" s="9"/>
      <c r="J504" s="6"/>
      <c r="L504" s="4"/>
      <c r="M504" s="6"/>
      <c r="N504" s="6"/>
      <c r="P504" s="3"/>
      <c r="Q504" s="8"/>
      <c r="R504" s="9"/>
      <c r="S504" s="9"/>
      <c r="T504" s="8"/>
      <c r="U504" s="9"/>
    </row>
    <row r="505" spans="4:21">
      <c r="D505" s="9"/>
      <c r="H505" s="9"/>
      <c r="J505" s="6"/>
      <c r="L505" s="4"/>
      <c r="M505" s="6"/>
      <c r="N505" s="6"/>
      <c r="P505" s="3"/>
      <c r="Q505" s="8"/>
      <c r="R505" s="9"/>
      <c r="S505" s="9"/>
      <c r="T505" s="8"/>
      <c r="U505" s="9"/>
    </row>
  </sheetData>
  <sortState xmlns:xlrd2="http://schemas.microsoft.com/office/spreadsheetml/2017/richdata2" ref="A2:A1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621F-30AC-8D49-9BB1-78D768A7A5BE}">
  <dimension ref="A1:AA66"/>
  <sheetViews>
    <sheetView workbookViewId="0">
      <selection activeCell="N33" sqref="N33"/>
    </sheetView>
  </sheetViews>
  <sheetFormatPr baseColWidth="10" defaultRowHeight="16"/>
  <cols>
    <col min="2" max="2" width="15.83203125" customWidth="1"/>
    <col min="3" max="3" width="10.1640625" customWidth="1"/>
    <col min="4" max="4" width="6.5" customWidth="1"/>
    <col min="5" max="5" width="7.83203125" customWidth="1"/>
    <col min="6" max="6" width="16.33203125" customWidth="1"/>
    <col min="7" max="7" width="12.6640625" customWidth="1"/>
    <col min="8" max="8" width="10.6640625" customWidth="1"/>
    <col min="9" max="9" width="6.83203125" customWidth="1"/>
    <col min="10" max="16" width="8.83203125" customWidth="1"/>
    <col min="17" max="17" width="16.83203125" customWidth="1"/>
    <col min="18" max="18" width="10.83203125" customWidth="1"/>
    <col min="20" max="20" width="7.33203125" customWidth="1"/>
    <col min="23" max="23" width="4.1640625" customWidth="1"/>
    <col min="24" max="24" width="3.1640625" customWidth="1"/>
    <col min="25" max="25" width="2.5" customWidth="1"/>
    <col min="26" max="26" width="2.83203125" customWidth="1"/>
    <col min="28" max="28" width="7.1640625" customWidth="1"/>
    <col min="29" max="29" width="11.83203125" customWidth="1"/>
    <col min="30" max="30" width="6.5" customWidth="1"/>
    <col min="31" max="31" width="9" customWidth="1"/>
    <col min="32" max="32" width="18.33203125" customWidth="1"/>
  </cols>
  <sheetData>
    <row r="1" spans="1:27" ht="19">
      <c r="B1" s="2" t="s">
        <v>0</v>
      </c>
      <c r="C1" s="2" t="s">
        <v>79</v>
      </c>
      <c r="D1" s="2" t="s">
        <v>74</v>
      </c>
      <c r="E1" s="2" t="s">
        <v>75</v>
      </c>
      <c r="F1" s="2" t="s">
        <v>66</v>
      </c>
      <c r="G1" s="2" t="s">
        <v>72</v>
      </c>
      <c r="H1" s="2" t="s">
        <v>78</v>
      </c>
      <c r="V1" s="18" t="s">
        <v>83</v>
      </c>
      <c r="W1" s="18"/>
      <c r="X1" s="18">
        <f>SUM(X3:X1048576)</f>
        <v>10</v>
      </c>
      <c r="Y1" s="19" t="s">
        <v>81</v>
      </c>
      <c r="Z1" s="18">
        <f>SUM(Z3:Z1048576)</f>
        <v>7</v>
      </c>
    </row>
    <row r="2" spans="1:27">
      <c r="B2">
        <v>1</v>
      </c>
      <c r="C2" s="4">
        <f>AVERAGE(P9,P13,P14,P16,P17,P19,P20,P21,P24)</f>
        <v>0.64970608040901723</v>
      </c>
      <c r="D2">
        <f>COUNTIF(T7:T15,TRUE)</f>
        <v>4</v>
      </c>
      <c r="E2">
        <f>COUNTIF(T7:T15,FALSE)</f>
        <v>5</v>
      </c>
      <c r="F2" s="3">
        <v>0.13519999999999999</v>
      </c>
      <c r="G2" s="4">
        <f>CORREL(U7:U15,V7:V15)</f>
        <v>4.0072576668407064E-2</v>
      </c>
      <c r="H2">
        <v>-3.15E-2</v>
      </c>
    </row>
    <row r="3" spans="1:27">
      <c r="B3">
        <v>2</v>
      </c>
      <c r="C3" s="4">
        <f ca="1">AVERAGE(O49,O50,O51,O52,O53,O54,O55,O56,O66)</f>
        <v>0.6865275403843093</v>
      </c>
      <c r="F3" s="3">
        <v>0.13519999999999999</v>
      </c>
    </row>
    <row r="6" spans="1:27" ht="34">
      <c r="A6" s="2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2</v>
      </c>
      <c r="H6" s="1" t="s">
        <v>3</v>
      </c>
      <c r="I6" s="1" t="s">
        <v>4</v>
      </c>
      <c r="J6" s="1" t="s">
        <v>30</v>
      </c>
      <c r="K6" s="1" t="s">
        <v>6</v>
      </c>
      <c r="L6" s="1" t="s">
        <v>28</v>
      </c>
      <c r="M6" s="1" t="s">
        <v>76</v>
      </c>
      <c r="N6" s="1" t="s">
        <v>77</v>
      </c>
      <c r="O6" s="1" t="s">
        <v>65</v>
      </c>
      <c r="P6" s="1" t="s">
        <v>69</v>
      </c>
      <c r="Q6" s="1" t="s">
        <v>71</v>
      </c>
      <c r="R6" s="1" t="s">
        <v>84</v>
      </c>
      <c r="S6" s="1" t="s">
        <v>70</v>
      </c>
      <c r="T6" s="1" t="s">
        <v>73</v>
      </c>
      <c r="U6" s="1" t="s">
        <v>67</v>
      </c>
      <c r="V6" s="1" t="s">
        <v>68</v>
      </c>
      <c r="W6" s="1" t="s">
        <v>82</v>
      </c>
      <c r="X6" s="1"/>
      <c r="Y6" s="1"/>
      <c r="Z6" s="1"/>
      <c r="AA6" s="1"/>
    </row>
    <row r="7" spans="1:27">
      <c r="A7">
        <f>'All scores'!A2</f>
        <v>1</v>
      </c>
      <c r="B7" t="str">
        <f>'All scores'!B2</f>
        <v>Carlton</v>
      </c>
      <c r="C7">
        <f>'All scores'!C2</f>
        <v>9</v>
      </c>
      <c r="D7">
        <f>'All scores'!D2</f>
        <v>10</v>
      </c>
      <c r="E7">
        <f>'All scores'!E2</f>
        <v>64</v>
      </c>
      <c r="F7" t="str">
        <f>'All scores'!F2</f>
        <v>Richmond</v>
      </c>
      <c r="G7">
        <f>'All scores'!G2</f>
        <v>14</v>
      </c>
      <c r="H7">
        <f>'All scores'!H2</f>
        <v>13</v>
      </c>
      <c r="I7">
        <f>'All scores'!I2</f>
        <v>97</v>
      </c>
      <c r="J7" t="b">
        <f>'All scores'!J2</f>
        <v>1</v>
      </c>
      <c r="K7" t="str">
        <f>'All scores'!K2</f>
        <v>Richmond</v>
      </c>
      <c r="L7">
        <f t="shared" ref="L7:L15" si="0">IF(J7=FALSE,HFA,0)</f>
        <v>0</v>
      </c>
      <c r="M7" s="9">
        <f>VLOOKUP(B7,Calculations!$I$2:$AG$19,$A7+1,FALSE)</f>
        <v>1238.724123734798</v>
      </c>
      <c r="N7" s="9">
        <f>VLOOKUP(F7,Calculations!$I$2:$AG$19,$A7+1,FALSE)</f>
        <v>1699.2389527941407</v>
      </c>
      <c r="O7" s="9">
        <f>M7-N7</f>
        <v>-460.51482905934267</v>
      </c>
      <c r="P7" s="4">
        <f>1/(1+(10^((N7-M7-L7)/400)))</f>
        <v>6.593131527769136E-2</v>
      </c>
      <c r="Q7" s="4"/>
      <c r="R7">
        <f>IF(P7=0.5,0.5,IF(P7&gt;0.5,1,0))</f>
        <v>0</v>
      </c>
      <c r="S7" s="9">
        <f>IF(E7=I7,0.5,IF(E7&gt;I7,1,0))</f>
        <v>0</v>
      </c>
      <c r="T7" s="4" t="b">
        <f>S7=R7</f>
        <v>1</v>
      </c>
      <c r="U7" s="17">
        <f t="shared" ref="U7:U24" si="1">O7*F$2</f>
        <v>-62.261604888823122</v>
      </c>
      <c r="V7">
        <f t="shared" ref="V7:V24" si="2">E7-I7</f>
        <v>-33</v>
      </c>
      <c r="X7" s="9"/>
      <c r="Y7" s="3"/>
      <c r="Z7" s="9"/>
    </row>
    <row r="8" spans="1:27">
      <c r="A8">
        <f>'All scores'!A3</f>
        <v>1</v>
      </c>
      <c r="B8" t="str">
        <f>'All scores'!B3</f>
        <v>Collingwood</v>
      </c>
      <c r="C8">
        <f>'All scores'!C3</f>
        <v>9</v>
      </c>
      <c r="D8">
        <f>'All scores'!D3</f>
        <v>11</v>
      </c>
      <c r="E8">
        <f>'All scores'!E3</f>
        <v>65</v>
      </c>
      <c r="F8" t="str">
        <f>'All scores'!F3</f>
        <v>Geelong</v>
      </c>
      <c r="G8">
        <f>'All scores'!G3</f>
        <v>10</v>
      </c>
      <c r="H8">
        <f>'All scores'!H3</f>
        <v>12</v>
      </c>
      <c r="I8">
        <f>'All scores'!I3</f>
        <v>72</v>
      </c>
      <c r="J8" t="b">
        <f>'All scores'!J3</f>
        <v>1</v>
      </c>
      <c r="K8" t="str">
        <f>'All scores'!K3</f>
        <v>Geelong</v>
      </c>
      <c r="L8">
        <f t="shared" si="0"/>
        <v>0</v>
      </c>
      <c r="M8" s="9">
        <f>VLOOKUP(B8,Calculations!$I$2:$AG$19,$A8+1,FALSE)</f>
        <v>1608.618441772051</v>
      </c>
      <c r="N8" s="9">
        <f>VLOOKUP(F8,Calculations!$I$2:$AG$19,$A8+1,FALSE)</f>
        <v>1612.2368031218332</v>
      </c>
      <c r="O8" s="9">
        <f t="shared" ref="O8:O15" si="3">M8-N8</f>
        <v>-3.6183613497821625</v>
      </c>
      <c r="P8" s="4">
        <f t="shared" ref="P8:P15" si="4">1/(1+(10^((N8-M8-L8)/400)))</f>
        <v>0.49479294768772519</v>
      </c>
      <c r="Q8" s="4"/>
      <c r="R8">
        <f t="shared" ref="R8:R15" si="5">IF(P8=0.5,0.5,IF(P8&gt;0.5,1,0))</f>
        <v>0</v>
      </c>
      <c r="S8" s="9">
        <f t="shared" ref="S8:S26" si="6">IF(E8=I8,0.5,IF(E8&gt;I8,1,0))</f>
        <v>0</v>
      </c>
      <c r="T8" s="4" t="b">
        <f t="shared" ref="T8:T26" si="7">S8=R8</f>
        <v>1</v>
      </c>
      <c r="U8" s="17">
        <f t="shared" si="1"/>
        <v>-0.48920245449054833</v>
      </c>
      <c r="V8">
        <f t="shared" si="2"/>
        <v>-7</v>
      </c>
      <c r="W8" s="2">
        <v>1</v>
      </c>
      <c r="X8" s="9">
        <f>COUNTIF($T7:$T15,TRUE)</f>
        <v>4</v>
      </c>
      <c r="Y8" s="3" t="s">
        <v>81</v>
      </c>
      <c r="Z8" s="9">
        <f>COUNTIF($T7:$T14,FALSE)</f>
        <v>4</v>
      </c>
    </row>
    <row r="9" spans="1:27">
      <c r="A9">
        <f>'All scores'!A4</f>
        <v>1</v>
      </c>
      <c r="B9" t="str">
        <f>'All scores'!B4</f>
        <v>Melbourne</v>
      </c>
      <c r="C9">
        <f>'All scores'!C4</f>
        <v>9</v>
      </c>
      <c r="D9">
        <f>'All scores'!D4</f>
        <v>7</v>
      </c>
      <c r="E9">
        <f>'All scores'!E4</f>
        <v>61</v>
      </c>
      <c r="F9" t="str">
        <f>'All scores'!F4</f>
        <v>Port Adelaide</v>
      </c>
      <c r="G9">
        <f>'All scores'!G4</f>
        <v>12</v>
      </c>
      <c r="H9">
        <f>'All scores'!H4</f>
        <v>15</v>
      </c>
      <c r="I9">
        <f>'All scores'!I4</f>
        <v>87</v>
      </c>
      <c r="J9" t="b">
        <f>'All scores'!J4</f>
        <v>0</v>
      </c>
      <c r="K9" t="str">
        <f>'All scores'!K4</f>
        <v>Port Adelaide</v>
      </c>
      <c r="L9">
        <f t="shared" si="0"/>
        <v>30</v>
      </c>
      <c r="M9" s="9">
        <f>VLOOKUP(B9,Calculations!$I$2:$AG$19,$A9+1,FALSE)</f>
        <v>1612.1217188843602</v>
      </c>
      <c r="N9" s="9">
        <f>VLOOKUP(F9,Calculations!$I$2:$AG$19,$A9+1,FALSE)</f>
        <v>1499.4334684121718</v>
      </c>
      <c r="O9" s="9">
        <f t="shared" si="3"/>
        <v>112.68825047218843</v>
      </c>
      <c r="P9" s="4">
        <f t="shared" si="4"/>
        <v>0.69452911159113939</v>
      </c>
      <c r="Q9" s="4"/>
      <c r="R9">
        <f t="shared" si="5"/>
        <v>1</v>
      </c>
      <c r="S9" s="9">
        <f t="shared" si="6"/>
        <v>0</v>
      </c>
      <c r="T9" s="4" t="b">
        <f t="shared" si="7"/>
        <v>0</v>
      </c>
      <c r="U9" s="17">
        <f t="shared" si="1"/>
        <v>15.235451463839874</v>
      </c>
      <c r="V9">
        <f t="shared" si="2"/>
        <v>-26</v>
      </c>
      <c r="X9" s="9"/>
      <c r="Y9" s="3"/>
      <c r="Z9" s="9"/>
    </row>
    <row r="10" spans="1:27">
      <c r="A10">
        <f>'All scores'!A5</f>
        <v>1</v>
      </c>
      <c r="B10" t="str">
        <f>'All scores'!B5</f>
        <v>Adelaide</v>
      </c>
      <c r="C10">
        <f>'All scores'!C5</f>
        <v>7</v>
      </c>
      <c r="D10">
        <f>'All scores'!D5</f>
        <v>13</v>
      </c>
      <c r="E10">
        <f>'All scores'!E5</f>
        <v>55</v>
      </c>
      <c r="F10" t="str">
        <f>'All scores'!F5</f>
        <v>Hawthorn</v>
      </c>
      <c r="G10">
        <f>'All scores'!G5</f>
        <v>12</v>
      </c>
      <c r="H10">
        <f>'All scores'!H5</f>
        <v>15</v>
      </c>
      <c r="I10">
        <f>'All scores'!I5</f>
        <v>87</v>
      </c>
      <c r="J10" t="b">
        <f>'All scores'!J5</f>
        <v>0</v>
      </c>
      <c r="K10" t="str">
        <f>'All scores'!K5</f>
        <v>Hawthorn</v>
      </c>
      <c r="L10">
        <f t="shared" si="0"/>
        <v>30</v>
      </c>
      <c r="M10" s="9">
        <f>VLOOKUP(B10,Calculations!$I$2:$AG$19,$A10+1,FALSE)</f>
        <v>1490.9311019254426</v>
      </c>
      <c r="N10" s="9">
        <f>VLOOKUP(F10,Calculations!$I$2:$AG$19,$A10+1,FALSE)</f>
        <v>1596.2943620164926</v>
      </c>
      <c r="O10" s="9">
        <f t="shared" si="3"/>
        <v>-105.36326009105005</v>
      </c>
      <c r="P10" s="4">
        <f t="shared" si="4"/>
        <v>0.39321313730942248</v>
      </c>
      <c r="Q10" s="4"/>
      <c r="R10">
        <f t="shared" si="5"/>
        <v>0</v>
      </c>
      <c r="S10" s="9">
        <f t="shared" si="6"/>
        <v>0</v>
      </c>
      <c r="T10" s="4" t="b">
        <f t="shared" si="7"/>
        <v>1</v>
      </c>
      <c r="U10" s="17">
        <f t="shared" si="1"/>
        <v>-14.245112764309965</v>
      </c>
      <c r="V10">
        <f t="shared" si="2"/>
        <v>-32</v>
      </c>
      <c r="X10" s="9"/>
      <c r="Y10" s="3"/>
      <c r="Z10" s="9"/>
    </row>
    <row r="11" spans="1:27">
      <c r="A11">
        <f>'All scores'!A6</f>
        <v>1</v>
      </c>
      <c r="B11" t="str">
        <f>'All scores'!B6</f>
        <v>Brisbane Lions</v>
      </c>
      <c r="C11">
        <f>'All scores'!C6</f>
        <v>15</v>
      </c>
      <c r="D11">
        <f>'All scores'!D6</f>
        <v>12</v>
      </c>
      <c r="E11">
        <f>'All scores'!E6</f>
        <v>102</v>
      </c>
      <c r="F11" t="str">
        <f>'All scores'!F6</f>
        <v>West Coast</v>
      </c>
      <c r="G11">
        <f>'All scores'!G6</f>
        <v>8</v>
      </c>
      <c r="H11">
        <f>'All scores'!H6</f>
        <v>10</v>
      </c>
      <c r="I11">
        <f>'All scores'!I6</f>
        <v>58</v>
      </c>
      <c r="J11" t="b">
        <f>'All scores'!J6</f>
        <v>0</v>
      </c>
      <c r="K11" t="str">
        <f>'All scores'!K6</f>
        <v>Brisbane Lions</v>
      </c>
      <c r="L11">
        <f t="shared" si="0"/>
        <v>30</v>
      </c>
      <c r="M11" s="9">
        <f>VLOOKUP(B11,Calculations!$I$2:$AG$19,$A11+1,FALSE)</f>
        <v>1397.9857413105381</v>
      </c>
      <c r="N11" s="9">
        <f>VLOOKUP(F11,Calculations!$I$2:$AG$19,$A11+1,FALSE)</f>
        <v>1612.4120319903946</v>
      </c>
      <c r="O11" s="9">
        <f t="shared" si="3"/>
        <v>-214.42629067985649</v>
      </c>
      <c r="P11" s="4">
        <f t="shared" si="4"/>
        <v>0.2569955872681336</v>
      </c>
      <c r="Q11" s="4"/>
      <c r="R11">
        <f t="shared" si="5"/>
        <v>0</v>
      </c>
      <c r="S11" s="9">
        <f t="shared" si="6"/>
        <v>1</v>
      </c>
      <c r="T11" s="4" t="b">
        <f t="shared" si="7"/>
        <v>0</v>
      </c>
      <c r="U11" s="17">
        <f t="shared" si="1"/>
        <v>-28.990434499916596</v>
      </c>
      <c r="V11">
        <f t="shared" si="2"/>
        <v>44</v>
      </c>
      <c r="X11" s="9"/>
      <c r="Y11" s="3"/>
      <c r="Z11" s="9"/>
    </row>
    <row r="12" spans="1:27">
      <c r="A12">
        <f>'All scores'!A7</f>
        <v>1</v>
      </c>
      <c r="B12" t="str">
        <f>'All scores'!B7</f>
        <v>Western Bulldogs</v>
      </c>
      <c r="C12">
        <f>'All scores'!C7</f>
        <v>11</v>
      </c>
      <c r="D12">
        <f>'All scores'!D7</f>
        <v>16</v>
      </c>
      <c r="E12">
        <f>'All scores'!E7</f>
        <v>82</v>
      </c>
      <c r="F12" t="str">
        <f>'All scores'!F7</f>
        <v>Sydney</v>
      </c>
      <c r="G12">
        <f>'All scores'!G7</f>
        <v>9</v>
      </c>
      <c r="H12">
        <f>'All scores'!H7</f>
        <v>11</v>
      </c>
      <c r="I12">
        <f>'All scores'!I7</f>
        <v>65</v>
      </c>
      <c r="J12" t="b">
        <f>'All scores'!J7</f>
        <v>0</v>
      </c>
      <c r="K12" t="str">
        <f>'All scores'!K7</f>
        <v>Western Bulldogs</v>
      </c>
      <c r="L12">
        <f t="shared" si="0"/>
        <v>30</v>
      </c>
      <c r="M12" s="9">
        <f>VLOOKUP(B12,Calculations!$I$2:$AG$19,$A12+1,FALSE)</f>
        <v>1423.5320706416023</v>
      </c>
      <c r="N12" s="9">
        <f>VLOOKUP(F12,Calculations!$I$2:$AG$19,$A12+1,FALSE)</f>
        <v>1584.7814409800485</v>
      </c>
      <c r="O12" s="9">
        <f t="shared" si="3"/>
        <v>-161.24937033844617</v>
      </c>
      <c r="P12" s="4">
        <f t="shared" si="4"/>
        <v>0.31961707870482958</v>
      </c>
      <c r="Q12" s="4"/>
      <c r="R12">
        <f t="shared" si="5"/>
        <v>0</v>
      </c>
      <c r="S12" s="9">
        <f t="shared" si="6"/>
        <v>1</v>
      </c>
      <c r="T12" s="4" t="b">
        <f t="shared" si="7"/>
        <v>0</v>
      </c>
      <c r="U12" s="17">
        <f t="shared" si="1"/>
        <v>-21.800914869757921</v>
      </c>
      <c r="V12">
        <f t="shared" si="2"/>
        <v>17</v>
      </c>
      <c r="X12" s="9"/>
      <c r="Y12" s="3"/>
      <c r="Z12" s="9"/>
    </row>
    <row r="13" spans="1:27">
      <c r="A13">
        <f>'All scores'!A8</f>
        <v>1</v>
      </c>
      <c r="B13" t="str">
        <f>'All scores'!B8</f>
        <v>St. Kilda</v>
      </c>
      <c r="C13">
        <f>'All scores'!C8</f>
        <v>13</v>
      </c>
      <c r="D13">
        <f>'All scores'!D8</f>
        <v>7</v>
      </c>
      <c r="E13">
        <f>'All scores'!E8</f>
        <v>85</v>
      </c>
      <c r="F13" t="str">
        <f>'All scores'!F8</f>
        <v>Gold Coast</v>
      </c>
      <c r="G13">
        <f>'All scores'!G8</f>
        <v>13</v>
      </c>
      <c r="H13">
        <f>'All scores'!H8</f>
        <v>6</v>
      </c>
      <c r="I13">
        <f>'All scores'!I8</f>
        <v>84</v>
      </c>
      <c r="J13" t="b">
        <f>'All scores'!J8</f>
        <v>0</v>
      </c>
      <c r="K13" t="str">
        <f>'All scores'!K8</f>
        <v>St. Kilda</v>
      </c>
      <c r="L13">
        <f t="shared" si="0"/>
        <v>30</v>
      </c>
      <c r="M13" s="9">
        <f>VLOOKUP(B13,Calculations!$I$2:$AG$19,$A13+1,FALSE)</f>
        <v>1322.0126056410807</v>
      </c>
      <c r="N13" s="9">
        <f>VLOOKUP(F13,Calculations!$I$2:$AG$19,$A13+1,FALSE)</f>
        <v>1279.1520561496998</v>
      </c>
      <c r="O13" s="9">
        <f t="shared" si="3"/>
        <v>42.86054949138088</v>
      </c>
      <c r="P13" s="4">
        <f t="shared" si="4"/>
        <v>0.60334422236216989</v>
      </c>
      <c r="Q13" s="4"/>
      <c r="R13">
        <f t="shared" si="5"/>
        <v>1</v>
      </c>
      <c r="S13" s="9">
        <f t="shared" si="6"/>
        <v>1</v>
      </c>
      <c r="T13" s="4" t="b">
        <f t="shared" si="7"/>
        <v>1</v>
      </c>
      <c r="U13" s="17">
        <f t="shared" si="1"/>
        <v>5.7947462912346941</v>
      </c>
      <c r="V13">
        <f t="shared" si="2"/>
        <v>1</v>
      </c>
      <c r="X13" s="9"/>
      <c r="Y13" s="3"/>
      <c r="Z13" s="9"/>
    </row>
    <row r="14" spans="1:27">
      <c r="A14">
        <f>'All scores'!A9</f>
        <v>1</v>
      </c>
      <c r="B14" t="str">
        <f>'All scores'!B9</f>
        <v>GWS</v>
      </c>
      <c r="C14">
        <f>'All scores'!C9</f>
        <v>16</v>
      </c>
      <c r="D14">
        <f>'All scores'!D9</f>
        <v>16</v>
      </c>
      <c r="E14">
        <f>'All scores'!E9</f>
        <v>112</v>
      </c>
      <c r="F14" t="str">
        <f>'All scores'!F9</f>
        <v>Essendon</v>
      </c>
      <c r="G14">
        <f>'All scores'!G9</f>
        <v>5</v>
      </c>
      <c r="H14">
        <f>'All scores'!H9</f>
        <v>10</v>
      </c>
      <c r="I14">
        <f>'All scores'!I9</f>
        <v>40</v>
      </c>
      <c r="J14" t="b">
        <f>'All scores'!J9</f>
        <v>0</v>
      </c>
      <c r="K14" t="str">
        <f>'All scores'!K9</f>
        <v>GWS</v>
      </c>
      <c r="L14">
        <f t="shared" si="0"/>
        <v>30</v>
      </c>
      <c r="M14" s="9">
        <f>VLOOKUP(B14,Calculations!$I$2:$AG$19,$A14+1,FALSE)</f>
        <v>1542.064999998496</v>
      </c>
      <c r="N14" s="9">
        <f>VLOOKUP(F14,Calculations!$I$2:$AG$19,$A14+1,FALSE)</f>
        <v>1601.4282319365727</v>
      </c>
      <c r="O14" s="9">
        <f t="shared" si="3"/>
        <v>-59.363231938076751</v>
      </c>
      <c r="P14" s="4">
        <f t="shared" si="4"/>
        <v>0.45784323492972656</v>
      </c>
      <c r="Q14" s="4"/>
      <c r="R14">
        <f t="shared" si="5"/>
        <v>0</v>
      </c>
      <c r="S14" s="9">
        <f t="shared" si="6"/>
        <v>1</v>
      </c>
      <c r="T14" s="4" t="b">
        <f t="shared" si="7"/>
        <v>0</v>
      </c>
      <c r="U14" s="17">
        <f t="shared" si="1"/>
        <v>-8.0259089580279763</v>
      </c>
      <c r="V14">
        <f t="shared" si="2"/>
        <v>72</v>
      </c>
      <c r="X14" s="9"/>
      <c r="Y14" s="3"/>
      <c r="Z14" s="9"/>
    </row>
    <row r="15" spans="1:27">
      <c r="A15">
        <f>'All scores'!A10</f>
        <v>1</v>
      </c>
      <c r="B15" t="str">
        <f>'All scores'!B10</f>
        <v>Fremantle</v>
      </c>
      <c r="C15">
        <f>'All scores'!C10</f>
        <v>21</v>
      </c>
      <c r="D15">
        <f>'All scores'!D10</f>
        <v>15</v>
      </c>
      <c r="E15">
        <f>'All scores'!E10</f>
        <v>141</v>
      </c>
      <c r="F15" t="str">
        <f>'All scores'!F10</f>
        <v>North Melbourne</v>
      </c>
      <c r="G15">
        <f>'All scores'!G10</f>
        <v>9</v>
      </c>
      <c r="H15">
        <f>'All scores'!H10</f>
        <v>5</v>
      </c>
      <c r="I15">
        <f>'All scores'!I10</f>
        <v>59</v>
      </c>
      <c r="J15" t="b">
        <f>'All scores'!J10</f>
        <v>0</v>
      </c>
      <c r="K15" t="str">
        <f>'All scores'!K10</f>
        <v>Fremantle</v>
      </c>
      <c r="L15">
        <f t="shared" si="0"/>
        <v>30</v>
      </c>
      <c r="M15" s="9">
        <f>VLOOKUP(B15,Calculations!$I$2:$AG$19,$A15+1,FALSE)</f>
        <v>1381.1866660838568</v>
      </c>
      <c r="N15" s="9">
        <f>VLOOKUP(F15,Calculations!$I$2:$AG$19,$A15+1,FALSE)</f>
        <v>1497.8451826064206</v>
      </c>
      <c r="O15" s="9">
        <f t="shared" si="3"/>
        <v>-116.65851652256379</v>
      </c>
      <c r="P15" s="4">
        <f t="shared" si="4"/>
        <v>0.3778117789540783</v>
      </c>
      <c r="Q15" s="4"/>
      <c r="R15">
        <f t="shared" si="5"/>
        <v>0</v>
      </c>
      <c r="S15" s="9">
        <f t="shared" si="6"/>
        <v>1</v>
      </c>
      <c r="T15" s="4" t="b">
        <f t="shared" si="7"/>
        <v>0</v>
      </c>
      <c r="U15" s="17">
        <f t="shared" si="1"/>
        <v>-15.772231433850623</v>
      </c>
      <c r="V15">
        <f t="shared" si="2"/>
        <v>82</v>
      </c>
      <c r="X15" s="9"/>
      <c r="Y15" s="3"/>
      <c r="Z15" s="9"/>
    </row>
    <row r="16" spans="1:27">
      <c r="A16">
        <f>'All scores'!A11</f>
        <v>2</v>
      </c>
      <c r="B16" t="str">
        <f>'All scores'!B11</f>
        <v>Richmond</v>
      </c>
      <c r="C16">
        <f>'All scores'!C11</f>
        <v>10</v>
      </c>
      <c r="D16">
        <f>'All scores'!D11</f>
        <v>6</v>
      </c>
      <c r="E16">
        <f>'All scores'!E11</f>
        <v>66</v>
      </c>
      <c r="F16" t="str">
        <f>'All scores'!F11</f>
        <v>Collingwood</v>
      </c>
      <c r="G16">
        <f>'All scores'!G11</f>
        <v>17</v>
      </c>
      <c r="H16">
        <f>'All scores'!H11</f>
        <v>8</v>
      </c>
      <c r="I16">
        <f>'All scores'!I11</f>
        <v>110</v>
      </c>
      <c r="J16" t="b">
        <f>'All scores'!J11</f>
        <v>1</v>
      </c>
      <c r="K16" t="str">
        <f>'All scores'!K11</f>
        <v>Collingwood</v>
      </c>
      <c r="L16">
        <f t="shared" ref="L16:L24" si="8">-1*L7</f>
        <v>0</v>
      </c>
      <c r="M16" s="9">
        <f>N7</f>
        <v>1699.2389527941407</v>
      </c>
      <c r="N16" s="9">
        <f>M7</f>
        <v>1238.724123734798</v>
      </c>
      <c r="O16" s="9">
        <f>M16-N16</f>
        <v>460.51482905934267</v>
      </c>
      <c r="P16" s="4">
        <f>1/(1+(10^((N16-M16-L16)/400)))</f>
        <v>0.93406868472230853</v>
      </c>
      <c r="Q16" s="4"/>
      <c r="R16">
        <f t="shared" ref="R16:R24" si="9">IF(P16=0.5,0.5,IF(P16&gt;0.5,1,0))</f>
        <v>1</v>
      </c>
      <c r="S16" s="9">
        <f t="shared" si="6"/>
        <v>0</v>
      </c>
      <c r="T16" s="4" t="b">
        <f t="shared" si="7"/>
        <v>0</v>
      </c>
      <c r="U16" s="17">
        <f t="shared" si="1"/>
        <v>62.261604888823122</v>
      </c>
      <c r="V16">
        <f t="shared" si="2"/>
        <v>-44</v>
      </c>
    </row>
    <row r="17" spans="1:26">
      <c r="A17">
        <f>'All scores'!A12</f>
        <v>2</v>
      </c>
      <c r="B17" t="str">
        <f>'All scores'!B12</f>
        <v>Sydney</v>
      </c>
      <c r="C17">
        <f>'All scores'!C12</f>
        <v>8</v>
      </c>
      <c r="D17">
        <f>'All scores'!D12</f>
        <v>14</v>
      </c>
      <c r="E17">
        <f>'All scores'!E12</f>
        <v>62</v>
      </c>
      <c r="F17" t="str">
        <f>'All scores'!F12</f>
        <v>Adelaide</v>
      </c>
      <c r="G17">
        <f>'All scores'!G12</f>
        <v>12</v>
      </c>
      <c r="H17">
        <f>'All scores'!H12</f>
        <v>6</v>
      </c>
      <c r="I17">
        <f>'All scores'!I12</f>
        <v>88</v>
      </c>
      <c r="J17" t="b">
        <f>'All scores'!J12</f>
        <v>0</v>
      </c>
      <c r="K17" t="str">
        <f>'All scores'!K12</f>
        <v>Adelaide</v>
      </c>
      <c r="L17">
        <f t="shared" si="8"/>
        <v>0</v>
      </c>
      <c r="M17" s="9">
        <f t="shared" ref="M17:M24" si="10">N8</f>
        <v>1612.2368031218332</v>
      </c>
      <c r="N17" s="9">
        <f t="shared" ref="N17:N24" si="11">M8</f>
        <v>1608.618441772051</v>
      </c>
      <c r="O17" s="9">
        <f t="shared" ref="O17:O34" si="12">M17-N17</f>
        <v>3.6183613497821625</v>
      </c>
      <c r="P17" s="4">
        <f t="shared" ref="P17:P34" si="13">1/(1+(10^((N17-M17-L17)/400)))</f>
        <v>0.50520705231227481</v>
      </c>
      <c r="Q17" s="4"/>
      <c r="R17">
        <f t="shared" si="9"/>
        <v>1</v>
      </c>
      <c r="S17" s="9">
        <f t="shared" si="6"/>
        <v>0</v>
      </c>
      <c r="T17" s="4" t="b">
        <f t="shared" si="7"/>
        <v>0</v>
      </c>
      <c r="U17" s="17">
        <f t="shared" si="1"/>
        <v>0.48920245449054833</v>
      </c>
      <c r="V17">
        <f t="shared" si="2"/>
        <v>-26</v>
      </c>
      <c r="X17" s="9"/>
      <c r="Y17" s="3"/>
      <c r="Z17" s="9"/>
    </row>
    <row r="18" spans="1:26">
      <c r="A18">
        <f>'All scores'!A13</f>
        <v>2</v>
      </c>
      <c r="B18" t="str">
        <f>'All scores'!B13</f>
        <v>Essendon</v>
      </c>
      <c r="C18">
        <f>'All scores'!C13</f>
        <v>9</v>
      </c>
      <c r="D18">
        <f>'All scores'!D13</f>
        <v>11</v>
      </c>
      <c r="E18">
        <f>'All scores'!E13</f>
        <v>65</v>
      </c>
      <c r="F18" t="str">
        <f>'All scores'!F13</f>
        <v>St. Kilda</v>
      </c>
      <c r="G18">
        <f>'All scores'!G13</f>
        <v>10</v>
      </c>
      <c r="H18">
        <f>'All scores'!H13</f>
        <v>16</v>
      </c>
      <c r="I18">
        <f>'All scores'!I13</f>
        <v>76</v>
      </c>
      <c r="J18" t="b">
        <f>'All scores'!J13</f>
        <v>1</v>
      </c>
      <c r="K18" t="str">
        <f>'All scores'!K13</f>
        <v>St. Kilda</v>
      </c>
      <c r="L18">
        <f t="shared" si="8"/>
        <v>-30</v>
      </c>
      <c r="M18" s="9">
        <f t="shared" si="10"/>
        <v>1499.4334684121718</v>
      </c>
      <c r="N18" s="9">
        <f t="shared" si="11"/>
        <v>1612.1217188843602</v>
      </c>
      <c r="O18" s="9">
        <f t="shared" si="12"/>
        <v>-112.68825047218843</v>
      </c>
      <c r="P18" s="4">
        <f t="shared" si="13"/>
        <v>0.30547088840886066</v>
      </c>
      <c r="Q18" s="4"/>
      <c r="R18">
        <f t="shared" si="9"/>
        <v>0</v>
      </c>
      <c r="S18" s="9">
        <f t="shared" si="6"/>
        <v>0</v>
      </c>
      <c r="T18" s="4" t="b">
        <f t="shared" si="7"/>
        <v>1</v>
      </c>
      <c r="U18" s="17">
        <f t="shared" si="1"/>
        <v>-15.235451463839874</v>
      </c>
      <c r="V18">
        <f t="shared" si="2"/>
        <v>-11</v>
      </c>
      <c r="W18" s="2">
        <v>2</v>
      </c>
      <c r="X18" s="9">
        <f>COUNTIF($T16:$T24,TRUE)</f>
        <v>6</v>
      </c>
      <c r="Y18" s="3" t="s">
        <v>81</v>
      </c>
      <c r="Z18" s="9">
        <f>COUNTIF($T16:$T24,FALSE)</f>
        <v>3</v>
      </c>
    </row>
    <row r="19" spans="1:26">
      <c r="A19">
        <f>'All scores'!A14</f>
        <v>2</v>
      </c>
      <c r="B19" t="str">
        <f>'All scores'!B14</f>
        <v>Port Adelaide</v>
      </c>
      <c r="C19">
        <f>'All scores'!C14</f>
        <v>13</v>
      </c>
      <c r="D19">
        <f>'All scores'!D14</f>
        <v>10</v>
      </c>
      <c r="E19">
        <f>'All scores'!E14</f>
        <v>88</v>
      </c>
      <c r="F19" t="str">
        <f>'All scores'!F14</f>
        <v>Carlton</v>
      </c>
      <c r="G19">
        <f>'All scores'!G14</f>
        <v>11</v>
      </c>
      <c r="H19">
        <f>'All scores'!H14</f>
        <v>6</v>
      </c>
      <c r="I19">
        <f>'All scores'!I14</f>
        <v>72</v>
      </c>
      <c r="J19" t="b">
        <f>'All scores'!J14</f>
        <v>0</v>
      </c>
      <c r="K19" t="str">
        <f>'All scores'!K14</f>
        <v>Port Adelaide</v>
      </c>
      <c r="L19">
        <f t="shared" si="8"/>
        <v>-30</v>
      </c>
      <c r="M19" s="9">
        <f t="shared" si="10"/>
        <v>1596.2943620164926</v>
      </c>
      <c r="N19" s="9">
        <f t="shared" si="11"/>
        <v>1490.9311019254426</v>
      </c>
      <c r="O19" s="9">
        <f t="shared" si="12"/>
        <v>105.36326009105005</v>
      </c>
      <c r="P19" s="4">
        <f t="shared" si="13"/>
        <v>0.60678686269057758</v>
      </c>
      <c r="Q19" s="4"/>
      <c r="R19">
        <f t="shared" si="9"/>
        <v>1</v>
      </c>
      <c r="S19" s="9">
        <f t="shared" si="6"/>
        <v>1</v>
      </c>
      <c r="T19" s="4" t="b">
        <f t="shared" si="7"/>
        <v>1</v>
      </c>
      <c r="U19" s="17">
        <f t="shared" si="1"/>
        <v>14.245112764309965</v>
      </c>
      <c r="V19">
        <f t="shared" si="2"/>
        <v>16</v>
      </c>
    </row>
    <row r="20" spans="1:26">
      <c r="A20">
        <f>'All scores'!A15</f>
        <v>2</v>
      </c>
      <c r="B20" t="str">
        <f>'All scores'!B15</f>
        <v>West Coast</v>
      </c>
      <c r="C20">
        <f>'All scores'!C15</f>
        <v>16</v>
      </c>
      <c r="D20">
        <f>'All scores'!D15</f>
        <v>8</v>
      </c>
      <c r="E20">
        <f>'All scores'!E15</f>
        <v>104</v>
      </c>
      <c r="F20" t="str">
        <f>'All scores'!F15</f>
        <v>GWS</v>
      </c>
      <c r="G20">
        <f>'All scores'!G15</f>
        <v>7</v>
      </c>
      <c r="H20">
        <f>'All scores'!H15</f>
        <v>10</v>
      </c>
      <c r="I20">
        <f>'All scores'!I15</f>
        <v>52</v>
      </c>
      <c r="J20" t="b">
        <f>'All scores'!J15</f>
        <v>0</v>
      </c>
      <c r="K20" t="str">
        <f>'All scores'!K15</f>
        <v>West Coast</v>
      </c>
      <c r="L20">
        <f t="shared" si="8"/>
        <v>-30</v>
      </c>
      <c r="M20" s="9">
        <f t="shared" si="10"/>
        <v>1612.4120319903946</v>
      </c>
      <c r="N20" s="9">
        <f t="shared" si="11"/>
        <v>1397.9857413105381</v>
      </c>
      <c r="O20" s="9">
        <f t="shared" si="12"/>
        <v>214.42629067985649</v>
      </c>
      <c r="P20" s="4">
        <f t="shared" si="13"/>
        <v>0.74300441273186635</v>
      </c>
      <c r="Q20" s="4"/>
      <c r="R20">
        <f t="shared" si="9"/>
        <v>1</v>
      </c>
      <c r="S20" s="9">
        <f t="shared" si="6"/>
        <v>1</v>
      </c>
      <c r="T20" s="4" t="b">
        <f t="shared" si="7"/>
        <v>1</v>
      </c>
      <c r="U20" s="17">
        <f t="shared" si="1"/>
        <v>28.990434499916596</v>
      </c>
      <c r="V20">
        <f t="shared" si="2"/>
        <v>52</v>
      </c>
    </row>
    <row r="21" spans="1:26">
      <c r="A21">
        <f>'All scores'!A16</f>
        <v>2</v>
      </c>
      <c r="B21" t="str">
        <f>'All scores'!B16</f>
        <v>Geelong</v>
      </c>
      <c r="C21">
        <f>'All scores'!C16</f>
        <v>20</v>
      </c>
      <c r="D21">
        <f>'All scores'!D16</f>
        <v>6</v>
      </c>
      <c r="E21">
        <f>'All scores'!E16</f>
        <v>126</v>
      </c>
      <c r="F21" t="str">
        <f>'All scores'!F16</f>
        <v>Melbourne</v>
      </c>
      <c r="G21">
        <f>'All scores'!G16</f>
        <v>6</v>
      </c>
      <c r="H21">
        <f>'All scores'!H16</f>
        <v>10</v>
      </c>
      <c r="I21">
        <f>'All scores'!I16</f>
        <v>46</v>
      </c>
      <c r="J21" t="b">
        <f>'All scores'!J16</f>
        <v>0</v>
      </c>
      <c r="K21" t="str">
        <f>'All scores'!K16</f>
        <v>Geelong</v>
      </c>
      <c r="L21">
        <f t="shared" si="8"/>
        <v>-30</v>
      </c>
      <c r="M21" s="9">
        <f t="shared" si="10"/>
        <v>1584.7814409800485</v>
      </c>
      <c r="N21" s="9">
        <f t="shared" si="11"/>
        <v>1423.5320706416023</v>
      </c>
      <c r="O21" s="9">
        <f t="shared" si="12"/>
        <v>161.24937033844617</v>
      </c>
      <c r="P21" s="4">
        <f t="shared" si="13"/>
        <v>0.68038292129517042</v>
      </c>
      <c r="Q21" s="4"/>
      <c r="R21">
        <f t="shared" si="9"/>
        <v>1</v>
      </c>
      <c r="S21" s="9">
        <f t="shared" si="6"/>
        <v>1</v>
      </c>
      <c r="T21" s="4" t="b">
        <f t="shared" si="7"/>
        <v>1</v>
      </c>
      <c r="U21" s="17">
        <f t="shared" si="1"/>
        <v>21.800914869757921</v>
      </c>
      <c r="V21">
        <f t="shared" si="2"/>
        <v>80</v>
      </c>
    </row>
    <row r="22" spans="1:26">
      <c r="A22">
        <f>'All scores'!A17</f>
        <v>2</v>
      </c>
      <c r="B22" t="str">
        <f>'All scores'!B17</f>
        <v>North Melbourne</v>
      </c>
      <c r="C22">
        <f>'All scores'!C17</f>
        <v>13</v>
      </c>
      <c r="D22">
        <f>'All scores'!D17</f>
        <v>9</v>
      </c>
      <c r="E22">
        <f>'All scores'!E17</f>
        <v>87</v>
      </c>
      <c r="F22" t="str">
        <f>'All scores'!F17</f>
        <v>Brisbane Lions</v>
      </c>
      <c r="G22">
        <f>'All scores'!G17</f>
        <v>16</v>
      </c>
      <c r="H22">
        <f>'All scores'!H17</f>
        <v>11</v>
      </c>
      <c r="I22">
        <f>'All scores'!I17</f>
        <v>107</v>
      </c>
      <c r="J22" t="b">
        <f>'All scores'!J17</f>
        <v>0</v>
      </c>
      <c r="K22" t="str">
        <f>'All scores'!K17</f>
        <v>Brisbane Lions</v>
      </c>
      <c r="L22">
        <f t="shared" si="8"/>
        <v>-30</v>
      </c>
      <c r="M22" s="9">
        <f t="shared" si="10"/>
        <v>1279.1520561496998</v>
      </c>
      <c r="N22" s="9">
        <f t="shared" si="11"/>
        <v>1322.0126056410807</v>
      </c>
      <c r="O22" s="9">
        <f t="shared" si="12"/>
        <v>-42.86054949138088</v>
      </c>
      <c r="P22" s="4">
        <f t="shared" si="13"/>
        <v>0.39665577763783005</v>
      </c>
      <c r="Q22" s="4"/>
      <c r="R22">
        <f t="shared" si="9"/>
        <v>0</v>
      </c>
      <c r="S22" s="9">
        <f t="shared" si="6"/>
        <v>0</v>
      </c>
      <c r="T22" s="4" t="b">
        <f t="shared" si="7"/>
        <v>1</v>
      </c>
      <c r="U22" s="17">
        <f t="shared" si="1"/>
        <v>-5.7947462912346941</v>
      </c>
      <c r="V22">
        <f t="shared" si="2"/>
        <v>-20</v>
      </c>
    </row>
    <row r="23" spans="1:26">
      <c r="A23">
        <f>'All scores'!A18</f>
        <v>2</v>
      </c>
      <c r="B23" t="str">
        <f>'All scores'!B18</f>
        <v>Hawthorn</v>
      </c>
      <c r="C23">
        <f>'All scores'!C18</f>
        <v>13</v>
      </c>
      <c r="D23">
        <f>'All scores'!D18</f>
        <v>9</v>
      </c>
      <c r="E23">
        <f>'All scores'!E18</f>
        <v>87</v>
      </c>
      <c r="F23" t="str">
        <f>'All scores'!F18</f>
        <v>Western Bulldogs</v>
      </c>
      <c r="G23">
        <f>'All scores'!G18</f>
        <v>16</v>
      </c>
      <c r="H23">
        <f>'All scores'!H18</f>
        <v>10</v>
      </c>
      <c r="I23">
        <f>'All scores'!I18</f>
        <v>106</v>
      </c>
      <c r="J23" t="b">
        <f>'All scores'!J18</f>
        <v>0</v>
      </c>
      <c r="K23" t="str">
        <f>'All scores'!K18</f>
        <v>Western Bulldogs</v>
      </c>
      <c r="L23">
        <f t="shared" si="8"/>
        <v>-30</v>
      </c>
      <c r="M23" s="9">
        <f t="shared" si="10"/>
        <v>1601.4282319365727</v>
      </c>
      <c r="N23" s="9">
        <f t="shared" si="11"/>
        <v>1542.064999998496</v>
      </c>
      <c r="O23" s="9">
        <f t="shared" si="12"/>
        <v>59.363231938076751</v>
      </c>
      <c r="P23" s="4">
        <f t="shared" si="13"/>
        <v>0.54215676507027344</v>
      </c>
      <c r="Q23" s="4"/>
      <c r="R23">
        <f t="shared" si="9"/>
        <v>1</v>
      </c>
      <c r="S23" s="9">
        <f t="shared" si="6"/>
        <v>0</v>
      </c>
      <c r="T23" s="4" t="b">
        <f t="shared" si="7"/>
        <v>0</v>
      </c>
      <c r="U23" s="17">
        <f t="shared" si="1"/>
        <v>8.0259089580279763</v>
      </c>
      <c r="V23">
        <f t="shared" si="2"/>
        <v>-19</v>
      </c>
    </row>
    <row r="24" spans="1:26">
      <c r="A24">
        <f>'All scores'!A19</f>
        <v>2</v>
      </c>
      <c r="B24" t="str">
        <f>'All scores'!B19</f>
        <v>Gold Coast</v>
      </c>
      <c r="C24">
        <f>'All scores'!C19</f>
        <v>7</v>
      </c>
      <c r="D24">
        <f>'All scores'!D19</f>
        <v>19</v>
      </c>
      <c r="E24">
        <f>'All scores'!E19</f>
        <v>61</v>
      </c>
      <c r="F24" t="str">
        <f>'All scores'!F19</f>
        <v>Fremantle</v>
      </c>
      <c r="G24">
        <f>'All scores'!G19</f>
        <v>8</v>
      </c>
      <c r="H24">
        <f>'All scores'!H19</f>
        <v>10</v>
      </c>
      <c r="I24">
        <f>'All scores'!I19</f>
        <v>58</v>
      </c>
      <c r="J24" t="b">
        <f>'All scores'!J19</f>
        <v>0</v>
      </c>
      <c r="K24" t="str">
        <f>'All scores'!K19</f>
        <v>Gold Coast</v>
      </c>
      <c r="L24">
        <f t="shared" si="8"/>
        <v>-30</v>
      </c>
      <c r="M24" s="9">
        <f t="shared" si="10"/>
        <v>1497.8451826064206</v>
      </c>
      <c r="N24" s="9">
        <f t="shared" si="11"/>
        <v>1381.1866660838568</v>
      </c>
      <c r="O24" s="9">
        <f t="shared" si="12"/>
        <v>116.65851652256379</v>
      </c>
      <c r="P24" s="4">
        <f t="shared" si="13"/>
        <v>0.62218822104592175</v>
      </c>
      <c r="Q24" s="4"/>
      <c r="R24">
        <f t="shared" si="9"/>
        <v>1</v>
      </c>
      <c r="S24" s="9">
        <f t="shared" si="6"/>
        <v>1</v>
      </c>
      <c r="T24" s="4" t="b">
        <f t="shared" si="7"/>
        <v>1</v>
      </c>
      <c r="U24" s="17">
        <f t="shared" si="1"/>
        <v>15.772231433850623</v>
      </c>
      <c r="V24">
        <f t="shared" si="2"/>
        <v>3</v>
      </c>
    </row>
    <row r="25" spans="1:26">
      <c r="L25" s="9"/>
      <c r="M25" s="9"/>
      <c r="N25" s="9"/>
      <c r="O25" s="4"/>
      <c r="S25" s="4"/>
      <c r="T25" s="17"/>
    </row>
    <row r="26" spans="1:26">
      <c r="A26">
        <v>3</v>
      </c>
      <c r="B26" t="s">
        <v>10</v>
      </c>
      <c r="C26">
        <v>10</v>
      </c>
      <c r="D26">
        <v>15</v>
      </c>
      <c r="E26">
        <v>75</v>
      </c>
      <c r="F26" t="s">
        <v>22</v>
      </c>
      <c r="G26">
        <v>14</v>
      </c>
      <c r="H26">
        <v>15</v>
      </c>
      <c r="I26">
        <v>99</v>
      </c>
      <c r="J26" t="b">
        <v>0</v>
      </c>
      <c r="K26" t="s">
        <v>22</v>
      </c>
      <c r="L26" s="9"/>
      <c r="M26" s="9">
        <f ca="1">VLOOKUP(Predictions!B26,Calculations!A$45:U$62,20,1)</f>
        <v>1462.2529411121789</v>
      </c>
      <c r="N26" s="9">
        <f ca="1">VLOOKUP(Predictions!F26,Calculations!A$45:U$62,20,1)</f>
        <v>1501.5249946390281</v>
      </c>
      <c r="O26" s="9">
        <f t="shared" ca="1" si="12"/>
        <v>-39.272053526849277</v>
      </c>
      <c r="P26" s="4">
        <f t="shared" ca="1" si="13"/>
        <v>0.4437224483790817</v>
      </c>
      <c r="Q26" s="4"/>
      <c r="R26">
        <v>0</v>
      </c>
      <c r="S26" s="9">
        <f t="shared" si="6"/>
        <v>0</v>
      </c>
      <c r="T26" s="4" t="b">
        <f t="shared" si="7"/>
        <v>1</v>
      </c>
    </row>
    <row r="27" spans="1:26">
      <c r="A27">
        <v>3</v>
      </c>
      <c r="B27" t="s">
        <v>21</v>
      </c>
      <c r="F27" t="s">
        <v>9</v>
      </c>
      <c r="J27" t="b">
        <v>1</v>
      </c>
      <c r="L27" s="9"/>
      <c r="M27" s="9">
        <f ca="1">VLOOKUP(Predictions!B27,Calculations!A$45:U$62,20,1)</f>
        <v>1761.4322097089557</v>
      </c>
      <c r="N27" s="9">
        <f ca="1">VLOOKUP(Predictions!F27,Calculations!A$45:U$62,20,1)</f>
        <v>1740.2003717172806</v>
      </c>
      <c r="O27" s="9">
        <f t="shared" ca="1" si="12"/>
        <v>21.231837991675093</v>
      </c>
      <c r="P27" s="4">
        <f t="shared" ca="1" si="13"/>
        <v>0.53051709230993771</v>
      </c>
      <c r="Q27" s="2" t="str">
        <f ca="1">IF(O27=0.5,"Draw",IF(O27&gt;0.5,B27,F27))</f>
        <v>Melbourne</v>
      </c>
      <c r="R27">
        <f t="shared" ref="Q27:R34" ca="1" si="14">IF(P27=0.5,0.5,IF(P27&gt;0.5,1,0))</f>
        <v>1</v>
      </c>
      <c r="S27" s="4"/>
      <c r="T27" s="17"/>
    </row>
    <row r="28" spans="1:26">
      <c r="A28">
        <v>3</v>
      </c>
      <c r="B28" t="s">
        <v>8</v>
      </c>
      <c r="F28" t="s">
        <v>24</v>
      </c>
      <c r="J28" t="b">
        <v>0</v>
      </c>
      <c r="M28" s="9">
        <f ca="1">VLOOKUP(Predictions!B28,Calculations!A$45:U$62,20,1)</f>
        <v>1264.1913979126564</v>
      </c>
      <c r="N28" s="9">
        <f ca="1">VLOOKUP(Predictions!F28,Calculations!A$45:U$62,20,1)</f>
        <v>1714.2394292526837</v>
      </c>
      <c r="O28" s="9">
        <f t="shared" ca="1" si="12"/>
        <v>-450.04803134002736</v>
      </c>
      <c r="P28" s="4">
        <f t="shared" ca="1" si="13"/>
        <v>6.9740347444878309E-2</v>
      </c>
      <c r="Q28" s="2" t="str">
        <f t="shared" ref="Q28:Q34" ca="1" si="15">IF(O28=0.5,"Draw",IF(O28&gt;0.5,B28,F28))</f>
        <v>Sydney</v>
      </c>
      <c r="R28">
        <f t="shared" ca="1" si="14"/>
        <v>0</v>
      </c>
      <c r="T28" s="17">
        <f t="shared" ref="T28:T45" ca="1" si="16">N49*F$3</f>
        <v>7.178717474627442</v>
      </c>
    </row>
    <row r="29" spans="1:26">
      <c r="A29">
        <v>3</v>
      </c>
      <c r="B29" t="s">
        <v>19</v>
      </c>
      <c r="F29" t="s">
        <v>7</v>
      </c>
      <c r="J29" t="b">
        <v>0</v>
      </c>
      <c r="M29" s="9">
        <f ca="1">VLOOKUP(Predictions!B29,Calculations!A$45:U$62,20,1)</f>
        <v>1493.4448157117281</v>
      </c>
      <c r="N29" s="9">
        <f ca="1">VLOOKUP(Predictions!F29,Calculations!A$45:U$62,20,1)</f>
        <v>1758.6810716222246</v>
      </c>
      <c r="O29" s="9">
        <f t="shared" ca="1" si="12"/>
        <v>-265.23625591049654</v>
      </c>
      <c r="P29" s="4">
        <f t="shared" ca="1" si="13"/>
        <v>0.17845904977796243</v>
      </c>
      <c r="Q29" s="2" t="str">
        <f t="shared" ca="1" si="15"/>
        <v>Richmond</v>
      </c>
      <c r="R29">
        <f t="shared" ca="1" si="14"/>
        <v>0</v>
      </c>
      <c r="T29" s="17">
        <f t="shared" ca="1" si="16"/>
        <v>15.277317179035457</v>
      </c>
    </row>
    <row r="30" spans="1:26">
      <c r="A30">
        <v>3</v>
      </c>
      <c r="B30" t="s">
        <v>12</v>
      </c>
      <c r="F30" t="s">
        <v>13</v>
      </c>
      <c r="J30" t="b">
        <v>0</v>
      </c>
      <c r="M30" s="9">
        <f ca="1">VLOOKUP(Predictions!B30,Calculations!A$45:U$62,20,1)</f>
        <v>1231.5758965344385</v>
      </c>
      <c r="N30" s="9">
        <f ca="1">VLOOKUP(Predictions!F30,Calculations!A$45:U$62,20,1)</f>
        <v>1411.179748936793</v>
      </c>
      <c r="O30" s="9">
        <f t="shared" ca="1" si="12"/>
        <v>-179.60385240235451</v>
      </c>
      <c r="P30" s="4">
        <f t="shared" ca="1" si="13"/>
        <v>0.26233201911400333</v>
      </c>
      <c r="Q30" s="2" t="str">
        <f t="shared" ca="1" si="15"/>
        <v>Port Adelaide</v>
      </c>
      <c r="R30">
        <f t="shared" ca="1" si="14"/>
        <v>0</v>
      </c>
      <c r="T30" s="17">
        <f t="shared" ca="1" si="16"/>
        <v>48.378403295939471</v>
      </c>
    </row>
    <row r="31" spans="1:26">
      <c r="A31">
        <v>3</v>
      </c>
      <c r="B31" t="s">
        <v>18</v>
      </c>
      <c r="F31" t="s">
        <v>23</v>
      </c>
      <c r="J31" t="b">
        <v>0</v>
      </c>
      <c r="M31" s="9">
        <f ca="1">VLOOKUP(Predictions!B31,Calculations!A$45:U$62,20,1)</f>
        <v>1573.3640858996971</v>
      </c>
      <c r="N31" s="9">
        <f ca="1">VLOOKUP(Predictions!F31,Calculations!A$45:U$62,20,1)</f>
        <v>1677.5427471718569</v>
      </c>
      <c r="O31" s="9">
        <f t="shared" ca="1" si="12"/>
        <v>-104.17866127215984</v>
      </c>
      <c r="P31" s="4">
        <f t="shared" ca="1" si="13"/>
        <v>0.35441219907934135</v>
      </c>
      <c r="Q31" s="2" t="str">
        <f t="shared" ca="1" si="15"/>
        <v>West Coast</v>
      </c>
      <c r="R31">
        <f t="shared" ca="1" si="14"/>
        <v>0</v>
      </c>
      <c r="T31" s="17">
        <f t="shared" ca="1" si="16"/>
        <v>24.956185932211788</v>
      </c>
    </row>
    <row r="32" spans="1:26">
      <c r="A32">
        <v>3</v>
      </c>
      <c r="B32" t="s">
        <v>20</v>
      </c>
      <c r="F32" t="s">
        <v>15</v>
      </c>
      <c r="J32" t="b">
        <v>0</v>
      </c>
      <c r="M32" s="9">
        <f ca="1">VLOOKUP(Predictions!B32,Calculations!A$45:U$62,20,1)</f>
        <v>1291.9124856407036</v>
      </c>
      <c r="N32" s="9">
        <f ca="1">VLOOKUP(Predictions!F32,Calculations!A$45:U$62,20,1)</f>
        <v>1267.72407953787</v>
      </c>
      <c r="O32" s="9">
        <f t="shared" ca="1" si="12"/>
        <v>24.188406102833596</v>
      </c>
      <c r="P32" s="4">
        <f t="shared" ca="1" si="13"/>
        <v>0.5347537830982434</v>
      </c>
      <c r="Q32" s="2" t="str">
        <f t="shared" ca="1" si="15"/>
        <v>Western Bulldogs</v>
      </c>
      <c r="R32">
        <f t="shared" ca="1" si="14"/>
        <v>1</v>
      </c>
      <c r="T32" s="17">
        <f t="shared" ca="1" si="16"/>
        <v>30.725162176614461</v>
      </c>
    </row>
    <row r="33" spans="1:20">
      <c r="A33">
        <v>3</v>
      </c>
      <c r="B33" t="s">
        <v>17</v>
      </c>
      <c r="F33" t="s">
        <v>80</v>
      </c>
      <c r="J33" t="b">
        <v>1</v>
      </c>
      <c r="M33" s="9">
        <f ca="1">VLOOKUP(Predictions!B33,Calculations!A$45:U$62,20,1)</f>
        <v>1627.1341195580198</v>
      </c>
      <c r="N33" s="9">
        <f ca="1">VLOOKUP(Predictions!F33,Calculations!A$45:U$62,20,1)</f>
        <v>1761.4322097089557</v>
      </c>
      <c r="O33" s="9">
        <f t="shared" ca="1" si="12"/>
        <v>-134.29809015093588</v>
      </c>
      <c r="P33" s="4">
        <f t="shared" ca="1" si="13"/>
        <v>0.31581279576669735</v>
      </c>
      <c r="Q33" s="2" t="str">
        <f t="shared" ca="1" si="15"/>
        <v>North Melborune</v>
      </c>
      <c r="R33">
        <f t="shared" ca="1" si="14"/>
        <v>0</v>
      </c>
      <c r="T33" s="17">
        <f t="shared" ca="1" si="16"/>
        <v>-13.5463436308775</v>
      </c>
    </row>
    <row r="34" spans="1:20">
      <c r="A34">
        <v>3</v>
      </c>
      <c r="B34" t="s">
        <v>14</v>
      </c>
      <c r="F34" t="s">
        <v>11</v>
      </c>
      <c r="J34" t="b">
        <v>0</v>
      </c>
      <c r="M34" s="9">
        <f ca="1">VLOOKUP(Predictions!B34,Calculations!A$45:U$62,20,1)</f>
        <v>1317.3735860179418</v>
      </c>
      <c r="N34" s="9">
        <f ca="1">VLOOKUP(Predictions!F34,Calculations!A$45:U$62,20,1)</f>
        <v>1245.2272192150926</v>
      </c>
      <c r="O34" s="9">
        <f t="shared" ca="1" si="12"/>
        <v>72.146366802849116</v>
      </c>
      <c r="P34" s="4">
        <f t="shared" ca="1" si="13"/>
        <v>0.60235992141511385</v>
      </c>
      <c r="Q34" s="2" t="str">
        <f t="shared" ca="1" si="15"/>
        <v>Fremantle</v>
      </c>
      <c r="R34">
        <f t="shared" ca="1" si="14"/>
        <v>1</v>
      </c>
      <c r="T34" s="17">
        <f t="shared" ca="1" si="16"/>
        <v>36.507221723786067</v>
      </c>
    </row>
    <row r="35" spans="1:20">
      <c r="T35" s="17">
        <f t="shared" ca="1" si="16"/>
        <v>25.946213132737906</v>
      </c>
    </row>
    <row r="36" spans="1:20">
      <c r="T36" s="17">
        <f t="shared" ca="1" si="16"/>
        <v>-1.4016868330361125</v>
      </c>
    </row>
    <row r="37" spans="1:20">
      <c r="T37" s="17">
        <f t="shared" ca="1" si="16"/>
        <v>-7.178717474627442</v>
      </c>
    </row>
    <row r="38" spans="1:20">
      <c r="T38" s="17">
        <f t="shared" ca="1" si="16"/>
        <v>-15.277317179035457</v>
      </c>
    </row>
    <row r="39" spans="1:20">
      <c r="T39" s="17">
        <f t="shared" ca="1" si="16"/>
        <v>-48.378403295939471</v>
      </c>
    </row>
    <row r="40" spans="1:20">
      <c r="T40" s="17">
        <f t="shared" ca="1" si="16"/>
        <v>-24.956185932211788</v>
      </c>
    </row>
    <row r="41" spans="1:20">
      <c r="T41" s="17">
        <f t="shared" ca="1" si="16"/>
        <v>-30.725162176614461</v>
      </c>
    </row>
    <row r="42" spans="1:20">
      <c r="T42" s="17">
        <f t="shared" ca="1" si="16"/>
        <v>13.5463436308775</v>
      </c>
    </row>
    <row r="43" spans="1:20">
      <c r="T43" s="17">
        <f t="shared" ca="1" si="16"/>
        <v>-36.507221723786067</v>
      </c>
    </row>
    <row r="44" spans="1:20">
      <c r="T44" s="17">
        <f t="shared" ca="1" si="16"/>
        <v>-25.946213132737906</v>
      </c>
    </row>
    <row r="45" spans="1:20">
      <c r="T45" s="17">
        <f t="shared" ca="1" si="16"/>
        <v>1.4016868330361125</v>
      </c>
    </row>
    <row r="46" spans="1:20">
      <c r="A46">
        <f t="shared" ref="A46" si="17">A37</f>
        <v>0</v>
      </c>
      <c r="B46">
        <f t="shared" ref="B46" si="18">F37</f>
        <v>0</v>
      </c>
      <c r="C46">
        <f t="shared" ref="C46" si="19">G37</f>
        <v>0</v>
      </c>
      <c r="D46">
        <f t="shared" ref="D46" si="20">H37</f>
        <v>0</v>
      </c>
      <c r="E46">
        <f t="shared" ref="E46" si="21">I37</f>
        <v>0</v>
      </c>
      <c r="F46">
        <f t="shared" ref="F46" si="22">B37</f>
        <v>0</v>
      </c>
      <c r="G46">
        <f t="shared" ref="G46" si="23">C37</f>
        <v>0</v>
      </c>
      <c r="H46">
        <f t="shared" ref="H46" si="24">D37</f>
        <v>0</v>
      </c>
      <c r="I46">
        <f t="shared" ref="I46" si="25">E37</f>
        <v>0</v>
      </c>
      <c r="J46">
        <f t="shared" ref="J46" si="26">J37</f>
        <v>0</v>
      </c>
      <c r="K46">
        <f t="shared" ref="K46" si="27">-1*K37</f>
        <v>0</v>
      </c>
      <c r="L46" s="9">
        <f t="shared" ref="L46" si="28">M37</f>
        <v>0</v>
      </c>
      <c r="M46" s="9">
        <f t="shared" ref="M46" si="29">L37</f>
        <v>0</v>
      </c>
      <c r="N46" s="9">
        <f t="shared" ref="N46" si="30">L46-M46</f>
        <v>0</v>
      </c>
      <c r="O46" s="4">
        <f t="shared" ref="O46" si="31">1/(1+(10^((M46-L46-K46)/400)))</f>
        <v>0.5</v>
      </c>
      <c r="T46" s="17"/>
    </row>
    <row r="47" spans="1:20">
      <c r="L47" s="9"/>
      <c r="M47" s="9"/>
      <c r="N47" s="9"/>
      <c r="O47" s="4"/>
      <c r="T47" s="17"/>
    </row>
    <row r="48" spans="1:20">
      <c r="L48" s="9"/>
      <c r="M48" s="9"/>
      <c r="N48" s="9"/>
      <c r="O48" s="4"/>
      <c r="T48" s="17"/>
    </row>
    <row r="49" spans="1:20">
      <c r="A49">
        <v>2</v>
      </c>
      <c r="B49" s="2" t="s">
        <v>7</v>
      </c>
      <c r="F49" t="s">
        <v>18</v>
      </c>
      <c r="J49" t="b">
        <v>1</v>
      </c>
      <c r="K49">
        <f t="shared" ref="K49:K57" si="32">IF(J49=FALSE,HFA,0)</f>
        <v>0</v>
      </c>
      <c r="L49" s="9">
        <f ca="1">VLOOKUP(B49,Calculations!$I$2:$AG$19,$A49+1,FALSE)</f>
        <v>1692.5710901316245</v>
      </c>
      <c r="M49" s="9">
        <f ca="1">VLOOKUP(F49,Calculations!$I$2:$AG$19,$A49+1,FALSE)</f>
        <v>1639.4740673902973</v>
      </c>
      <c r="N49" s="9">
        <f ca="1">L49-M49</f>
        <v>53.097022741327237</v>
      </c>
      <c r="O49" s="4">
        <f ca="1">1/(1+(10^((M49-L49-K49)/400)))</f>
        <v>0.57582337413461482</v>
      </c>
      <c r="T49" s="17"/>
    </row>
    <row r="50" spans="1:20">
      <c r="A50">
        <v>2</v>
      </c>
      <c r="B50" s="2" t="s">
        <v>24</v>
      </c>
      <c r="F50" t="s">
        <v>10</v>
      </c>
      <c r="J50" t="b">
        <v>0</v>
      </c>
      <c r="K50">
        <f t="shared" si="32"/>
        <v>30</v>
      </c>
      <c r="L50" s="9">
        <f ca="1">VLOOKUP(B50,Calculations!$I$2:$AG$19,$A50+1,FALSE)</f>
        <v>1644.7451392469115</v>
      </c>
      <c r="M50" s="9">
        <f ca="1">VLOOKUP(F50,Calculations!$I$2:$AG$19,$A50+1,FALSE)</f>
        <v>1531.7472311179511</v>
      </c>
      <c r="N50" s="9">
        <f t="shared" ref="N50:N58" ca="1" si="33">L50-M50</f>
        <v>112.99790812896049</v>
      </c>
      <c r="O50" s="4">
        <f t="shared" ref="O50:O58" ca="1" si="34">1/(1+(10^((M50-L50-K50)/400)))</f>
        <v>0.6949071597437696</v>
      </c>
      <c r="T50" s="17"/>
    </row>
    <row r="51" spans="1:20">
      <c r="A51">
        <v>2</v>
      </c>
      <c r="B51" s="2" t="s">
        <v>9</v>
      </c>
      <c r="F51" t="s">
        <v>11</v>
      </c>
      <c r="J51" t="b">
        <v>1</v>
      </c>
      <c r="K51">
        <f t="shared" si="32"/>
        <v>0</v>
      </c>
      <c r="L51" s="9">
        <f ca="1">VLOOKUP(B51,Calculations!$I$2:$AG$19,$A51+1,FALSE)</f>
        <v>1671.6280088387439</v>
      </c>
      <c r="M51" s="9">
        <f ca="1">VLOOKUP(F51,Calculations!$I$2:$AG$19,$A51+1,FALSE)</f>
        <v>1313.7995820936294</v>
      </c>
      <c r="N51" s="9">
        <f t="shared" ca="1" si="33"/>
        <v>357.82842674511448</v>
      </c>
      <c r="O51" s="4">
        <f t="shared" ca="1" si="34"/>
        <v>0.88693672270647028</v>
      </c>
      <c r="T51" s="17"/>
    </row>
    <row r="52" spans="1:20">
      <c r="A52">
        <v>2</v>
      </c>
      <c r="B52" s="2" t="s">
        <v>13</v>
      </c>
      <c r="F52" t="s">
        <v>8</v>
      </c>
      <c r="J52" t="b">
        <v>0</v>
      </c>
      <c r="K52">
        <f t="shared" si="32"/>
        <v>30</v>
      </c>
      <c r="L52" s="9">
        <f ca="1">VLOOKUP(B52,Calculations!$I$2:$AG$19,$A52+1,FALSE)</f>
        <v>1429.9791604521351</v>
      </c>
      <c r="M52" s="9">
        <f ca="1">VLOOKUP(F52,Calculations!$I$2:$AG$19,$A52+1,FALSE)</f>
        <v>1245.3919863973142</v>
      </c>
      <c r="N52" s="9">
        <f t="shared" ca="1" si="33"/>
        <v>184.58717405482093</v>
      </c>
      <c r="O52" s="4">
        <f t="shared" ca="1" si="34"/>
        <v>0.77473840695100382</v>
      </c>
      <c r="T52" s="17"/>
    </row>
    <row r="53" spans="1:20">
      <c r="A53">
        <v>2</v>
      </c>
      <c r="B53" s="2" t="s">
        <v>23</v>
      </c>
      <c r="F53" t="s">
        <v>19</v>
      </c>
      <c r="J53" t="b">
        <v>0</v>
      </c>
      <c r="K53">
        <f t="shared" si="32"/>
        <v>30</v>
      </c>
      <c r="L53" s="9">
        <f ca="1">VLOOKUP(B53,Calculations!$I$2:$AG$19,$A53+1,FALSE)</f>
        <v>1699.1223397872602</v>
      </c>
      <c r="M53" s="9">
        <f ca="1">VLOOKUP(F53,Calculations!$I$2:$AG$19,$A53+1,FALSE)</f>
        <v>1471.8652230963248</v>
      </c>
      <c r="N53" s="9">
        <f t="shared" ca="1" si="33"/>
        <v>227.25711669093539</v>
      </c>
      <c r="O53" s="4">
        <f t="shared" ca="1" si="34"/>
        <v>0.81470712401285361</v>
      </c>
    </row>
    <row r="54" spans="1:20">
      <c r="A54">
        <v>2</v>
      </c>
      <c r="B54" s="2" t="s">
        <v>22</v>
      </c>
      <c r="F54" t="s">
        <v>21</v>
      </c>
      <c r="J54" t="b">
        <v>1</v>
      </c>
      <c r="K54">
        <f t="shared" si="32"/>
        <v>0</v>
      </c>
      <c r="L54" s="9">
        <f ca="1">VLOOKUP(B54,Calculations!$I$2:$AG$19,$A54+1,FALSE)</f>
        <v>1581.381177503587</v>
      </c>
      <c r="M54" s="9">
        <f ca="1">VLOOKUP(F54,Calculations!$I$2:$AG$19,$A54+1,FALSE)</f>
        <v>1681.5760268443969</v>
      </c>
      <c r="N54" s="9">
        <f t="shared" ca="1" si="33"/>
        <v>-100.19484934080992</v>
      </c>
      <c r="O54" s="4">
        <f t="shared" ca="1" si="34"/>
        <v>0.35967663469274025</v>
      </c>
    </row>
    <row r="55" spans="1:20">
      <c r="A55">
        <v>2</v>
      </c>
      <c r="B55" s="2" t="s">
        <v>16</v>
      </c>
      <c r="F55" t="s">
        <v>12</v>
      </c>
      <c r="J55" t="b">
        <v>0</v>
      </c>
      <c r="K55">
        <f t="shared" si="32"/>
        <v>30</v>
      </c>
      <c r="L55" s="9">
        <f ca="1">VLOOKUP(B55,Calculations!$I$2:$AG$19,$A55+1,FALSE)</f>
        <v>1581.2992628316167</v>
      </c>
      <c r="M55" s="9">
        <f ca="1">VLOOKUP(F55,Calculations!$I$2:$AG$19,$A55+1,FALSE)</f>
        <v>1311.2754335136724</v>
      </c>
      <c r="N55" s="9">
        <f t="shared" ca="1" si="33"/>
        <v>270.02382931794432</v>
      </c>
      <c r="O55" s="4">
        <f t="shared" ca="1" si="34"/>
        <v>0.84903802537715412</v>
      </c>
    </row>
    <row r="56" spans="1:20">
      <c r="A56">
        <v>2</v>
      </c>
      <c r="B56" s="2" t="s">
        <v>17</v>
      </c>
      <c r="F56" t="s">
        <v>20</v>
      </c>
      <c r="J56" t="b">
        <v>1</v>
      </c>
      <c r="K56">
        <f t="shared" si="32"/>
        <v>0</v>
      </c>
      <c r="L56" s="9">
        <f ca="1">VLOOKUP(B56,Calculations!$I$2:$AG$19,$A56+1,FALSE)</f>
        <v>1555.4782328239842</v>
      </c>
      <c r="M56" s="9">
        <f ca="1">VLOOKUP(F56,Calculations!$I$2:$AG$19,$A56+1,FALSE)</f>
        <v>1363.5683723747393</v>
      </c>
      <c r="N56" s="9">
        <f t="shared" ca="1" si="33"/>
        <v>191.90986044924489</v>
      </c>
      <c r="O56" s="4">
        <f t="shared" ca="1" si="34"/>
        <v>0.75114381267551289</v>
      </c>
    </row>
    <row r="57" spans="1:20">
      <c r="A57">
        <v>2</v>
      </c>
      <c r="B57" s="3" t="s">
        <v>15</v>
      </c>
      <c r="F57" s="2" t="s">
        <v>14</v>
      </c>
      <c r="J57" t="b">
        <v>0</v>
      </c>
      <c r="K57">
        <f t="shared" si="32"/>
        <v>30</v>
      </c>
      <c r="L57" s="9">
        <f ca="1">VLOOKUP(B57,Calculations!$I$2:$AG$19,$A57+1,FALSE)</f>
        <v>1287.365079697151</v>
      </c>
      <c r="M57" s="9">
        <f ca="1">VLOOKUP(F57,Calculations!$I$2:$AG$19,$A57+1,FALSE)</f>
        <v>1297.7325858586607</v>
      </c>
      <c r="N57" s="9">
        <f t="shared" ca="1" si="33"/>
        <v>-10.367506161509709</v>
      </c>
      <c r="O57" s="4">
        <f t="shared" ca="1" si="34"/>
        <v>0.52822339683533492</v>
      </c>
    </row>
    <row r="58" spans="1:20">
      <c r="A58">
        <f>A49</f>
        <v>2</v>
      </c>
      <c r="B58" t="str">
        <f>F49</f>
        <v>Collingwood</v>
      </c>
      <c r="F58" t="str">
        <f>B49</f>
        <v>Richmond</v>
      </c>
      <c r="J58" t="b">
        <f>J49</f>
        <v>1</v>
      </c>
      <c r="K58">
        <f>-1*K49</f>
        <v>0</v>
      </c>
      <c r="L58" s="9">
        <f ca="1">M49</f>
        <v>1639.4740673902973</v>
      </c>
      <c r="M58" s="9">
        <f ca="1">L49</f>
        <v>1692.5710901316245</v>
      </c>
      <c r="N58" s="9">
        <f t="shared" ca="1" si="33"/>
        <v>-53.097022741327237</v>
      </c>
      <c r="O58" s="4">
        <f t="shared" ca="1" si="34"/>
        <v>0.42417662586538518</v>
      </c>
    </row>
    <row r="59" spans="1:20">
      <c r="A59">
        <f t="shared" ref="A59:A66" si="35">A50</f>
        <v>2</v>
      </c>
      <c r="B59" t="str">
        <f t="shared" ref="B59:B66" si="36">F50</f>
        <v>Adelaide</v>
      </c>
      <c r="F59" t="str">
        <f t="shared" ref="F59:F66" si="37">B50</f>
        <v>Sydney</v>
      </c>
      <c r="J59" t="b">
        <f t="shared" ref="J59:J66" si="38">J50</f>
        <v>0</v>
      </c>
      <c r="K59">
        <f t="shared" ref="K59:K66" si="39">-1*K50</f>
        <v>-30</v>
      </c>
      <c r="L59" s="9">
        <f t="shared" ref="L59:L66" ca="1" si="40">M50</f>
        <v>1531.7472311179511</v>
      </c>
      <c r="M59" s="9">
        <f t="shared" ref="M59:M66" ca="1" si="41">L50</f>
        <v>1644.7451392469115</v>
      </c>
      <c r="N59" s="9">
        <f t="shared" ref="N59:N66" ca="1" si="42">L59-M59</f>
        <v>-112.99790812896049</v>
      </c>
      <c r="O59" s="4">
        <f t="shared" ref="O59:O66" ca="1" si="43">1/(1+(10^((M59-L59-K59)/400)))</f>
        <v>0.3050928402562304</v>
      </c>
    </row>
    <row r="60" spans="1:20">
      <c r="A60">
        <f t="shared" si="35"/>
        <v>2</v>
      </c>
      <c r="B60" t="str">
        <f t="shared" si="36"/>
        <v>St. Kilda</v>
      </c>
      <c r="F60" t="str">
        <f t="shared" si="37"/>
        <v>Essendon</v>
      </c>
      <c r="J60" t="b">
        <f t="shared" si="38"/>
        <v>1</v>
      </c>
      <c r="K60">
        <f t="shared" si="39"/>
        <v>0</v>
      </c>
      <c r="L60" s="9">
        <f t="shared" ca="1" si="40"/>
        <v>1313.7995820936294</v>
      </c>
      <c r="M60" s="9">
        <f t="shared" ca="1" si="41"/>
        <v>1671.6280088387439</v>
      </c>
      <c r="N60" s="9">
        <f t="shared" ca="1" si="42"/>
        <v>-357.82842674511448</v>
      </c>
      <c r="O60" s="4">
        <f t="shared" ca="1" si="43"/>
        <v>0.11306327729352962</v>
      </c>
    </row>
    <row r="61" spans="1:20">
      <c r="A61">
        <f t="shared" si="35"/>
        <v>2</v>
      </c>
      <c r="B61" t="str">
        <f t="shared" si="36"/>
        <v>Carlton</v>
      </c>
      <c r="F61" t="str">
        <f t="shared" si="37"/>
        <v>Port Adelaide</v>
      </c>
      <c r="J61" t="b">
        <f t="shared" si="38"/>
        <v>0</v>
      </c>
      <c r="K61">
        <f t="shared" si="39"/>
        <v>-30</v>
      </c>
      <c r="L61" s="9">
        <f t="shared" ca="1" si="40"/>
        <v>1245.3919863973142</v>
      </c>
      <c r="M61" s="9">
        <f t="shared" ca="1" si="41"/>
        <v>1429.9791604521351</v>
      </c>
      <c r="N61" s="9">
        <f t="shared" ca="1" si="42"/>
        <v>-184.58717405482093</v>
      </c>
      <c r="O61" s="4">
        <f t="shared" ca="1" si="43"/>
        <v>0.22526159304899607</v>
      </c>
    </row>
    <row r="62" spans="1:20">
      <c r="A62">
        <f t="shared" si="35"/>
        <v>2</v>
      </c>
      <c r="B62" t="str">
        <f t="shared" si="36"/>
        <v>GWS</v>
      </c>
      <c r="F62" t="str">
        <f t="shared" si="37"/>
        <v>West Coast</v>
      </c>
      <c r="J62" t="b">
        <f t="shared" si="38"/>
        <v>0</v>
      </c>
      <c r="K62">
        <f t="shared" si="39"/>
        <v>-30</v>
      </c>
      <c r="L62" s="9">
        <f t="shared" ca="1" si="40"/>
        <v>1471.8652230963248</v>
      </c>
      <c r="M62" s="9">
        <f t="shared" ca="1" si="41"/>
        <v>1699.1223397872602</v>
      </c>
      <c r="N62" s="9">
        <f t="shared" ca="1" si="42"/>
        <v>-227.25711669093539</v>
      </c>
      <c r="O62" s="4">
        <f t="shared" ca="1" si="43"/>
        <v>0.18529287598714644</v>
      </c>
    </row>
    <row r="63" spans="1:20">
      <c r="A63">
        <f t="shared" si="35"/>
        <v>2</v>
      </c>
      <c r="B63" t="str">
        <f t="shared" si="36"/>
        <v>Melbourne</v>
      </c>
      <c r="F63" t="str">
        <f t="shared" si="37"/>
        <v>Geelong</v>
      </c>
      <c r="J63" t="b">
        <f t="shared" si="38"/>
        <v>1</v>
      </c>
      <c r="K63">
        <f t="shared" si="39"/>
        <v>0</v>
      </c>
      <c r="L63" s="9">
        <f t="shared" ca="1" si="40"/>
        <v>1681.5760268443969</v>
      </c>
      <c r="M63" s="9">
        <f t="shared" ca="1" si="41"/>
        <v>1581.381177503587</v>
      </c>
      <c r="N63" s="9">
        <f t="shared" ca="1" si="42"/>
        <v>100.19484934080992</v>
      </c>
      <c r="O63" s="4">
        <f t="shared" ca="1" si="43"/>
        <v>0.64032336530725975</v>
      </c>
    </row>
    <row r="64" spans="1:20">
      <c r="A64">
        <f t="shared" si="35"/>
        <v>2</v>
      </c>
      <c r="B64" t="str">
        <f t="shared" si="36"/>
        <v>Brisbane Lions</v>
      </c>
      <c r="F64" t="str">
        <f t="shared" si="37"/>
        <v>North Melbourne</v>
      </c>
      <c r="J64" t="b">
        <f t="shared" si="38"/>
        <v>0</v>
      </c>
      <c r="K64">
        <f t="shared" si="39"/>
        <v>-30</v>
      </c>
      <c r="L64" s="9">
        <f t="shared" ca="1" si="40"/>
        <v>1311.2754335136724</v>
      </c>
      <c r="M64" s="9">
        <f t="shared" ca="1" si="41"/>
        <v>1581.2992628316167</v>
      </c>
      <c r="N64" s="9">
        <f t="shared" ca="1" si="42"/>
        <v>-270.02382931794432</v>
      </c>
      <c r="O64" s="4">
        <f t="shared" ca="1" si="43"/>
        <v>0.15096197462284597</v>
      </c>
    </row>
    <row r="65" spans="1:15">
      <c r="A65">
        <f t="shared" si="35"/>
        <v>2</v>
      </c>
      <c r="B65" t="str">
        <f t="shared" si="36"/>
        <v>Western Bulldogs</v>
      </c>
      <c r="F65" t="str">
        <f t="shared" si="37"/>
        <v>Hawthorn</v>
      </c>
      <c r="J65" t="b">
        <f t="shared" si="38"/>
        <v>1</v>
      </c>
      <c r="K65">
        <f t="shared" si="39"/>
        <v>0</v>
      </c>
      <c r="L65" s="9">
        <f t="shared" ca="1" si="40"/>
        <v>1363.5683723747393</v>
      </c>
      <c r="M65" s="9">
        <f t="shared" ca="1" si="41"/>
        <v>1555.4782328239842</v>
      </c>
      <c r="N65" s="9">
        <f t="shared" ca="1" si="42"/>
        <v>-191.90986044924489</v>
      </c>
      <c r="O65" s="4">
        <f t="shared" ca="1" si="43"/>
        <v>0.24885618732448717</v>
      </c>
    </row>
    <row r="66" spans="1:15">
      <c r="A66">
        <f t="shared" si="35"/>
        <v>2</v>
      </c>
      <c r="B66" t="str">
        <f t="shared" si="36"/>
        <v>Fremantle</v>
      </c>
      <c r="F66" t="str">
        <f t="shared" si="37"/>
        <v>Gold Coast</v>
      </c>
      <c r="J66" t="b">
        <f t="shared" si="38"/>
        <v>0</v>
      </c>
      <c r="K66">
        <f t="shared" si="39"/>
        <v>-30</v>
      </c>
      <c r="L66" s="9">
        <f t="shared" ca="1" si="40"/>
        <v>1297.7325858586607</v>
      </c>
      <c r="M66" s="9">
        <f t="shared" ca="1" si="41"/>
        <v>1287.365079697151</v>
      </c>
      <c r="N66" s="9">
        <f t="shared" ca="1" si="42"/>
        <v>10.367506161509709</v>
      </c>
      <c r="O66" s="4">
        <f t="shared" ca="1" si="43"/>
        <v>0.47177660316466502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096B-21A2-994B-9874-EB58B0A8C679}">
  <dimension ref="A1"/>
  <sheetViews>
    <sheetView workbookViewId="0">
      <selection activeCell="V10" sqref="V10"/>
    </sheetView>
  </sheetViews>
  <sheetFormatPr baseColWidth="10" defaultRowHeight="1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AC13-D915-ED49-898D-A91D12409BA7}">
  <dimension ref="A1:O29"/>
  <sheetViews>
    <sheetView workbookViewId="0">
      <selection activeCell="B5" sqref="B5"/>
    </sheetView>
  </sheetViews>
  <sheetFormatPr baseColWidth="10" defaultRowHeight="16"/>
  <cols>
    <col min="7" max="7" width="10.6640625" customWidth="1"/>
  </cols>
  <sheetData>
    <row r="1" spans="1:15">
      <c r="A1" s="2" t="s">
        <v>25</v>
      </c>
      <c r="B1" s="2">
        <v>30</v>
      </c>
      <c r="D1" s="2" t="s">
        <v>60</v>
      </c>
      <c r="E1" s="12" t="s">
        <v>58</v>
      </c>
      <c r="F1" s="2" t="s">
        <v>62</v>
      </c>
      <c r="I1" s="1"/>
      <c r="J1" s="9"/>
      <c r="N1" s="1"/>
      <c r="O1" s="9"/>
    </row>
    <row r="2" spans="1:15">
      <c r="A2" s="2" t="s">
        <v>26</v>
      </c>
      <c r="B2">
        <v>1500</v>
      </c>
      <c r="D2" s="9">
        <f ca="1">Calculations!AC26</f>
        <v>529.85631317451725</v>
      </c>
      <c r="E2" s="4">
        <f ca="1">Calculations!AC27</f>
        <v>-0.33731211952736423</v>
      </c>
      <c r="F2" s="4">
        <f ca="1">Calculations!AC28</f>
        <v>-0.17207282961992235</v>
      </c>
      <c r="N2" s="2"/>
      <c r="O2" s="4"/>
    </row>
    <row r="3" spans="1:15">
      <c r="A3" s="2" t="s">
        <v>27</v>
      </c>
      <c r="B3">
        <v>10</v>
      </c>
      <c r="N3" s="2"/>
      <c r="O3" s="4"/>
    </row>
    <row r="4" spans="1:15">
      <c r="A4" s="2" t="s">
        <v>28</v>
      </c>
      <c r="B4">
        <v>30</v>
      </c>
    </row>
    <row r="7" spans="1:15">
      <c r="A7" t="s">
        <v>25</v>
      </c>
      <c r="B7" t="s">
        <v>27</v>
      </c>
      <c r="C7" t="s">
        <v>28</v>
      </c>
      <c r="D7" s="2" t="s">
        <v>60</v>
      </c>
      <c r="E7" s="12" t="s">
        <v>58</v>
      </c>
      <c r="F7" s="2" t="s">
        <v>62</v>
      </c>
      <c r="G7" s="2" t="s">
        <v>64</v>
      </c>
    </row>
    <row r="8" spans="1:15">
      <c r="A8">
        <v>20</v>
      </c>
      <c r="B8">
        <v>2.2000000000000002</v>
      </c>
      <c r="C8">
        <v>9.9999999999999998E-13</v>
      </c>
      <c r="D8" s="9">
        <v>559.36812587738564</v>
      </c>
      <c r="E8" s="4">
        <v>0.40711854264249053</v>
      </c>
      <c r="F8" s="4">
        <v>0.51702075749533294</v>
      </c>
      <c r="G8" s="14">
        <f t="shared" ref="G8:G13" si="0">F8^2</f>
        <v>0.26731046368104788</v>
      </c>
    </row>
    <row r="9" spans="1:15">
      <c r="A9">
        <v>20</v>
      </c>
      <c r="B9">
        <v>2.2000000000000002</v>
      </c>
      <c r="C9">
        <v>65</v>
      </c>
      <c r="D9" s="9">
        <v>560.05970743012517</v>
      </c>
      <c r="E9" s="4">
        <v>0.38791467413476211</v>
      </c>
      <c r="F9" s="4">
        <v>0.52344733506408514</v>
      </c>
      <c r="G9" s="14">
        <f t="shared" si="0"/>
        <v>0.27399711258569259</v>
      </c>
    </row>
    <row r="10" spans="1:15">
      <c r="A10">
        <v>20</v>
      </c>
      <c r="B10">
        <v>2.2000000000000002</v>
      </c>
      <c r="C10">
        <v>20</v>
      </c>
      <c r="D10" s="9">
        <v>558.4918678841575</v>
      </c>
      <c r="E10" s="4">
        <v>0.4065796029786542</v>
      </c>
      <c r="F10" s="4">
        <v>0.51918631686376349</v>
      </c>
      <c r="G10" s="14">
        <f t="shared" si="0"/>
        <v>0.26955443161856024</v>
      </c>
    </row>
    <row r="11" spans="1:15">
      <c r="A11">
        <v>20</v>
      </c>
      <c r="B11">
        <v>2.2000000000000002</v>
      </c>
      <c r="C11">
        <v>100</v>
      </c>
      <c r="D11" s="9">
        <v>564.48644077692848</v>
      </c>
      <c r="E11" s="4">
        <v>0.36195438608238317</v>
      </c>
      <c r="F11" s="4">
        <v>0.5260496434152262</v>
      </c>
      <c r="G11" s="14">
        <f t="shared" si="0"/>
        <v>0.27672822733728664</v>
      </c>
    </row>
    <row r="12" spans="1:15">
      <c r="A12">
        <v>20</v>
      </c>
      <c r="B12">
        <v>2.2000000000000002</v>
      </c>
      <c r="C12">
        <v>200</v>
      </c>
      <c r="D12" s="9">
        <v>589.55001930923845</v>
      </c>
      <c r="E12" s="4">
        <v>0.27888311961404788</v>
      </c>
      <c r="F12" s="4">
        <v>0.52966447105655345</v>
      </c>
      <c r="G12" s="14">
        <f t="shared" si="0"/>
        <v>0.28054445189961857</v>
      </c>
    </row>
    <row r="13" spans="1:15">
      <c r="A13">
        <v>20</v>
      </c>
      <c r="B13">
        <v>2.2000000000000002</v>
      </c>
      <c r="C13">
        <v>300</v>
      </c>
      <c r="D13" s="9">
        <v>625.64350724118117</v>
      </c>
      <c r="E13" s="4">
        <v>0.215743789712567</v>
      </c>
      <c r="F13" s="4">
        <v>0.52855349649064598</v>
      </c>
      <c r="G13" s="14">
        <f t="shared" si="0"/>
        <v>0.27936879865248732</v>
      </c>
    </row>
    <row r="14" spans="1:15">
      <c r="G14" s="14"/>
    </row>
    <row r="15" spans="1:15">
      <c r="G15" s="14"/>
    </row>
    <row r="16" spans="1:15">
      <c r="A16">
        <v>20</v>
      </c>
      <c r="B16">
        <v>2.2000000000000002</v>
      </c>
      <c r="C16">
        <v>200</v>
      </c>
      <c r="D16" s="9">
        <v>589.55001930923845</v>
      </c>
      <c r="E16" s="4">
        <v>0.27888311961404788</v>
      </c>
      <c r="F16" s="4">
        <v>0.52966447105655345</v>
      </c>
      <c r="G16" s="14">
        <f t="shared" ref="G16:G22" si="1">F16^2</f>
        <v>0.28054445189961857</v>
      </c>
    </row>
    <row r="17" spans="1:7">
      <c r="A17">
        <v>20</v>
      </c>
      <c r="B17">
        <v>1</v>
      </c>
      <c r="C17">
        <v>200</v>
      </c>
      <c r="D17" s="9">
        <v>555.42327793283152</v>
      </c>
      <c r="E17" s="4">
        <v>0.26973503235361412</v>
      </c>
      <c r="F17" s="4">
        <v>0.52601137512857132</v>
      </c>
      <c r="G17" s="14">
        <f t="shared" si="1"/>
        <v>0.27668796676465057</v>
      </c>
    </row>
    <row r="18" spans="1:7">
      <c r="A18">
        <v>20</v>
      </c>
      <c r="B18">
        <v>3</v>
      </c>
      <c r="C18">
        <v>200</v>
      </c>
      <c r="D18" s="9">
        <v>597.62327669730848</v>
      </c>
      <c r="E18" s="4">
        <v>0.2808635470480989</v>
      </c>
      <c r="F18" s="4">
        <v>0.53013959880197536</v>
      </c>
      <c r="G18" s="14">
        <f t="shared" si="1"/>
        <v>0.28104799421791937</v>
      </c>
    </row>
    <row r="19" spans="1:7">
      <c r="A19">
        <v>20</v>
      </c>
      <c r="B19">
        <v>5</v>
      </c>
      <c r="C19">
        <v>200</v>
      </c>
      <c r="D19" s="9">
        <v>606.83704766763208</v>
      </c>
      <c r="E19" s="4">
        <v>0.28304054900782566</v>
      </c>
      <c r="F19" s="4">
        <v>0.53055426702906283</v>
      </c>
      <c r="G19" s="14">
        <f t="shared" si="1"/>
        <v>0.2814878302627461</v>
      </c>
    </row>
    <row r="20" spans="1:7">
      <c r="A20">
        <v>20</v>
      </c>
      <c r="B20">
        <v>10</v>
      </c>
      <c r="C20">
        <v>200</v>
      </c>
      <c r="D20" s="9">
        <v>614.01977207912341</v>
      </c>
      <c r="E20" s="4">
        <v>0.28467738173266877</v>
      </c>
      <c r="F20" s="4">
        <v>0.53079744030898812</v>
      </c>
      <c r="G20" s="14">
        <f t="shared" si="1"/>
        <v>0.28174592263857379</v>
      </c>
    </row>
    <row r="21" spans="1:7">
      <c r="A21">
        <v>20</v>
      </c>
      <c r="B21">
        <v>20</v>
      </c>
      <c r="C21">
        <v>200</v>
      </c>
      <c r="D21" s="9">
        <v>617.71098811483898</v>
      </c>
      <c r="E21" s="4">
        <v>0.28549836349475882</v>
      </c>
      <c r="F21" s="4">
        <v>0.53089856362469712</v>
      </c>
      <c r="G21" s="14">
        <f t="shared" si="1"/>
        <v>0.2818532848587666</v>
      </c>
    </row>
    <row r="22" spans="1:7">
      <c r="A22">
        <v>20</v>
      </c>
      <c r="B22">
        <v>30</v>
      </c>
      <c r="C22">
        <v>200</v>
      </c>
      <c r="D22" s="9">
        <v>618.95735639452096</v>
      </c>
      <c r="E22" s="4">
        <v>0.28577251190770475</v>
      </c>
      <c r="F22" s="4">
        <v>0.53092933885578963</v>
      </c>
      <c r="G22" s="14">
        <f t="shared" si="1"/>
        <v>0.2818859628578459</v>
      </c>
    </row>
    <row r="24" spans="1:7">
      <c r="A24">
        <v>20</v>
      </c>
      <c r="B24">
        <v>10</v>
      </c>
      <c r="C24">
        <v>200</v>
      </c>
      <c r="D24" s="9">
        <v>614.01977207912341</v>
      </c>
      <c r="E24" s="4">
        <v>0.28467738173266877</v>
      </c>
      <c r="F24" s="4">
        <v>0.53079744030898812</v>
      </c>
      <c r="G24" s="14">
        <f>F24^2</f>
        <v>0.28174592263857379</v>
      </c>
    </row>
    <row r="25" spans="1:7">
      <c r="A25">
        <v>10</v>
      </c>
      <c r="B25">
        <v>10</v>
      </c>
      <c r="C25">
        <v>200</v>
      </c>
      <c r="D25" s="9">
        <v>403.9194054655045</v>
      </c>
      <c r="E25" s="4">
        <v>0.21246817670592935</v>
      </c>
      <c r="F25" s="4">
        <v>0.53231317792629451</v>
      </c>
      <c r="G25" s="14">
        <f>F25^2</f>
        <v>0.28335731939399089</v>
      </c>
    </row>
    <row r="26" spans="1:7">
      <c r="A26">
        <v>30</v>
      </c>
      <c r="B26">
        <v>10</v>
      </c>
      <c r="C26">
        <v>200</v>
      </c>
      <c r="D26" s="9">
        <v>750.73556120750777</v>
      </c>
      <c r="E26" s="4">
        <v>0.31219606075604101</v>
      </c>
      <c r="F26" s="4">
        <v>0.52603437615574999</v>
      </c>
      <c r="G26" s="14">
        <f>F26^2</f>
        <v>0.27671216489756906</v>
      </c>
    </row>
    <row r="29" spans="1:7">
      <c r="A29" s="2">
        <v>20</v>
      </c>
      <c r="B29" s="2">
        <v>10</v>
      </c>
      <c r="C29" s="2">
        <v>200</v>
      </c>
      <c r="D29" s="13">
        <v>614.01977207912341</v>
      </c>
      <c r="E29" s="15">
        <v>0.28467738173266877</v>
      </c>
      <c r="F29" s="15">
        <v>0.53079744030898812</v>
      </c>
      <c r="G29" s="16">
        <f>F29^2</f>
        <v>0.28174592263857379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All scores</vt:lpstr>
      <vt:lpstr>FLIPPED</vt:lpstr>
      <vt:lpstr>Calculations</vt:lpstr>
      <vt:lpstr>Predictions</vt:lpstr>
      <vt:lpstr>Graph</vt:lpstr>
      <vt:lpstr>Model fitting</vt:lpstr>
      <vt:lpstr>'All scores'!Extract</vt:lpstr>
      <vt:lpstr>HFA</vt:lpstr>
      <vt:lpstr>k</vt:lpstr>
      <vt:lpstr>MVC</vt:lpstr>
      <vt:lpstr>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2019-03-24T14:24:58Z</dcterms:created>
  <dcterms:modified xsi:type="dcterms:W3CDTF">2019-04-04T15:59:12Z</dcterms:modified>
</cp:coreProperties>
</file>