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Data to work with" sheetId="2" r:id="rId5"/>
    <sheet state="visible" name="DASHBOARD" sheetId="3" r:id="rId6"/>
    <sheet state="visible" name="Services" sheetId="4" r:id="rId7"/>
  </sheets>
  <definedNames>
    <definedName hidden="1" localSheetId="0" name="Z_3A85B77D_9C6B_40E9_9F9B_F96032D2154A_.wvu.FilterData">Data!$A$1:$AJ$260</definedName>
  </definedNames>
  <calcPr/>
  <customWorkbookViews>
    <customWorkbookView activeSheetId="0" maximized="1" windowHeight="0" windowWidth="0" guid="{3A85B77D-9C6B-40E9-9F9B-F96032D2154A}" name="Filter 1"/>
  </customWorkbookViews>
</workbook>
</file>

<file path=xl/sharedStrings.xml><?xml version="1.0" encoding="utf-8"?>
<sst xmlns="http://schemas.openxmlformats.org/spreadsheetml/2006/main" count="1092" uniqueCount="533">
  <si>
    <t>Country Name</t>
  </si>
  <si>
    <t>Country Code</t>
  </si>
  <si>
    <t>Indicator Name</t>
  </si>
  <si>
    <t>Indicator Code</t>
  </si>
  <si>
    <t>Difference</t>
  </si>
  <si>
    <t>Aruba</t>
  </si>
  <si>
    <t>ABW</t>
  </si>
  <si>
    <t>Forest area (% of land area)</t>
  </si>
  <si>
    <t>AG.LND.FRST.ZS</t>
  </si>
  <si>
    <t>Africa Eastern and Southern</t>
  </si>
  <si>
    <t>AFE</t>
  </si>
  <si>
    <t>Afghanistan</t>
  </si>
  <si>
    <t>AFG</t>
  </si>
  <si>
    <t>Africa Western and Central</t>
  </si>
  <si>
    <t>AFW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</si>
  <si>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</si>
  <si>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</si>
  <si>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</si>
  <si>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</si>
  <si>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</si>
  <si>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</si>
  <si>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</si>
  <si>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</si>
  <si>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</si>
  <si>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</si>
  <si>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</si>
  <si>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</si>
  <si>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</si>
  <si>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</si>
  <si>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</si>
  <si>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</si>
  <si>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</si>
  <si>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</si>
  <si>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</si>
  <si>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</si>
  <si>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</si>
  <si>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</si>
  <si>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</si>
  <si>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</si>
  <si>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</si>
  <si>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</si>
  <si>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</si>
  <si>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</si>
  <si>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</si>
  <si>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</si>
  <si>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</si>
  <si>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</si>
  <si>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</si>
  <si>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</si>
  <si>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</si>
  <si>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</si>
  <si>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</si>
  <si>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</si>
  <si>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</si>
  <si>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</si>
  <si>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</si>
  <si>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</si>
  <si>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</si>
  <si>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</si>
  <si>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</si>
  <si>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</si>
  <si>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</si>
  <si>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</si>
  <si>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</si>
  <si>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</si>
  <si>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</si>
  <si>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</si>
  <si>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</si>
  <si>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</si>
  <si>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</si>
  <si>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</si>
  <si>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</si>
  <si>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</si>
  <si>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</si>
  <si>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</si>
  <si>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</si>
  <si>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</si>
  <si>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</si>
  <si>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</si>
  <si>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</si>
  <si>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</si>
  <si>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</si>
  <si>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</si>
  <si>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</si>
  <si>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</si>
  <si>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</si>
  <si>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</si>
  <si>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</si>
  <si>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</si>
  <si>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</si>
  <si>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</si>
  <si>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</si>
  <si>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</si>
  <si>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</si>
  <si>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</si>
  <si>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</si>
  <si>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</si>
  <si>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</si>
  <si>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</si>
  <si>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</si>
  <si>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</si>
  <si>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</si>
  <si>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</si>
  <si>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</si>
  <si>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</si>
  <si>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</si>
  <si>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</si>
  <si>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</si>
  <si>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</si>
  <si>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</si>
  <si>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</si>
  <si>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</si>
  <si>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</si>
  <si>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</si>
  <si>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</si>
  <si>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</si>
  <si>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</si>
  <si>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</si>
  <si>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</si>
  <si>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</si>
  <si>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</si>
  <si>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</si>
  <si>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</si>
  <si>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</si>
  <si>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</si>
  <si>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</si>
  <si>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</si>
  <si>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</si>
  <si>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</si>
  <si>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</si>
  <si>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</si>
  <si>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</si>
  <si>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</si>
  <si>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</si>
  <si>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</si>
  <si>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</si>
  <si>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</si>
  <si>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</si>
  <si>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</si>
  <si>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</si>
  <si>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</si>
  <si>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</si>
  <si>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</si>
  <si>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</si>
  <si>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</si>
  <si>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</si>
  <si>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</si>
  <si>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</si>
  <si>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</si>
  <si>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</si>
  <si>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</si>
  <si>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</si>
  <si>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</si>
  <si>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</si>
  <si>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</si>
  <si>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</si>
  <si>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</si>
  <si>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</si>
  <si>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</si>
  <si>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</si>
  <si>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</si>
  <si>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</si>
  <si>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</si>
  <si>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</si>
  <si>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</si>
  <si>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</si>
  <si>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</si>
  <si>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</si>
  <si>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</si>
  <si>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</si>
  <si>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</si>
  <si>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</si>
  <si>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</si>
  <si>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</si>
  <si>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</si>
  <si>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</si>
  <si>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</si>
  <si>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</si>
  <si>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</si>
  <si>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</si>
  <si>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</si>
  <si>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</si>
  <si>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</si>
  <si>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</si>
  <si>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</si>
  <si>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</si>
  <si>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</si>
  <si>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</si>
  <si>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</si>
  <si>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</si>
  <si>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</si>
  <si>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</si>
  <si>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</si>
  <si>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</si>
  <si>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</si>
  <si>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</si>
  <si>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</si>
  <si>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</si>
  <si>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</si>
  <si>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</si>
  <si>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</si>
  <si>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</si>
  <si>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</si>
  <si>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</si>
  <si>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</si>
  <si>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</si>
  <si>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</si>
  <si>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</si>
  <si>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</si>
  <si>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</si>
  <si>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</si>
  <si>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</si>
  <si>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</si>
  <si>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</si>
  <si>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</si>
  <si>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</si>
  <si>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</si>
  <si>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</si>
  <si>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</si>
  <si>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</si>
  <si>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</si>
  <si>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</si>
  <si>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</si>
  <si>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</si>
  <si>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</si>
  <si>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</si>
  <si>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</si>
  <si>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</si>
  <si>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</si>
  <si>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</si>
  <si>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</si>
  <si>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</si>
  <si>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</si>
  <si>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</si>
  <si>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</si>
  <si>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</si>
  <si>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</si>
  <si>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</si>
  <si>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</si>
  <si>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</si>
  <si>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</si>
  <si>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</si>
  <si>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</si>
  <si>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</si>
  <si>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</si>
  <si>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</si>
  <si>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</si>
  <si>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</si>
  <si>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</si>
  <si>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</si>
  <si>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</si>
  <si>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</si>
  <si>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</si>
  <si>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</si>
  <si>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</si>
  <si>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</si>
  <si>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</si>
  <si>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</si>
  <si>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</si>
  <si>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</si>
  <si>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</si>
  <si>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</si>
  <si>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</si>
  <si>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</si>
  <si>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</si>
  <si>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</si>
  <si>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</si>
  <si>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</si>
  <si>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</si>
  <si>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</si>
  <si>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</si>
  <si>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</si>
  <si>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</si>
  <si>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</si>
  <si>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</si>
  <si>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</si>
  <si>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</si>
  <si>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</si>
  <si>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</si>
  <si>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</si>
  <si>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</si>
  <si>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</si>
  <si>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</si>
  <si>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</si>
  <si>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</si>
  <si>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</si>
  <si>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</si>
  <si>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</si>
  <si>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</si>
  <si>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</si>
  <si>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</si>
  <si>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</si>
  <si>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</si>
  <si>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</si>
  <si>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</si>
  <si>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St. Martin (French part)</t>
  </si>
  <si>
    <t>MAF</t>
  </si>
  <si>
    <t>Morocco</t>
  </si>
  <si>
    <t>MAR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</si>
  <si>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</si>
  <si>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</si>
  <si>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</si>
  <si>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</si>
  <si>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</si>
  <si>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</si>
  <si>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</si>
  <si>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</si>
  <si>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</si>
  <si>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</si>
  <si>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</si>
  <si>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</si>
  <si>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</si>
  <si>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</si>
  <si>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</si>
  <si>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</si>
  <si>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</si>
  <si>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</si>
  <si>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</si>
  <si>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</si>
  <si>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</si>
  <si>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</si>
  <si>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</si>
  <si>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</si>
  <si>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</si>
  <si>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</si>
  <si>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</si>
  <si>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</si>
  <si>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</si>
  <si>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</si>
  <si>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</si>
  <si>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</si>
  <si>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</si>
  <si>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</si>
  <si>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</si>
  <si>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</si>
  <si>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</si>
  <si>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</si>
  <si>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</si>
  <si>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</si>
  <si>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</si>
  <si>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</si>
  <si>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</si>
  <si>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</si>
  <si>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</si>
  <si>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</si>
  <si>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</si>
  <si>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</si>
  <si>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</si>
  <si>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</si>
  <si>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</si>
  <si>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</si>
  <si>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</si>
  <si>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</si>
  <si>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</si>
  <si>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</si>
  <si>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</si>
  <si>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</si>
  <si>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</si>
  <si>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</si>
  <si>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</si>
  <si>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</si>
  <si>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</si>
  <si>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</si>
  <si>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</si>
  <si>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</si>
  <si>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</si>
  <si>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</si>
  <si>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</si>
  <si>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</si>
  <si>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</si>
  <si>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</si>
  <si>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</si>
  <si>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</si>
  <si>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</si>
  <si>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</si>
  <si>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</si>
  <si>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</si>
  <si>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</si>
  <si>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</si>
  <si>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</si>
  <si>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</si>
  <si>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</si>
  <si>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</si>
  <si>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</si>
  <si>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</si>
  <si>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</si>
  <si>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</si>
  <si>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</si>
  <si>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</si>
  <si>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</si>
  <si>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</si>
  <si>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</si>
  <si>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</si>
  <si>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</si>
  <si>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</si>
  <si>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</si>
  <si>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</si>
  <si>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</si>
  <si>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</si>
  <si>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</si>
  <si>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</si>
  <si>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</si>
  <si>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</si>
  <si>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</si>
  <si>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</si>
  <si>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</si>
  <si>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</si>
  <si>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</si>
  <si>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</si>
  <si>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</si>
  <si>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</si>
  <si>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</si>
  <si>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</si>
  <si>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</si>
  <si>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</si>
  <si>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</si>
  <si>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</si>
  <si>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</si>
  <si>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</si>
  <si>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</si>
  <si>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</si>
  <si>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</si>
  <si>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</si>
  <si>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</si>
  <si>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</si>
  <si>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</si>
  <si>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</si>
  <si>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</si>
  <si>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</si>
  <si>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</si>
  <si>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</si>
  <si>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</si>
  <si>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</si>
  <si>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</si>
  <si>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</si>
  <si>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</si>
  <si>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</si>
  <si>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</si>
  <si>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</si>
  <si>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</si>
  <si>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</si>
  <si>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</si>
  <si>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</si>
  <si>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</si>
  <si>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</si>
  <si>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</si>
  <si>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</si>
  <si>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</si>
  <si>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</si>
  <si>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</si>
  <si>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</si>
  <si>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</si>
  <si>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</si>
  <si>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</si>
  <si>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</si>
  <si>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</si>
  <si>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</si>
  <si>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</si>
  <si>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</si>
  <si>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</si>
  <si>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</si>
  <si>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</si>
  <si>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</si>
  <si>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</si>
  <si>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</si>
  <si>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</si>
  <si>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</si>
  <si>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</si>
  <si>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</si>
  <si>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</si>
  <si>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</si>
  <si>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</si>
  <si>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</si>
  <si>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</si>
  <si>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</si>
  <si>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</si>
  <si>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</si>
  <si>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</si>
  <si>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</si>
  <si>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</si>
  <si>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</si>
  <si>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</si>
  <si>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</si>
  <si>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</si>
  <si>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</si>
  <si>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</si>
  <si>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</si>
  <si>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</si>
  <si>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</si>
  <si>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</si>
  <si>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</si>
  <si>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</si>
  <si>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</si>
  <si>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</si>
  <si>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</si>
  <si>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</si>
  <si>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</si>
  <si>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</si>
  <si>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</si>
  <si>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</si>
  <si>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</si>
  <si>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</si>
  <si>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</si>
  <si>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</si>
  <si>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</si>
  <si>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</si>
  <si>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</si>
  <si>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</si>
  <si>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</si>
  <si>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</si>
  <si>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</si>
  <si>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</si>
  <si>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</si>
  <si>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</si>
  <si>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</si>
  <si>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</si>
  <si>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</si>
  <si>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</si>
  <si>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</si>
  <si>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</si>
  <si>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</si>
  <si>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</si>
  <si>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</si>
  <si>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</si>
  <si>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</si>
  <si>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TOP 20 Countries with the highest forest area increase between 1990 - 2020</t>
  </si>
  <si>
    <t xml:space="preserve">TOP 20 FORSEST Countries </t>
  </si>
  <si>
    <t>SECTION 1</t>
  </si>
  <si>
    <t>SECTION 2</t>
  </si>
  <si>
    <t>Select a country</t>
  </si>
  <si>
    <t>FOREST Area in 2020</t>
  </si>
  <si>
    <t>Choose countries to compare</t>
  </si>
  <si>
    <t>Country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</si>
</sst>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sz val="11.0"/>
      <color rgb="FF000000"/>
      <name val="Calibri"/>
    </font>
    <font>
      <color theme="1"/>
      <name val="Arial"/>
    </font>
    <font>
      <b/>
      <sz val="11.0"/>
      <color rgb="FF000000"/>
      <name val="Calibri"/>
    </font>
    <font>
      <sz val="11.0"/>
      <color rgb="FF000000"/>
      <name val="Inconsolata"/>
    </font>
    <font>
      <b/>
      <sz val="24.0"/>
      <color rgb="FF073763"/>
      <name val="Arial"/>
    </font>
    <font>
      <sz val="36.0"/>
      <color theme="1"/>
      <name val="Arial"/>
    </font>
    <font>
      <b/>
      <sz val="18.0"/>
      <color rgb="FF1C4587"/>
      <name val="Arial"/>
    </font>
    <font>
      <b/>
      <sz val="18.0"/>
      <color rgb="FF073763"/>
      <name val="Arial"/>
    </font>
    <font>
      <b/>
      <sz val="18.0"/>
      <color rgb="FF3D85C6"/>
      <name val="Arial"/>
    </font>
    <font>
      <b/>
      <sz val="14.0"/>
      <color rgb="FF073763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BED6EB"/>
        <bgColor rgb="FFBED6EB"/>
      </patternFill>
    </fill>
    <fill>
      <patternFill patternType="solid">
        <fgColor rgb="FFC9DAF8"/>
        <bgColor rgb="FFC9DAF8"/>
      </patternFill>
    </fill>
    <fill>
      <patternFill patternType="solid">
        <fgColor rgb="FF9FC5E8"/>
        <bgColor rgb="FF9FC5E8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2" fontId="4" numFmtId="0" xfId="0" applyFill="1" applyFont="1"/>
    <xf borderId="0" fillId="3" fontId="2" numFmtId="0" xfId="0" applyFill="1" applyFont="1"/>
    <xf borderId="0" fillId="3" fontId="5" numFmtId="0" xfId="0" applyAlignment="1" applyFont="1">
      <alignment horizontal="right" readingOrder="0" shrinkToFit="0" wrapText="1"/>
    </xf>
    <xf borderId="0" fillId="3" fontId="6" numFmtId="0" xfId="0" applyAlignment="1" applyFont="1">
      <alignment readingOrder="0"/>
    </xf>
    <xf borderId="0" fillId="4" fontId="5" numFmtId="0" xfId="0" applyAlignment="1" applyFill="1" applyFont="1">
      <alignment horizontal="center" readingOrder="0"/>
    </xf>
    <xf borderId="0" fillId="4" fontId="2" numFmtId="0" xfId="0" applyFont="1"/>
    <xf borderId="0" fillId="5" fontId="5" numFmtId="0" xfId="0" applyAlignment="1" applyFill="1" applyFont="1">
      <alignment horizontal="center" readingOrder="0"/>
    </xf>
    <xf borderId="0" fillId="5" fontId="2" numFmtId="0" xfId="0" applyFont="1"/>
    <xf borderId="0" fillId="4" fontId="7" numFmtId="0" xfId="0" applyAlignment="1" applyFont="1">
      <alignment horizontal="center" readingOrder="0" shrinkToFit="0" wrapText="1"/>
    </xf>
    <xf borderId="0" fillId="5" fontId="8" numFmtId="0" xfId="0" applyAlignment="1" applyFont="1">
      <alignment horizontal="right" readingOrder="0" shrinkToFit="0" wrapText="1"/>
    </xf>
    <xf borderId="0" fillId="6" fontId="9" numFmtId="0" xfId="0" applyAlignment="1" applyFill="1" applyFont="1">
      <alignment horizontal="center" readingOrder="0"/>
    </xf>
    <xf borderId="0" fillId="6" fontId="9" numFmtId="2" xfId="0" applyAlignment="1" applyFont="1" applyNumberFormat="1">
      <alignment horizontal="center"/>
    </xf>
    <xf borderId="0" fillId="5" fontId="10" numFmtId="0" xfId="0" applyAlignment="1" applyFont="1">
      <alignment horizontal="right" readingOrder="0" shrinkToFit="0" vertical="bottom" wrapText="0"/>
    </xf>
    <xf borderId="0" fillId="5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'Data to work with'!$AH$2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'Data to work with'!$AI$1:$BM$1</c:f>
            </c:strRef>
          </c:cat>
          <c:val>
            <c:numRef>
              <c:f>'Data to work with'!$AI$2:$BM$2</c:f>
              <c:numCache/>
            </c:numRef>
          </c:val>
          <c:smooth val="0"/>
        </c:ser>
        <c:ser>
          <c:idx val="1"/>
          <c:order val="1"/>
          <c:tx>
            <c:strRef>
              <c:f>'Data to work with'!$AH$3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'Data to work with'!$AI$1:$BM$1</c:f>
            </c:strRef>
          </c:cat>
          <c:val>
            <c:numRef>
              <c:f>'Data to work with'!$AI$3:$BM$3</c:f>
              <c:numCache/>
            </c:numRef>
          </c:val>
          <c:smooth val="0"/>
        </c:ser>
        <c:ser>
          <c:idx val="2"/>
          <c:order val="2"/>
          <c:tx>
            <c:strRef>
              <c:f>'Data to work with'!$AH$4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'Data to work with'!$AI$1:$BM$1</c:f>
            </c:strRef>
          </c:cat>
          <c:val>
            <c:numRef>
              <c:f>'Data to work with'!$AI$4:$BM$4</c:f>
              <c:numCache/>
            </c:numRef>
          </c:val>
          <c:smooth val="0"/>
        </c:ser>
        <c:ser>
          <c:idx val="3"/>
          <c:order val="3"/>
          <c:tx>
            <c:strRef>
              <c:f>'Data to work with'!$AH$5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'Data to work with'!$AI$1:$BM$1</c:f>
            </c:strRef>
          </c:cat>
          <c:val>
            <c:numRef>
              <c:f>'Data to work with'!$AI$5:$BM$5</c:f>
              <c:numCache/>
            </c:numRef>
          </c:val>
          <c:smooth val="0"/>
        </c:ser>
        <c:ser>
          <c:idx val="4"/>
          <c:order val="4"/>
          <c:tx>
            <c:strRef>
              <c:f>'Data to work with'!$AH$6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'Data to work with'!$AI$1:$BM$1</c:f>
            </c:strRef>
          </c:cat>
          <c:val>
            <c:numRef>
              <c:f>'Data to work with'!$AI$6:$BM$6</c:f>
              <c:numCache/>
            </c:numRef>
          </c:val>
          <c:smooth val="0"/>
        </c:ser>
        <c:ser>
          <c:idx val="5"/>
          <c:order val="5"/>
          <c:tx>
            <c:strRef>
              <c:f>'Data to work with'!$AH$7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'Data to work with'!$AI$1:$BM$1</c:f>
            </c:strRef>
          </c:cat>
          <c:val>
            <c:numRef>
              <c:f>'Data to work with'!$AI$7:$BM$7</c:f>
              <c:numCache/>
            </c:numRef>
          </c:val>
          <c:smooth val="0"/>
        </c:ser>
        <c:ser>
          <c:idx val="6"/>
          <c:order val="6"/>
          <c:tx>
            <c:strRef>
              <c:f>'Data to work with'!$AH$8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'Data to work with'!$AI$1:$BM$1</c:f>
            </c:strRef>
          </c:cat>
          <c:val>
            <c:numRef>
              <c:f>'Data to work with'!$AI$8:$BM$8</c:f>
              <c:numCache/>
            </c:numRef>
          </c:val>
          <c:smooth val="0"/>
        </c:ser>
        <c:ser>
          <c:idx val="7"/>
          <c:order val="7"/>
          <c:tx>
            <c:strRef>
              <c:f>'Data to work with'!$AH$9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'Data to work with'!$AI$1:$BM$1</c:f>
            </c:strRef>
          </c:cat>
          <c:val>
            <c:numRef>
              <c:f>'Data to work with'!$AI$9:$BM$9</c:f>
              <c:numCache/>
            </c:numRef>
          </c:val>
          <c:smooth val="0"/>
        </c:ser>
        <c:ser>
          <c:idx val="8"/>
          <c:order val="8"/>
          <c:tx>
            <c:strRef>
              <c:f>'Data to work with'!$AH$10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'Data to work with'!$AI$1:$BM$1</c:f>
            </c:strRef>
          </c:cat>
          <c:val>
            <c:numRef>
              <c:f>'Data to work with'!$AI$10:$BM$10</c:f>
              <c:numCache/>
            </c:numRef>
          </c:val>
          <c:smooth val="0"/>
        </c:ser>
        <c:ser>
          <c:idx val="9"/>
          <c:order val="9"/>
          <c:tx>
            <c:strRef>
              <c:f>'Data to work with'!$AH$11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'Data to work with'!$AI$1:$BM$1</c:f>
            </c:strRef>
          </c:cat>
          <c:val>
            <c:numRef>
              <c:f>'Data to work with'!$AI$11:$BM$11</c:f>
              <c:numCache/>
            </c:numRef>
          </c:val>
          <c:smooth val="0"/>
        </c:ser>
        <c:axId val="1412261842"/>
        <c:axId val="495186122"/>
      </c:lineChart>
      <c:catAx>
        <c:axId val="14122618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5186122"/>
      </c:catAx>
      <c:valAx>
        <c:axId val="495186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22618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1155CC"/>
                </a:solidFill>
                <a:latin typeface="+mn-lt"/>
              </a:defRPr>
            </a:pPr>
            <a:r>
              <a:rPr b="1">
                <a:solidFill>
                  <a:srgbClr val="1155CC"/>
                </a:solidFill>
                <a:latin typeface="+mn-lt"/>
              </a:rPr>
              <a:t>Forest Area%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Services!$E$2:$AI$2</c:f>
            </c:strRef>
          </c:cat>
          <c:val>
            <c:numRef>
              <c:f>Services!$E$3:$AI$3</c:f>
              <c:numCache/>
            </c:numRef>
          </c:val>
          <c:smooth val="0"/>
        </c:ser>
        <c:axId val="72923408"/>
        <c:axId val="1992687780"/>
      </c:lineChart>
      <c:catAx>
        <c:axId val="7292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2687780"/>
      </c:catAx>
      <c:valAx>
        <c:axId val="19926877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9234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'Data to work with'!$AH$2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'Data to work with'!$AI$1:$BM$1</c:f>
            </c:strRef>
          </c:cat>
          <c:val>
            <c:numRef>
              <c:f>'Data to work with'!$AI$2:$BM$2</c:f>
              <c:numCache/>
            </c:numRef>
          </c:val>
          <c:smooth val="0"/>
        </c:ser>
        <c:ser>
          <c:idx val="1"/>
          <c:order val="1"/>
          <c:tx>
            <c:strRef>
              <c:f>'Data to work with'!$AH$3</c:f>
            </c:strRef>
          </c:tx>
          <c:spPr>
            <a:ln cmpd="sng">
              <a:solidFill>
                <a:srgbClr val="1C4587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1C4587">
                  <a:alpha val="100000"/>
                </a:srgbClr>
              </a:solidFill>
              <a:ln cmpd="sng">
                <a:solidFill>
                  <a:srgbClr val="1C4587">
                    <a:alpha val="100000"/>
                  </a:srgbClr>
                </a:solidFill>
              </a:ln>
            </c:spPr>
          </c:marker>
          <c:cat>
            <c:strRef>
              <c:f>'Data to work with'!$AI$1:$BM$1</c:f>
            </c:strRef>
          </c:cat>
          <c:val>
            <c:numRef>
              <c:f>'Data to work with'!$AI$3:$BM$3</c:f>
              <c:numCache/>
            </c:numRef>
          </c:val>
          <c:smooth val="0"/>
        </c:ser>
        <c:ser>
          <c:idx val="2"/>
          <c:order val="2"/>
          <c:tx>
            <c:strRef>
              <c:f>'Data to work with'!$AH$4</c:f>
            </c:strRef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0000FF">
                  <a:alpha val="100000"/>
                </a:srgbClr>
              </a:solidFill>
              <a:ln cmpd="sng">
                <a:solidFill>
                  <a:srgbClr val="0000FF">
                    <a:alpha val="100000"/>
                  </a:srgbClr>
                </a:solidFill>
              </a:ln>
            </c:spPr>
          </c:marker>
          <c:cat>
            <c:strRef>
              <c:f>'Data to work with'!$AI$1:$BM$1</c:f>
            </c:strRef>
          </c:cat>
          <c:val>
            <c:numRef>
              <c:f>'Data to work with'!$AI$4:$BM$4</c:f>
              <c:numCache/>
            </c:numRef>
          </c:val>
          <c:smooth val="0"/>
        </c:ser>
        <c:ser>
          <c:idx val="3"/>
          <c:order val="3"/>
          <c:tx>
            <c:strRef>
              <c:f>'Data to work with'!$AH$5</c:f>
            </c:strRef>
          </c:tx>
          <c:spPr>
            <a:ln cmpd="sng">
              <a:solidFill>
                <a:srgbClr val="134F5C">
                  <a:alpha val="100000"/>
                </a:srgbClr>
              </a:solidFill>
              <a:prstDash val="dash"/>
            </a:ln>
          </c:spPr>
          <c:marker>
            <c:symbol val="circle"/>
            <c:size val="10"/>
            <c:spPr>
              <a:solidFill>
                <a:srgbClr val="134F5C">
                  <a:alpha val="100000"/>
                </a:srgbClr>
              </a:solidFill>
              <a:ln cmpd="sng">
                <a:solidFill>
                  <a:srgbClr val="134F5C">
                    <a:alpha val="100000"/>
                  </a:srgbClr>
                </a:solidFill>
              </a:ln>
            </c:spPr>
          </c:marker>
          <c:cat>
            <c:strRef>
              <c:f>'Data to work with'!$AI$1:$BM$1</c:f>
            </c:strRef>
          </c:cat>
          <c:val>
            <c:numRef>
              <c:f>'Data to work with'!$AI$5:$BM$5</c:f>
              <c:numCache/>
            </c:numRef>
          </c:val>
          <c:smooth val="0"/>
        </c:ser>
        <c:ser>
          <c:idx val="4"/>
          <c:order val="4"/>
          <c:tx>
            <c:strRef>
              <c:f>'Data to work with'!$AH$6</c:f>
            </c:strRef>
          </c:tx>
          <c:spPr>
            <a:ln cmpd="sng">
              <a:solidFill>
                <a:srgbClr val="20124D">
                  <a:alpha val="100000"/>
                </a:srgbClr>
              </a:solidFill>
              <a:prstDash val="sysDot"/>
            </a:ln>
          </c:spPr>
          <c:marker>
            <c:symbol val="circle"/>
            <c:size val="10"/>
            <c:spPr>
              <a:solidFill>
                <a:srgbClr val="20124D">
                  <a:alpha val="100000"/>
                </a:srgbClr>
              </a:solidFill>
              <a:ln cmpd="sng">
                <a:solidFill>
                  <a:srgbClr val="20124D">
                    <a:alpha val="100000"/>
                  </a:srgbClr>
                </a:solidFill>
              </a:ln>
            </c:spPr>
          </c:marker>
          <c:cat>
            <c:strRef>
              <c:f>'Data to work with'!$AI$1:$BM$1</c:f>
            </c:strRef>
          </c:cat>
          <c:val>
            <c:numRef>
              <c:f>'Data to work with'!$AI$6:$BM$6</c:f>
              <c:numCache/>
            </c:numRef>
          </c:val>
          <c:smooth val="0"/>
        </c:ser>
        <c:ser>
          <c:idx val="5"/>
          <c:order val="5"/>
          <c:tx>
            <c:strRef>
              <c:f>'Data to work with'!$AH$7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circle"/>
            <c:size val="10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cat>
            <c:strRef>
              <c:f>'Data to work with'!$AI$1:$BM$1</c:f>
            </c:strRef>
          </c:cat>
          <c:val>
            <c:numRef>
              <c:f>'Data to work with'!$AI$7:$BM$7</c:f>
              <c:numCache/>
            </c:numRef>
          </c:val>
          <c:smooth val="0"/>
        </c:ser>
        <c:ser>
          <c:idx val="6"/>
          <c:order val="6"/>
          <c:tx>
            <c:strRef>
              <c:f>'Data to work with'!$AH$8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circle"/>
            <c:size val="10"/>
            <c:spPr>
              <a:solidFill>
                <a:srgbClr val="7BAAF7"/>
              </a:solidFill>
              <a:ln cmpd="sng">
                <a:solidFill>
                  <a:srgbClr val="7BAAF7"/>
                </a:solidFill>
              </a:ln>
            </c:spPr>
          </c:marker>
          <c:cat>
            <c:strRef>
              <c:f>'Data to work with'!$AI$1:$BM$1</c:f>
            </c:strRef>
          </c:cat>
          <c:val>
            <c:numRef>
              <c:f>'Data to work with'!$AI$8:$BM$8</c:f>
              <c:numCache/>
            </c:numRef>
          </c:val>
          <c:smooth val="0"/>
        </c:ser>
        <c:ser>
          <c:idx val="7"/>
          <c:order val="7"/>
          <c:tx>
            <c:strRef>
              <c:f>'Data to work with'!$AH$9</c:f>
            </c:strRef>
          </c:tx>
          <c:spPr>
            <a:ln cmpd="sng">
              <a:solidFill>
                <a:srgbClr val="3C78D8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3C78D8">
                  <a:alpha val="100000"/>
                </a:srgbClr>
              </a:solidFill>
              <a:ln cmpd="sng">
                <a:solidFill>
                  <a:srgbClr val="3C78D8">
                    <a:alpha val="100000"/>
                  </a:srgbClr>
                </a:solidFill>
              </a:ln>
            </c:spPr>
          </c:marker>
          <c:cat>
            <c:strRef>
              <c:f>'Data to work with'!$AI$1:$BM$1</c:f>
            </c:strRef>
          </c:cat>
          <c:val>
            <c:numRef>
              <c:f>'Data to work with'!$AI$9:$BM$9</c:f>
              <c:numCache/>
            </c:numRef>
          </c:val>
          <c:smooth val="0"/>
        </c:ser>
        <c:ser>
          <c:idx val="8"/>
          <c:order val="8"/>
          <c:tx>
            <c:strRef>
              <c:f>'Data to work with'!$AH$10</c:f>
            </c:strRef>
          </c:tx>
          <c:spPr>
            <a:ln cmpd="sng">
              <a:solidFill>
                <a:srgbClr val="1155CC">
                  <a:alpha val="100000"/>
                </a:srgbClr>
              </a:solidFill>
              <a:prstDash val="dashDot"/>
            </a:ln>
          </c:spPr>
          <c:marker>
            <c:symbol val="circle"/>
            <c:size val="10"/>
            <c:spPr>
              <a:solidFill>
                <a:srgbClr val="1155CC">
                  <a:alpha val="100000"/>
                </a:srgbClr>
              </a:solidFill>
              <a:ln cmpd="sng">
                <a:solidFill>
                  <a:srgbClr val="1155CC">
                    <a:alpha val="100000"/>
                  </a:srgbClr>
                </a:solidFill>
              </a:ln>
            </c:spPr>
          </c:marker>
          <c:cat>
            <c:strRef>
              <c:f>'Data to work with'!$AI$1:$BM$1</c:f>
            </c:strRef>
          </c:cat>
          <c:val>
            <c:numRef>
              <c:f>'Data to work with'!$AI$10:$BM$10</c:f>
              <c:numCache/>
            </c:numRef>
          </c:val>
          <c:smooth val="0"/>
        </c:ser>
        <c:ser>
          <c:idx val="9"/>
          <c:order val="9"/>
          <c:tx>
            <c:strRef>
              <c:f>'Data to work with'!$AH$11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circle"/>
            <c:size val="10"/>
            <c:spPr>
              <a:solidFill>
                <a:srgbClr val="71C287"/>
              </a:solidFill>
              <a:ln cmpd="sng">
                <a:solidFill>
                  <a:srgbClr val="71C287"/>
                </a:solidFill>
              </a:ln>
            </c:spPr>
          </c:marker>
          <c:cat>
            <c:strRef>
              <c:f>'Data to work with'!$AI$1:$BM$1</c:f>
            </c:strRef>
          </c:cat>
          <c:val>
            <c:numRef>
              <c:f>'Data to work with'!$AI$11:$BM$11</c:f>
              <c:numCache/>
            </c:numRef>
          </c:val>
          <c:smooth val="0"/>
        </c:ser>
        <c:axId val="1667949461"/>
        <c:axId val="464095346"/>
      </c:lineChart>
      <c:catAx>
        <c:axId val="16679494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4095346"/>
      </c:catAx>
      <c:valAx>
        <c:axId val="4640953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794946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33</xdr:col>
      <xdr:colOff>485775</xdr:colOff>
      <xdr:row>11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523875</xdr:colOff>
      <xdr:row>12</xdr:row>
      <xdr:rowOff>209550</xdr:rowOff>
    </xdr:from>
    <xdr:ext cx="6534150" cy="40386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238125</xdr:colOff>
      <xdr:row>12</xdr:row>
      <xdr:rowOff>123825</xdr:rowOff>
    </xdr:from>
    <xdr:ext cx="7715250" cy="47720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152400</xdr:colOff>
      <xdr:row>0</xdr:row>
      <xdr:rowOff>152400</xdr:rowOff>
    </xdr:from>
    <xdr:ext cx="4457700" cy="904875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>
        <v>1990.0</v>
      </c>
      <c r="F1" s="1">
        <v>1991.0</v>
      </c>
      <c r="G1" s="1">
        <v>1992.0</v>
      </c>
      <c r="H1" s="1">
        <v>1993.0</v>
      </c>
      <c r="I1" s="1">
        <v>1994.0</v>
      </c>
      <c r="J1" s="1">
        <v>1995.0</v>
      </c>
      <c r="K1" s="1">
        <v>1996.0</v>
      </c>
      <c r="L1" s="1">
        <v>1997.0</v>
      </c>
      <c r="M1" s="1">
        <v>1998.0</v>
      </c>
      <c r="N1" s="1">
        <v>1999.0</v>
      </c>
      <c r="O1" s="1">
        <v>2000.0</v>
      </c>
      <c r="P1" s="1">
        <v>2001.0</v>
      </c>
      <c r="Q1" s="1">
        <v>2002.0</v>
      </c>
      <c r="R1" s="1">
        <v>2003.0</v>
      </c>
      <c r="S1" s="1">
        <v>2004.0</v>
      </c>
      <c r="T1" s="1">
        <v>2005.0</v>
      </c>
      <c r="U1" s="1">
        <v>2006.0</v>
      </c>
      <c r="V1" s="1">
        <v>2007.0</v>
      </c>
      <c r="W1" s="1">
        <v>2008.0</v>
      </c>
      <c r="X1" s="1">
        <v>2009.0</v>
      </c>
      <c r="Y1" s="1">
        <v>2010.0</v>
      </c>
      <c r="Z1" s="1">
        <v>2011.0</v>
      </c>
      <c r="AA1" s="1">
        <v>2012.0</v>
      </c>
      <c r="AB1" s="1">
        <v>2013.0</v>
      </c>
      <c r="AC1" s="1">
        <v>2014.0</v>
      </c>
      <c r="AD1" s="1">
        <v>2015.0</v>
      </c>
      <c r="AE1" s="1">
        <v>2016.0</v>
      </c>
      <c r="AF1" s="1">
        <v>2017.0</v>
      </c>
      <c r="AG1" s="1">
        <v>2018.0</v>
      </c>
      <c r="AH1" s="1">
        <v>2019.0</v>
      </c>
      <c r="AI1" s="1">
        <v>2020.0</v>
      </c>
      <c r="AJ1" s="2" t="s">
        <v>4</v>
      </c>
    </row>
    <row r="2">
      <c r="A2" s="1" t="s">
        <v>5</v>
      </c>
      <c r="B2" s="1" t="s">
        <v>6</v>
      </c>
      <c r="C2" s="1" t="s">
        <v>7</v>
      </c>
      <c r="D2" s="1" t="s">
        <v>8</v>
      </c>
      <c r="E2" s="3">
        <v>2.33333333</v>
      </c>
      <c r="F2" s="3">
        <v>2.33333333</v>
      </c>
      <c r="G2" s="3">
        <v>2.33333333</v>
      </c>
      <c r="H2" s="3">
        <v>2.33333333</v>
      </c>
      <c r="I2" s="3">
        <v>2.33333333</v>
      </c>
      <c r="J2" s="3">
        <v>2.33333333</v>
      </c>
      <c r="K2" s="3">
        <v>2.33333333</v>
      </c>
      <c r="L2" s="3">
        <v>2.33333333</v>
      </c>
      <c r="M2" s="3">
        <v>2.33333333</v>
      </c>
      <c r="N2" s="3">
        <v>2.33333333</v>
      </c>
      <c r="O2" s="3">
        <v>2.33333333</v>
      </c>
      <c r="P2" s="3">
        <v>2.33333333</v>
      </c>
      <c r="Q2" s="3">
        <v>2.33333333</v>
      </c>
      <c r="R2" s="3">
        <v>2.33333333</v>
      </c>
      <c r="S2" s="3">
        <v>2.33333333</v>
      </c>
      <c r="T2" s="3">
        <v>2.33333333</v>
      </c>
      <c r="U2" s="3">
        <v>2.33333333</v>
      </c>
      <c r="V2" s="3">
        <v>2.33333333</v>
      </c>
      <c r="W2" s="3">
        <v>2.33333333</v>
      </c>
      <c r="X2" s="3">
        <v>2.33333333</v>
      </c>
      <c r="Y2" s="3">
        <v>2.33333333</v>
      </c>
      <c r="Z2" s="3">
        <v>2.33333333</v>
      </c>
      <c r="AA2" s="3">
        <v>2.33333333</v>
      </c>
      <c r="AB2" s="3">
        <v>2.33333333</v>
      </c>
      <c r="AC2" s="3">
        <v>2.33333333</v>
      </c>
      <c r="AD2" s="3">
        <v>2.33333333</v>
      </c>
      <c r="AE2" s="3">
        <v>2.33333333</v>
      </c>
      <c r="AF2" s="3">
        <v>2.33333333</v>
      </c>
      <c r="AG2" s="3">
        <v>2.33333333</v>
      </c>
      <c r="AH2" s="3">
        <v>2.33333333</v>
      </c>
      <c r="AI2" s="3">
        <v>2.33333333</v>
      </c>
      <c r="AJ2" s="4">
        <f t="shared" ref="AJ2:AJ80" si="1">AI2-E2</f>
        <v>0</v>
      </c>
    </row>
    <row r="3">
      <c r="A3" s="1" t="s">
        <v>9</v>
      </c>
      <c r="B3" s="1" t="s">
        <v>10</v>
      </c>
      <c r="C3" s="1" t="s">
        <v>7</v>
      </c>
      <c r="D3" s="1" t="s">
        <v>8</v>
      </c>
      <c r="E3" s="3">
        <v>40.565912</v>
      </c>
      <c r="F3" s="3">
        <v>40.4039464</v>
      </c>
      <c r="G3" s="3">
        <v>40.2358067</v>
      </c>
      <c r="H3" s="3">
        <v>40.26969</v>
      </c>
      <c r="I3" s="3">
        <v>40.1032704</v>
      </c>
      <c r="J3" s="3">
        <v>39.9368508</v>
      </c>
      <c r="K3" s="3">
        <v>39.7704312</v>
      </c>
      <c r="L3" s="3">
        <v>39.6040116</v>
      </c>
      <c r="M3" s="3">
        <v>39.437592</v>
      </c>
      <c r="N3" s="3">
        <v>39.2711724</v>
      </c>
      <c r="O3" s="3">
        <v>33.9806315</v>
      </c>
      <c r="P3" s="3">
        <v>38.9039801</v>
      </c>
      <c r="Q3" s="3">
        <v>38.7032073</v>
      </c>
      <c r="R3" s="3">
        <v>38.5024346</v>
      </c>
      <c r="S3" s="3">
        <v>37.8999508</v>
      </c>
      <c r="T3" s="3">
        <v>37.7011203</v>
      </c>
      <c r="U3" s="3">
        <v>37.5024645</v>
      </c>
      <c r="V3" s="3">
        <v>37.3038802</v>
      </c>
      <c r="W3" s="3">
        <v>37.1052594</v>
      </c>
      <c r="X3" s="3">
        <v>36.9065957</v>
      </c>
      <c r="Y3" s="3">
        <v>31.9108779</v>
      </c>
      <c r="Z3" s="3">
        <v>32.1831348</v>
      </c>
      <c r="AA3" s="3">
        <v>31.9724923</v>
      </c>
      <c r="AB3" s="3">
        <v>31.7618417</v>
      </c>
      <c r="AC3" s="3">
        <v>31.5512701</v>
      </c>
      <c r="AD3" s="3">
        <v>31.3405256</v>
      </c>
      <c r="AE3" s="3">
        <v>31.1194314</v>
      </c>
      <c r="AF3" s="3">
        <v>30.9035429</v>
      </c>
      <c r="AG3" s="3">
        <v>30.6902243</v>
      </c>
      <c r="AH3" s="3">
        <v>30.4697983</v>
      </c>
      <c r="AI3" s="3">
        <v>30.2517858</v>
      </c>
      <c r="AJ3" s="4">
        <f t="shared" si="1"/>
        <v>-10.3141262</v>
      </c>
    </row>
    <row r="4">
      <c r="A4" s="1" t="s">
        <v>11</v>
      </c>
      <c r="B4" s="1" t="s">
        <v>12</v>
      </c>
      <c r="C4" s="1" t="s">
        <v>7</v>
      </c>
      <c r="D4" s="1" t="s">
        <v>8</v>
      </c>
      <c r="E4" s="3">
        <v>1.85099409</v>
      </c>
      <c r="F4" s="3">
        <v>1.85099409</v>
      </c>
      <c r="G4" s="3">
        <v>1.85099409</v>
      </c>
      <c r="H4" s="3">
        <v>1.85099409</v>
      </c>
      <c r="I4" s="3">
        <v>1.85099409</v>
      </c>
      <c r="J4" s="3">
        <v>1.85099409</v>
      </c>
      <c r="K4" s="3">
        <v>1.85099409</v>
      </c>
      <c r="L4" s="3">
        <v>1.85099409</v>
      </c>
      <c r="M4" s="3">
        <v>1.85099409</v>
      </c>
      <c r="N4" s="3">
        <v>1.85099409</v>
      </c>
      <c r="O4" s="3">
        <v>1.85099409</v>
      </c>
      <c r="P4" s="3">
        <v>1.85099409</v>
      </c>
      <c r="Q4" s="3">
        <v>1.85099409</v>
      </c>
      <c r="R4" s="3">
        <v>1.85099409</v>
      </c>
      <c r="S4" s="3">
        <v>1.85099409</v>
      </c>
      <c r="T4" s="3">
        <v>1.85099409</v>
      </c>
      <c r="U4" s="3">
        <v>1.85099409</v>
      </c>
      <c r="V4" s="3">
        <v>1.85099409</v>
      </c>
      <c r="W4" s="3">
        <v>1.85099409</v>
      </c>
      <c r="X4" s="3">
        <v>1.85099409</v>
      </c>
      <c r="Y4" s="3">
        <v>1.85099409</v>
      </c>
      <c r="Z4" s="3">
        <v>1.85099409</v>
      </c>
      <c r="AA4" s="3">
        <v>1.85099409</v>
      </c>
      <c r="AB4" s="3">
        <v>1.85099409</v>
      </c>
      <c r="AC4" s="3">
        <v>1.85099409</v>
      </c>
      <c r="AD4" s="3">
        <v>1.85099409</v>
      </c>
      <c r="AE4" s="3">
        <v>1.85099409</v>
      </c>
      <c r="AF4" s="3">
        <v>1.85099409</v>
      </c>
      <c r="AG4" s="3">
        <v>1.85099409</v>
      </c>
      <c r="AH4" s="3">
        <v>1.85099409</v>
      </c>
      <c r="AI4" s="3">
        <v>1.85099409</v>
      </c>
      <c r="AJ4" s="4">
        <f t="shared" si="1"/>
        <v>0</v>
      </c>
    </row>
    <row r="5">
      <c r="A5" s="1" t="s">
        <v>13</v>
      </c>
      <c r="B5" s="1" t="s">
        <v>14</v>
      </c>
      <c r="C5" s="1" t="s">
        <v>7</v>
      </c>
      <c r="D5" s="1" t="s">
        <v>8</v>
      </c>
      <c r="E5" s="3">
        <v>22.7769081</v>
      </c>
      <c r="F5" s="3">
        <v>22.6587457</v>
      </c>
      <c r="G5" s="3">
        <v>22.5405832</v>
      </c>
      <c r="H5" s="3">
        <v>22.4224208</v>
      </c>
      <c r="I5" s="3">
        <v>22.3042583</v>
      </c>
      <c r="J5" s="3">
        <v>22.1860958</v>
      </c>
      <c r="K5" s="3">
        <v>22.0679334</v>
      </c>
      <c r="L5" s="3">
        <v>21.9497709</v>
      </c>
      <c r="M5" s="3">
        <v>21.8316085</v>
      </c>
      <c r="N5" s="3">
        <v>21.713446</v>
      </c>
      <c r="O5" s="3">
        <v>21.5952835</v>
      </c>
      <c r="P5" s="3">
        <v>21.5031563</v>
      </c>
      <c r="Q5" s="3">
        <v>21.4110291</v>
      </c>
      <c r="R5" s="3">
        <v>21.3189019</v>
      </c>
      <c r="S5" s="3">
        <v>21.2267747</v>
      </c>
      <c r="T5" s="3">
        <v>21.1346475</v>
      </c>
      <c r="U5" s="3">
        <v>21.0425203</v>
      </c>
      <c r="V5" s="3">
        <v>20.9503931</v>
      </c>
      <c r="W5" s="3">
        <v>20.8582659</v>
      </c>
      <c r="X5" s="3">
        <v>20.7661387</v>
      </c>
      <c r="Y5" s="3">
        <v>20.6740115</v>
      </c>
      <c r="Z5" s="3">
        <v>20.5860554</v>
      </c>
      <c r="AA5" s="3">
        <v>20.4980992</v>
      </c>
      <c r="AB5" s="3">
        <v>20.4101431</v>
      </c>
      <c r="AC5" s="3">
        <v>20.3221869</v>
      </c>
      <c r="AD5" s="3">
        <v>20.2342308</v>
      </c>
      <c r="AE5" s="3">
        <v>20.1526102</v>
      </c>
      <c r="AF5" s="3">
        <v>20.0713272</v>
      </c>
      <c r="AG5" s="3">
        <v>19.9860996</v>
      </c>
      <c r="AH5" s="3">
        <v>19.9012147</v>
      </c>
      <c r="AI5" s="3">
        <v>19.8167621</v>
      </c>
      <c r="AJ5" s="4">
        <f t="shared" si="1"/>
        <v>-2.960146</v>
      </c>
    </row>
    <row r="6">
      <c r="A6" s="1" t="s">
        <v>15</v>
      </c>
      <c r="B6" s="1" t="s">
        <v>16</v>
      </c>
      <c r="C6" s="1" t="s">
        <v>7</v>
      </c>
      <c r="D6" s="1" t="s">
        <v>8</v>
      </c>
      <c r="E6" s="3">
        <v>63.5780701</v>
      </c>
      <c r="F6" s="3">
        <v>63.4534074</v>
      </c>
      <c r="G6" s="3">
        <v>63.3287447</v>
      </c>
      <c r="H6" s="3">
        <v>63.204082</v>
      </c>
      <c r="I6" s="3">
        <v>63.0794193</v>
      </c>
      <c r="J6" s="3">
        <v>62.9547566</v>
      </c>
      <c r="K6" s="3">
        <v>62.8300938</v>
      </c>
      <c r="L6" s="3">
        <v>62.7054311</v>
      </c>
      <c r="M6" s="3">
        <v>62.5807684</v>
      </c>
      <c r="N6" s="3">
        <v>62.4561057</v>
      </c>
      <c r="O6" s="3">
        <v>62.331443</v>
      </c>
      <c r="P6" s="3">
        <v>61.8862188</v>
      </c>
      <c r="Q6" s="3">
        <v>61.4409946</v>
      </c>
      <c r="R6" s="3">
        <v>60.9957704</v>
      </c>
      <c r="S6" s="3">
        <v>60.5505462</v>
      </c>
      <c r="T6" s="3">
        <v>60.1053221</v>
      </c>
      <c r="U6" s="3">
        <v>59.6600979</v>
      </c>
      <c r="V6" s="3">
        <v>59.2148737</v>
      </c>
      <c r="W6" s="3">
        <v>58.7696495</v>
      </c>
      <c r="X6" s="3">
        <v>58.3244253</v>
      </c>
      <c r="Y6" s="3">
        <v>57.8792011</v>
      </c>
      <c r="Z6" s="3">
        <v>57.4339761</v>
      </c>
      <c r="AA6" s="3">
        <v>56.9887511</v>
      </c>
      <c r="AB6" s="3">
        <v>56.5435261</v>
      </c>
      <c r="AC6" s="3">
        <v>56.0983011</v>
      </c>
      <c r="AD6" s="3">
        <v>55.6530761</v>
      </c>
      <c r="AE6" s="3">
        <v>55.2078447</v>
      </c>
      <c r="AF6" s="3">
        <v>54.7626293</v>
      </c>
      <c r="AG6" s="3">
        <v>54.317406</v>
      </c>
      <c r="AH6" s="3">
        <v>53.8721745</v>
      </c>
      <c r="AI6" s="3">
        <v>53.4269512</v>
      </c>
      <c r="AJ6" s="4">
        <f t="shared" si="1"/>
        <v>-10.1511189</v>
      </c>
    </row>
    <row r="7">
      <c r="A7" s="1" t="s">
        <v>17</v>
      </c>
      <c r="B7" s="1" t="s">
        <v>18</v>
      </c>
      <c r="C7" s="1" t="s">
        <v>7</v>
      </c>
      <c r="D7" s="1" t="s">
        <v>8</v>
      </c>
      <c r="E7" s="3">
        <v>28.7883212</v>
      </c>
      <c r="F7" s="3">
        <v>28.7171533</v>
      </c>
      <c r="G7" s="3">
        <v>28.6459854</v>
      </c>
      <c r="H7" s="3">
        <v>28.5748175</v>
      </c>
      <c r="I7" s="3">
        <v>28.5036496</v>
      </c>
      <c r="J7" s="3">
        <v>28.4324818</v>
      </c>
      <c r="K7" s="3">
        <v>28.3613139</v>
      </c>
      <c r="L7" s="3">
        <v>28.290146</v>
      </c>
      <c r="M7" s="3">
        <v>28.2189781</v>
      </c>
      <c r="N7" s="3">
        <v>28.1478102</v>
      </c>
      <c r="O7" s="3">
        <v>28.0766423</v>
      </c>
      <c r="P7" s="3">
        <v>28.1232482</v>
      </c>
      <c r="Q7" s="3">
        <v>28.169854</v>
      </c>
      <c r="R7" s="3">
        <v>28.2164599</v>
      </c>
      <c r="S7" s="3">
        <v>28.2630657</v>
      </c>
      <c r="T7" s="3">
        <v>28.3096715</v>
      </c>
      <c r="U7" s="3">
        <v>28.3562774</v>
      </c>
      <c r="V7" s="3">
        <v>28.4028832</v>
      </c>
      <c r="W7" s="3">
        <v>28.4494891</v>
      </c>
      <c r="X7" s="3">
        <v>28.4960949</v>
      </c>
      <c r="Y7" s="3">
        <v>28.5427007</v>
      </c>
      <c r="Z7" s="3">
        <v>28.5946533</v>
      </c>
      <c r="AA7" s="3">
        <v>28.6466058</v>
      </c>
      <c r="AB7" s="3">
        <v>28.6985584</v>
      </c>
      <c r="AC7" s="3">
        <v>28.7505109</v>
      </c>
      <c r="AD7" s="3">
        <v>28.8024635</v>
      </c>
      <c r="AE7" s="3">
        <v>28.8021898</v>
      </c>
      <c r="AF7" s="3">
        <v>28.792062</v>
      </c>
      <c r="AG7" s="3">
        <v>28.7919708</v>
      </c>
      <c r="AH7" s="3">
        <v>28.7919708</v>
      </c>
      <c r="AI7" s="3">
        <v>28.7919708</v>
      </c>
      <c r="AJ7" s="4">
        <f t="shared" si="1"/>
        <v>0.0036496</v>
      </c>
    </row>
    <row r="8">
      <c r="A8" s="1" t="s">
        <v>19</v>
      </c>
      <c r="B8" s="1" t="s">
        <v>20</v>
      </c>
      <c r="C8" s="1" t="s">
        <v>7</v>
      </c>
      <c r="D8" s="1" t="s">
        <v>8</v>
      </c>
      <c r="E8" s="3">
        <v>34.0425532</v>
      </c>
      <c r="F8" s="3">
        <v>34.0425532</v>
      </c>
      <c r="G8" s="3">
        <v>34.0425532</v>
      </c>
      <c r="H8" s="3">
        <v>34.0425532</v>
      </c>
      <c r="I8" s="3">
        <v>34.0425532</v>
      </c>
      <c r="J8" s="3">
        <v>34.0425532</v>
      </c>
      <c r="K8" s="3">
        <v>34.0425532</v>
      </c>
      <c r="L8" s="3">
        <v>34.0425532</v>
      </c>
      <c r="M8" s="3">
        <v>34.0425532</v>
      </c>
      <c r="N8" s="3">
        <v>34.0425532</v>
      </c>
      <c r="O8" s="3">
        <v>34.0425532</v>
      </c>
      <c r="P8" s="3">
        <v>34.0425532</v>
      </c>
      <c r="Q8" s="3">
        <v>34.0425532</v>
      </c>
      <c r="R8" s="3">
        <v>34.0425532</v>
      </c>
      <c r="S8" s="3">
        <v>34.0425532</v>
      </c>
      <c r="T8" s="3">
        <v>34.0425532</v>
      </c>
      <c r="U8" s="3">
        <v>34.0425532</v>
      </c>
      <c r="V8" s="3">
        <v>34.0425532</v>
      </c>
      <c r="W8" s="3">
        <v>34.0425532</v>
      </c>
      <c r="X8" s="3">
        <v>34.0425532</v>
      </c>
      <c r="Y8" s="3">
        <v>34.0425532</v>
      </c>
      <c r="Z8" s="3">
        <v>34.0425532</v>
      </c>
      <c r="AA8" s="3">
        <v>34.0425532</v>
      </c>
      <c r="AB8" s="3">
        <v>34.0425532</v>
      </c>
      <c r="AC8" s="3">
        <v>34.0425532</v>
      </c>
      <c r="AD8" s="3">
        <v>34.0425532</v>
      </c>
      <c r="AE8" s="3">
        <v>34.0425532</v>
      </c>
      <c r="AF8" s="3">
        <v>34.0425532</v>
      </c>
      <c r="AG8" s="3">
        <v>34.0425532</v>
      </c>
      <c r="AH8" s="3">
        <v>34.0425532</v>
      </c>
      <c r="AI8" s="3">
        <v>34.0425532</v>
      </c>
      <c r="AJ8" s="4">
        <f t="shared" si="1"/>
        <v>0</v>
      </c>
    </row>
    <row r="9">
      <c r="A9" s="1" t="s">
        <v>21</v>
      </c>
      <c r="B9" s="1" t="s">
        <v>22</v>
      </c>
      <c r="C9" s="1" t="s">
        <v>7</v>
      </c>
      <c r="D9" s="1" t="s">
        <v>8</v>
      </c>
      <c r="E9" s="3">
        <v>1.7860768</v>
      </c>
      <c r="F9" s="3">
        <v>1.77971035</v>
      </c>
      <c r="G9" s="3">
        <v>1.77334074</v>
      </c>
      <c r="H9" s="3">
        <v>1.7669743</v>
      </c>
      <c r="I9" s="3">
        <v>1.76060786</v>
      </c>
      <c r="J9" s="3">
        <v>1.75424143</v>
      </c>
      <c r="K9" s="3">
        <v>1.74787499</v>
      </c>
      <c r="L9" s="3">
        <v>1.74150855</v>
      </c>
      <c r="M9" s="3">
        <v>1.73514211</v>
      </c>
      <c r="N9" s="3">
        <v>1.72877567</v>
      </c>
      <c r="O9" s="3">
        <v>3.00202797</v>
      </c>
      <c r="P9" s="3">
        <v>1.72047383</v>
      </c>
      <c r="Q9" s="3">
        <v>1.71853843</v>
      </c>
      <c r="R9" s="3">
        <v>1.71662965</v>
      </c>
      <c r="S9" s="3">
        <v>1.71469575</v>
      </c>
      <c r="T9" s="3">
        <v>1.7127588</v>
      </c>
      <c r="U9" s="3">
        <v>1.71081246</v>
      </c>
      <c r="V9" s="3">
        <v>1.70887222</v>
      </c>
      <c r="W9" s="3">
        <v>1.70693351</v>
      </c>
      <c r="X9" s="3">
        <v>1.7053773</v>
      </c>
      <c r="Y9" s="3">
        <v>2.85955199</v>
      </c>
      <c r="Z9" s="3">
        <v>2.97909048</v>
      </c>
      <c r="AA9" s="3">
        <v>2.9605479</v>
      </c>
      <c r="AB9" s="3">
        <v>2.94205071</v>
      </c>
      <c r="AC9" s="3">
        <v>2.92354271</v>
      </c>
      <c r="AD9" s="3">
        <v>2.90507345</v>
      </c>
      <c r="AE9" s="3">
        <v>2.88745807</v>
      </c>
      <c r="AF9" s="3">
        <v>2.8680502</v>
      </c>
      <c r="AG9" s="3">
        <v>2.84850046</v>
      </c>
      <c r="AH9" s="3">
        <v>2.83067871</v>
      </c>
      <c r="AI9" s="3">
        <v>2.81292881</v>
      </c>
      <c r="AJ9" s="4">
        <f t="shared" si="1"/>
        <v>1.02685201</v>
      </c>
    </row>
    <row r="10">
      <c r="A10" s="1" t="s">
        <v>23</v>
      </c>
      <c r="B10" s="1" t="s">
        <v>24</v>
      </c>
      <c r="C10" s="1" t="s">
        <v>7</v>
      </c>
      <c r="D10" s="1" t="s">
        <v>8</v>
      </c>
      <c r="E10" s="3">
        <v>3.44973247</v>
      </c>
      <c r="F10" s="3">
        <v>3.54045339</v>
      </c>
      <c r="G10" s="3">
        <v>3.63117432</v>
      </c>
      <c r="H10" s="3">
        <v>3.72189524</v>
      </c>
      <c r="I10" s="3">
        <v>3.81261616</v>
      </c>
      <c r="J10" s="3">
        <v>3.90333709</v>
      </c>
      <c r="K10" s="3">
        <v>3.99405801</v>
      </c>
      <c r="L10" s="3">
        <v>4.08477894</v>
      </c>
      <c r="M10" s="3">
        <v>4.17549986</v>
      </c>
      <c r="N10" s="3">
        <v>4.26622078</v>
      </c>
      <c r="O10" s="3">
        <v>4.35694171</v>
      </c>
      <c r="P10" s="3">
        <v>4.36802309</v>
      </c>
      <c r="Q10" s="3">
        <v>4.37910448</v>
      </c>
      <c r="R10" s="3">
        <v>4.39018586</v>
      </c>
      <c r="S10" s="3">
        <v>4.40126725</v>
      </c>
      <c r="T10" s="3">
        <v>4.41234863</v>
      </c>
      <c r="U10" s="3">
        <v>4.42343002</v>
      </c>
      <c r="V10" s="3">
        <v>4.43451141</v>
      </c>
      <c r="W10" s="3">
        <v>4.44559279</v>
      </c>
      <c r="X10" s="3">
        <v>4.45667418</v>
      </c>
      <c r="Y10" s="3">
        <v>4.46775556</v>
      </c>
      <c r="Z10" s="3">
        <v>4.46775556</v>
      </c>
      <c r="AA10" s="3">
        <v>4.46775556</v>
      </c>
      <c r="AB10" s="3">
        <v>4.46775556</v>
      </c>
      <c r="AC10" s="3">
        <v>4.46775556</v>
      </c>
      <c r="AD10" s="3">
        <v>4.46775556</v>
      </c>
      <c r="AE10" s="3">
        <v>4.46775556</v>
      </c>
      <c r="AF10" s="3">
        <v>4.46775556</v>
      </c>
      <c r="AG10" s="3">
        <v>4.46775556</v>
      </c>
      <c r="AH10" s="3">
        <v>4.46775556</v>
      </c>
      <c r="AI10" s="3">
        <v>4.46775556</v>
      </c>
      <c r="AJ10" s="4">
        <f t="shared" si="1"/>
        <v>1.01802309</v>
      </c>
    </row>
    <row r="11">
      <c r="A11" s="1" t="s">
        <v>25</v>
      </c>
      <c r="B11" s="1" t="s">
        <v>26</v>
      </c>
      <c r="C11" s="1" t="s">
        <v>7</v>
      </c>
      <c r="D11" s="1" t="s">
        <v>8</v>
      </c>
      <c r="E11" s="3">
        <v>12.8637149</v>
      </c>
      <c r="F11" s="3">
        <v>12.796992</v>
      </c>
      <c r="G11" s="3">
        <v>12.730269</v>
      </c>
      <c r="H11" s="3">
        <v>12.6635461</v>
      </c>
      <c r="I11" s="3">
        <v>12.5968232</v>
      </c>
      <c r="J11" s="3">
        <v>12.5301002</v>
      </c>
      <c r="K11" s="3">
        <v>12.4633773</v>
      </c>
      <c r="L11" s="3">
        <v>12.3966544</v>
      </c>
      <c r="M11" s="3">
        <v>12.3299314</v>
      </c>
      <c r="N11" s="3">
        <v>12.2632085</v>
      </c>
      <c r="O11" s="3">
        <v>12.1964855</v>
      </c>
      <c r="P11" s="3">
        <v>12.0808714</v>
      </c>
      <c r="Q11" s="3">
        <v>11.9652573</v>
      </c>
      <c r="R11" s="3">
        <v>11.8496432</v>
      </c>
      <c r="S11" s="3">
        <v>11.7340291</v>
      </c>
      <c r="T11" s="3">
        <v>11.6184149</v>
      </c>
      <c r="U11" s="3">
        <v>11.5028008</v>
      </c>
      <c r="V11" s="3">
        <v>11.3871867</v>
      </c>
      <c r="W11" s="3">
        <v>11.2715726</v>
      </c>
      <c r="X11" s="3">
        <v>11.1559585</v>
      </c>
      <c r="Y11" s="3">
        <v>11.0403444</v>
      </c>
      <c r="Z11" s="3">
        <v>10.9587129</v>
      </c>
      <c r="AA11" s="3">
        <v>10.8770814</v>
      </c>
      <c r="AB11" s="3">
        <v>10.79545</v>
      </c>
      <c r="AC11" s="3">
        <v>10.7138185</v>
      </c>
      <c r="AD11" s="3">
        <v>10.6321871</v>
      </c>
      <c r="AE11" s="3">
        <v>10.6003968</v>
      </c>
      <c r="AF11" s="3">
        <v>10.5598369</v>
      </c>
      <c r="AG11" s="3">
        <v>10.5203732</v>
      </c>
      <c r="AH11" s="3">
        <v>10.4801786</v>
      </c>
      <c r="AI11" s="3">
        <v>10.4407149</v>
      </c>
      <c r="AJ11" s="4">
        <f t="shared" si="1"/>
        <v>-2.423</v>
      </c>
    </row>
    <row r="12">
      <c r="A12" s="1" t="s">
        <v>27</v>
      </c>
      <c r="B12" s="1" t="s">
        <v>28</v>
      </c>
      <c r="C12" s="1" t="s">
        <v>7</v>
      </c>
      <c r="D12" s="1" t="s">
        <v>8</v>
      </c>
      <c r="E12" s="3">
        <v>11.766772</v>
      </c>
      <c r="F12" s="3">
        <v>11.7527222</v>
      </c>
      <c r="G12" s="3">
        <v>11.7426063</v>
      </c>
      <c r="H12" s="3">
        <v>11.7352652</v>
      </c>
      <c r="I12" s="3">
        <v>11.7279241</v>
      </c>
      <c r="J12" s="3">
        <v>11.7205831</v>
      </c>
      <c r="K12" s="3">
        <v>11.713242</v>
      </c>
      <c r="L12" s="3">
        <v>11.7059009</v>
      </c>
      <c r="M12" s="3">
        <v>11.6985599</v>
      </c>
      <c r="N12" s="3">
        <v>11.6912188</v>
      </c>
      <c r="O12" s="3">
        <v>11.6838778</v>
      </c>
      <c r="P12" s="3">
        <v>11.6765718</v>
      </c>
      <c r="Q12" s="3">
        <v>11.6692659</v>
      </c>
      <c r="R12" s="3">
        <v>11.66196</v>
      </c>
      <c r="S12" s="3">
        <v>11.654654</v>
      </c>
      <c r="T12" s="3">
        <v>11.6473481</v>
      </c>
      <c r="U12" s="3">
        <v>11.6400421</v>
      </c>
      <c r="V12" s="3">
        <v>11.6327362</v>
      </c>
      <c r="W12" s="3">
        <v>11.6254303</v>
      </c>
      <c r="X12" s="3">
        <v>11.6181243</v>
      </c>
      <c r="Y12" s="3">
        <v>11.6108184</v>
      </c>
      <c r="Z12" s="3">
        <v>11.6035125</v>
      </c>
      <c r="AA12" s="3">
        <v>11.5962065</v>
      </c>
      <c r="AB12" s="3">
        <v>11.5889006</v>
      </c>
      <c r="AC12" s="3">
        <v>11.5815947</v>
      </c>
      <c r="AD12" s="3">
        <v>11.5742887</v>
      </c>
      <c r="AE12" s="3">
        <v>11.5669125</v>
      </c>
      <c r="AF12" s="3">
        <v>11.5595364</v>
      </c>
      <c r="AG12" s="3">
        <v>11.5521602</v>
      </c>
      <c r="AH12" s="3">
        <v>11.544784</v>
      </c>
      <c r="AI12" s="3">
        <v>11.5374078</v>
      </c>
      <c r="AJ12" s="4">
        <f t="shared" si="1"/>
        <v>-0.2293642</v>
      </c>
    </row>
    <row r="13">
      <c r="A13" s="1" t="s">
        <v>29</v>
      </c>
      <c r="B13" s="1" t="s">
        <v>30</v>
      </c>
      <c r="C13" s="1" t="s">
        <v>7</v>
      </c>
      <c r="D13" s="1" t="s">
        <v>8</v>
      </c>
      <c r="E13" s="3">
        <v>90.35</v>
      </c>
      <c r="F13" s="3">
        <v>90.18</v>
      </c>
      <c r="G13" s="3">
        <v>90.01</v>
      </c>
      <c r="H13" s="3">
        <v>89.84</v>
      </c>
      <c r="I13" s="3">
        <v>89.67</v>
      </c>
      <c r="J13" s="3">
        <v>89.5</v>
      </c>
      <c r="K13" s="3">
        <v>89.33</v>
      </c>
      <c r="L13" s="3">
        <v>89.16</v>
      </c>
      <c r="M13" s="3">
        <v>88.99</v>
      </c>
      <c r="N13" s="3">
        <v>88.82</v>
      </c>
      <c r="O13" s="3">
        <v>88.65</v>
      </c>
      <c r="P13" s="3">
        <v>88.5</v>
      </c>
      <c r="Q13" s="3">
        <v>88.35</v>
      </c>
      <c r="R13" s="3">
        <v>88.2</v>
      </c>
      <c r="S13" s="3">
        <v>88.05</v>
      </c>
      <c r="T13" s="3">
        <v>87.9</v>
      </c>
      <c r="U13" s="3">
        <v>87.75</v>
      </c>
      <c r="V13" s="3">
        <v>87.6</v>
      </c>
      <c r="W13" s="3">
        <v>87.45</v>
      </c>
      <c r="X13" s="3">
        <v>87.3</v>
      </c>
      <c r="Y13" s="3">
        <v>87.15</v>
      </c>
      <c r="Z13" s="3">
        <v>87.0</v>
      </c>
      <c r="AA13" s="3">
        <v>86.85</v>
      </c>
      <c r="AB13" s="3">
        <v>86.7</v>
      </c>
      <c r="AC13" s="3">
        <v>86.55</v>
      </c>
      <c r="AD13" s="3">
        <v>86.4</v>
      </c>
      <c r="AE13" s="3">
        <v>86.25</v>
      </c>
      <c r="AF13" s="3">
        <v>86.1</v>
      </c>
      <c r="AG13" s="3">
        <v>85.95</v>
      </c>
      <c r="AH13" s="3">
        <v>85.8</v>
      </c>
      <c r="AI13" s="3">
        <v>85.65</v>
      </c>
      <c r="AJ13" s="4">
        <f t="shared" si="1"/>
        <v>-4.7</v>
      </c>
    </row>
    <row r="14">
      <c r="A14" s="1" t="s">
        <v>31</v>
      </c>
      <c r="B14" s="1" t="s">
        <v>32</v>
      </c>
      <c r="C14" s="1" t="s">
        <v>7</v>
      </c>
      <c r="D14" s="1" t="s">
        <v>8</v>
      </c>
      <c r="E14" s="3">
        <v>22.9772727</v>
      </c>
      <c r="F14" s="3">
        <v>22.8272727</v>
      </c>
      <c r="G14" s="3">
        <v>22.6772727</v>
      </c>
      <c r="H14" s="3">
        <v>22.5272727</v>
      </c>
      <c r="I14" s="3">
        <v>22.3772727</v>
      </c>
      <c r="J14" s="3">
        <v>22.2272727</v>
      </c>
      <c r="K14" s="3">
        <v>22.0772727</v>
      </c>
      <c r="L14" s="3">
        <v>21.9272727</v>
      </c>
      <c r="M14" s="3">
        <v>21.7772727</v>
      </c>
      <c r="N14" s="3">
        <v>21.6272727</v>
      </c>
      <c r="O14" s="3">
        <v>21.4772727</v>
      </c>
      <c r="P14" s="3">
        <v>21.325</v>
      </c>
      <c r="Q14" s="3">
        <v>21.1727273</v>
      </c>
      <c r="R14" s="3">
        <v>21.0204545</v>
      </c>
      <c r="S14" s="3">
        <v>20.8681818</v>
      </c>
      <c r="T14" s="3">
        <v>20.7159091</v>
      </c>
      <c r="U14" s="3">
        <v>20.5636364</v>
      </c>
      <c r="V14" s="3">
        <v>20.4113636</v>
      </c>
      <c r="W14" s="3">
        <v>20.2590909</v>
      </c>
      <c r="X14" s="3">
        <v>20.1068182</v>
      </c>
      <c r="Y14" s="3">
        <v>19.9545455</v>
      </c>
      <c r="Z14" s="3">
        <v>19.8045455</v>
      </c>
      <c r="AA14" s="3">
        <v>19.6545455</v>
      </c>
      <c r="AB14" s="3">
        <v>19.5045455</v>
      </c>
      <c r="AC14" s="3">
        <v>19.3545455</v>
      </c>
      <c r="AD14" s="3">
        <v>19.2045455</v>
      </c>
      <c r="AE14" s="3">
        <v>19.0454545</v>
      </c>
      <c r="AF14" s="3">
        <v>18.9090909</v>
      </c>
      <c r="AG14" s="3">
        <v>18.75</v>
      </c>
      <c r="AH14" s="3">
        <v>18.5909091</v>
      </c>
      <c r="AI14" s="3">
        <v>18.4545455</v>
      </c>
      <c r="AJ14" s="4">
        <f t="shared" si="1"/>
        <v>-4.5227272</v>
      </c>
    </row>
    <row r="15">
      <c r="A15" s="1" t="s">
        <v>33</v>
      </c>
      <c r="B15" s="1" t="s">
        <v>34</v>
      </c>
      <c r="C15" s="1" t="s">
        <v>7</v>
      </c>
      <c r="D15" s="1" t="s">
        <v>8</v>
      </c>
      <c r="E15" s="3">
        <v>17.427359</v>
      </c>
      <c r="F15" s="3">
        <v>17.4004387</v>
      </c>
      <c r="G15" s="3">
        <v>17.3735183</v>
      </c>
      <c r="H15" s="3">
        <v>17.346598</v>
      </c>
      <c r="I15" s="3">
        <v>17.3196777</v>
      </c>
      <c r="J15" s="3">
        <v>17.2927574</v>
      </c>
      <c r="K15" s="3">
        <v>17.2658371</v>
      </c>
      <c r="L15" s="3">
        <v>17.2389167</v>
      </c>
      <c r="M15" s="3">
        <v>17.2119964</v>
      </c>
      <c r="N15" s="3">
        <v>17.1850761</v>
      </c>
      <c r="O15" s="3">
        <v>17.1581558</v>
      </c>
      <c r="P15" s="3">
        <v>17.1286334</v>
      </c>
      <c r="Q15" s="3">
        <v>17.0991109</v>
      </c>
      <c r="R15" s="3">
        <v>17.0695885</v>
      </c>
      <c r="S15" s="3">
        <v>17.0400661</v>
      </c>
      <c r="T15" s="3">
        <v>17.0105437</v>
      </c>
      <c r="U15" s="3">
        <v>16.9810213</v>
      </c>
      <c r="V15" s="3">
        <v>16.9514989</v>
      </c>
      <c r="W15" s="3">
        <v>16.9219765</v>
      </c>
      <c r="X15" s="3">
        <v>16.8924541</v>
      </c>
      <c r="Y15" s="3">
        <v>16.8629317</v>
      </c>
      <c r="Z15" s="3">
        <v>16.9553103</v>
      </c>
      <c r="AA15" s="3">
        <v>17.0476888</v>
      </c>
      <c r="AB15" s="3">
        <v>17.1400674</v>
      </c>
      <c r="AC15" s="3">
        <v>17.232446</v>
      </c>
      <c r="AD15" s="3">
        <v>17.3248246</v>
      </c>
      <c r="AE15" s="3">
        <v>17.4254877</v>
      </c>
      <c r="AF15" s="3">
        <v>17.4229136</v>
      </c>
      <c r="AG15" s="3">
        <v>17.4213146</v>
      </c>
      <c r="AH15" s="3">
        <v>17.4213146</v>
      </c>
      <c r="AI15" s="3">
        <v>17.4213146</v>
      </c>
      <c r="AJ15" s="4">
        <f t="shared" si="1"/>
        <v>-0.0060444</v>
      </c>
    </row>
    <row r="16">
      <c r="A16" s="1" t="s">
        <v>35</v>
      </c>
      <c r="B16" s="1" t="s">
        <v>36</v>
      </c>
      <c r="C16" s="1" t="s">
        <v>7</v>
      </c>
      <c r="D16" s="1" t="s">
        <v>8</v>
      </c>
      <c r="E16" s="3">
        <v>45.7213611</v>
      </c>
      <c r="F16" s="3">
        <v>45.797009</v>
      </c>
      <c r="G16" s="3">
        <v>45.8726568</v>
      </c>
      <c r="H16" s="3">
        <v>45.9483047</v>
      </c>
      <c r="I16" s="3">
        <v>46.0239525</v>
      </c>
      <c r="J16" s="3">
        <v>46.0996004</v>
      </c>
      <c r="K16" s="3">
        <v>46.1752482</v>
      </c>
      <c r="L16" s="3">
        <v>46.2508961</v>
      </c>
      <c r="M16" s="3">
        <v>46.326544</v>
      </c>
      <c r="N16" s="3">
        <v>46.4021918</v>
      </c>
      <c r="O16" s="3">
        <v>46.4778397</v>
      </c>
      <c r="P16" s="3">
        <v>46.508186</v>
      </c>
      <c r="Q16" s="3">
        <v>46.5385323</v>
      </c>
      <c r="R16" s="3">
        <v>46.5688787</v>
      </c>
      <c r="S16" s="3">
        <v>46.599225</v>
      </c>
      <c r="T16" s="3">
        <v>46.6295713</v>
      </c>
      <c r="U16" s="3">
        <v>46.6599177</v>
      </c>
      <c r="V16" s="3">
        <v>46.6913948</v>
      </c>
      <c r="W16" s="3">
        <v>46.7217419</v>
      </c>
      <c r="X16" s="3">
        <v>46.7520889</v>
      </c>
      <c r="Y16" s="3">
        <v>46.786402</v>
      </c>
      <c r="Z16" s="3">
        <v>46.8356488</v>
      </c>
      <c r="AA16" s="3">
        <v>46.8832037</v>
      </c>
      <c r="AB16" s="3">
        <v>46.939865</v>
      </c>
      <c r="AC16" s="3">
        <v>46.9880155</v>
      </c>
      <c r="AD16" s="3">
        <v>47.0333253</v>
      </c>
      <c r="AE16" s="3">
        <v>47.076951</v>
      </c>
      <c r="AF16" s="3">
        <v>47.1204556</v>
      </c>
      <c r="AG16" s="3">
        <v>47.1639603</v>
      </c>
      <c r="AH16" s="3">
        <v>47.2074649</v>
      </c>
      <c r="AI16" s="3">
        <v>47.2509695</v>
      </c>
      <c r="AJ16" s="4">
        <f t="shared" si="1"/>
        <v>1.5296084</v>
      </c>
    </row>
    <row r="17">
      <c r="A17" s="1" t="s">
        <v>37</v>
      </c>
      <c r="B17" s="1" t="s">
        <v>38</v>
      </c>
      <c r="C17" s="1" t="s">
        <v>7</v>
      </c>
      <c r="D17" s="1" t="s">
        <v>8</v>
      </c>
      <c r="E17" s="3">
        <v>10.2382927</v>
      </c>
      <c r="F17" s="3">
        <v>10.2839564</v>
      </c>
      <c r="G17" s="3">
        <v>11.4548229</v>
      </c>
      <c r="H17" s="3">
        <v>11.5058702</v>
      </c>
      <c r="I17" s="3">
        <v>11.5569175</v>
      </c>
      <c r="J17" s="3">
        <v>11.6079647</v>
      </c>
      <c r="K17" s="3">
        <v>11.659012</v>
      </c>
      <c r="L17" s="3">
        <v>11.7100592</v>
      </c>
      <c r="M17" s="3">
        <v>11.7787994</v>
      </c>
      <c r="N17" s="3">
        <v>11.885279</v>
      </c>
      <c r="O17" s="3">
        <v>11.9510925</v>
      </c>
      <c r="P17" s="3">
        <v>12.0060469</v>
      </c>
      <c r="Q17" s="3">
        <v>12.0588116</v>
      </c>
      <c r="R17" s="3">
        <v>12.108629</v>
      </c>
      <c r="S17" s="3">
        <v>12.160463</v>
      </c>
      <c r="T17" s="3">
        <v>12.217001</v>
      </c>
      <c r="U17" s="3">
        <v>12.2751891</v>
      </c>
      <c r="V17" s="3">
        <v>12.3311694</v>
      </c>
      <c r="W17" s="3">
        <v>12.3862624</v>
      </c>
      <c r="X17" s="3">
        <v>12.4418085</v>
      </c>
      <c r="Y17" s="3">
        <v>12.4914657</v>
      </c>
      <c r="Z17" s="3">
        <v>12.6009957</v>
      </c>
      <c r="AA17" s="3">
        <v>12.7108265</v>
      </c>
      <c r="AB17" s="3">
        <v>12.8205035</v>
      </c>
      <c r="AC17" s="3">
        <v>12.9297086</v>
      </c>
      <c r="AD17" s="3">
        <v>13.0395336</v>
      </c>
      <c r="AE17" s="3">
        <v>13.1544115</v>
      </c>
      <c r="AF17" s="3">
        <v>13.2731461</v>
      </c>
      <c r="AG17" s="3">
        <v>13.4139298</v>
      </c>
      <c r="AH17" s="3">
        <v>13.553367</v>
      </c>
      <c r="AI17" s="3">
        <v>13.6928642</v>
      </c>
      <c r="AJ17" s="4">
        <f t="shared" si="1"/>
        <v>3.4545715</v>
      </c>
    </row>
    <row r="18">
      <c r="A18" s="1" t="s">
        <v>39</v>
      </c>
      <c r="B18" s="1" t="s">
        <v>40</v>
      </c>
      <c r="C18" s="1" t="s">
        <v>7</v>
      </c>
      <c r="D18" s="1" t="s">
        <v>8</v>
      </c>
      <c r="E18" s="3">
        <v>10.7663551</v>
      </c>
      <c r="F18" s="3">
        <v>10.4449377</v>
      </c>
      <c r="G18" s="3">
        <v>10.1235202</v>
      </c>
      <c r="H18" s="3">
        <v>9.8021028</v>
      </c>
      <c r="I18" s="3">
        <v>9.48068536</v>
      </c>
      <c r="J18" s="3">
        <v>9.15926791</v>
      </c>
      <c r="K18" s="3">
        <v>8.83785047</v>
      </c>
      <c r="L18" s="3">
        <v>8.51643302</v>
      </c>
      <c r="M18" s="3">
        <v>8.19501558</v>
      </c>
      <c r="N18" s="3">
        <v>7.87359813</v>
      </c>
      <c r="O18" s="3">
        <v>7.55218069</v>
      </c>
      <c r="P18" s="3">
        <v>7.55218069</v>
      </c>
      <c r="Q18" s="3">
        <v>7.55218069</v>
      </c>
      <c r="R18" s="3">
        <v>7.55218069</v>
      </c>
      <c r="S18" s="3">
        <v>7.55218069</v>
      </c>
      <c r="T18" s="3">
        <v>7.55218069</v>
      </c>
      <c r="U18" s="3">
        <v>7.55218069</v>
      </c>
      <c r="V18" s="3">
        <v>7.55218069</v>
      </c>
      <c r="W18" s="3">
        <v>7.55218069</v>
      </c>
      <c r="X18" s="3">
        <v>7.55218069</v>
      </c>
      <c r="Y18" s="3">
        <v>7.55218069</v>
      </c>
      <c r="Z18" s="3">
        <v>8.21962617</v>
      </c>
      <c r="AA18" s="3">
        <v>8.88707165</v>
      </c>
      <c r="AB18" s="3">
        <v>9.55451713</v>
      </c>
      <c r="AC18" s="3">
        <v>10.2219626</v>
      </c>
      <c r="AD18" s="3">
        <v>10.8894081</v>
      </c>
      <c r="AE18" s="3">
        <v>10.8894081</v>
      </c>
      <c r="AF18" s="3">
        <v>10.8894081</v>
      </c>
      <c r="AG18" s="3">
        <v>10.8894081</v>
      </c>
      <c r="AH18" s="3">
        <v>10.8894081</v>
      </c>
      <c r="AI18" s="3">
        <v>10.8894081</v>
      </c>
      <c r="AJ18" s="4">
        <f t="shared" si="1"/>
        <v>0.123053</v>
      </c>
    </row>
    <row r="19">
      <c r="A19" s="1" t="s">
        <v>41</v>
      </c>
      <c r="B19" s="1" t="s">
        <v>42</v>
      </c>
      <c r="C19" s="1" t="s">
        <v>7</v>
      </c>
      <c r="D19" s="1" t="s">
        <v>8</v>
      </c>
      <c r="E19" s="3">
        <v>23.2541133</v>
      </c>
      <c r="F19" s="3">
        <v>23.2260817</v>
      </c>
      <c r="G19" s="3">
        <v>23.19805</v>
      </c>
      <c r="H19" s="3">
        <v>23.1700183</v>
      </c>
      <c r="I19" s="3">
        <v>23.1419866</v>
      </c>
      <c r="J19" s="3">
        <v>23.1139549</v>
      </c>
      <c r="K19" s="3">
        <v>23.0859232</v>
      </c>
      <c r="L19" s="3">
        <v>23.0578915</v>
      </c>
      <c r="M19" s="3">
        <v>23.0298598</v>
      </c>
      <c r="N19" s="3">
        <v>23.0018282</v>
      </c>
      <c r="O19" s="3">
        <v>22.0376486</v>
      </c>
      <c r="P19" s="3">
        <v>22.1121863</v>
      </c>
      <c r="Q19" s="3">
        <v>22.1867239</v>
      </c>
      <c r="R19" s="3">
        <v>22.2612616</v>
      </c>
      <c r="S19" s="3">
        <v>22.3357992</v>
      </c>
      <c r="T19" s="3">
        <v>22.4103369</v>
      </c>
      <c r="U19" s="3">
        <v>22.4848745</v>
      </c>
      <c r="V19" s="3">
        <v>22.5594122</v>
      </c>
      <c r="W19" s="3">
        <v>22.6339498</v>
      </c>
      <c r="X19" s="3">
        <v>22.7084875</v>
      </c>
      <c r="Y19" s="3">
        <v>22.7830251</v>
      </c>
      <c r="Z19" s="3">
        <v>22.7792602</v>
      </c>
      <c r="AA19" s="3">
        <v>22.7754954</v>
      </c>
      <c r="AB19" s="3">
        <v>22.7717305</v>
      </c>
      <c r="AC19" s="3">
        <v>22.7679657</v>
      </c>
      <c r="AD19" s="3">
        <v>22.7642008</v>
      </c>
      <c r="AE19" s="3">
        <v>22.7642008</v>
      </c>
      <c r="AF19" s="3">
        <v>22.7642008</v>
      </c>
      <c r="AG19" s="3">
        <v>22.7642008</v>
      </c>
      <c r="AH19" s="3">
        <v>22.7642008</v>
      </c>
      <c r="AI19" s="3">
        <v>22.7642008</v>
      </c>
      <c r="AJ19" s="4">
        <f t="shared" si="1"/>
        <v>-0.4899125</v>
      </c>
    </row>
    <row r="20">
      <c r="A20" s="1" t="s">
        <v>43</v>
      </c>
      <c r="B20" s="1" t="s">
        <v>44</v>
      </c>
      <c r="C20" s="1" t="s">
        <v>7</v>
      </c>
      <c r="D20" s="1" t="s">
        <v>8</v>
      </c>
      <c r="E20" s="3">
        <v>42.8800106</v>
      </c>
      <c r="F20" s="3">
        <v>42.2592231</v>
      </c>
      <c r="G20" s="3">
        <v>41.6384356</v>
      </c>
      <c r="H20" s="3">
        <v>41.0176481</v>
      </c>
      <c r="I20" s="3">
        <v>40.3968606</v>
      </c>
      <c r="J20" s="3">
        <v>39.7760731</v>
      </c>
      <c r="K20" s="3">
        <v>39.1552856</v>
      </c>
      <c r="L20" s="3">
        <v>38.534498</v>
      </c>
      <c r="M20" s="3">
        <v>37.9137105</v>
      </c>
      <c r="N20" s="3">
        <v>37.292923</v>
      </c>
      <c r="O20" s="3">
        <v>36.6721355</v>
      </c>
      <c r="P20" s="3">
        <v>36.2287159</v>
      </c>
      <c r="Q20" s="3">
        <v>35.7852962</v>
      </c>
      <c r="R20" s="3">
        <v>35.3418766</v>
      </c>
      <c r="S20" s="3">
        <v>34.8984569</v>
      </c>
      <c r="T20" s="3">
        <v>34.4550372</v>
      </c>
      <c r="U20" s="3">
        <v>34.0116176</v>
      </c>
      <c r="V20" s="3">
        <v>33.5681979</v>
      </c>
      <c r="W20" s="3">
        <v>33.1247783</v>
      </c>
      <c r="X20" s="3">
        <v>32.6813586</v>
      </c>
      <c r="Y20" s="3">
        <v>32.237939</v>
      </c>
      <c r="Z20" s="3">
        <v>31.7945193</v>
      </c>
      <c r="AA20" s="3">
        <v>31.3510997</v>
      </c>
      <c r="AB20" s="3">
        <v>30.90768</v>
      </c>
      <c r="AC20" s="3">
        <v>30.4642604</v>
      </c>
      <c r="AD20" s="3">
        <v>30.0208407</v>
      </c>
      <c r="AE20" s="3">
        <v>29.5774211</v>
      </c>
      <c r="AF20" s="3">
        <v>29.1340014</v>
      </c>
      <c r="AG20" s="3">
        <v>28.6905818</v>
      </c>
      <c r="AH20" s="3">
        <v>28.2471621</v>
      </c>
      <c r="AI20" s="3">
        <v>27.8037425</v>
      </c>
      <c r="AJ20" s="4">
        <f t="shared" si="1"/>
        <v>-15.0762681</v>
      </c>
    </row>
    <row r="21">
      <c r="A21" s="1" t="s">
        <v>45</v>
      </c>
      <c r="B21" s="1" t="s">
        <v>46</v>
      </c>
      <c r="C21" s="1" t="s">
        <v>7</v>
      </c>
      <c r="D21" s="1" t="s">
        <v>8</v>
      </c>
      <c r="E21" s="3">
        <v>28.2039474</v>
      </c>
      <c r="F21" s="3">
        <v>28.0211623</v>
      </c>
      <c r="G21" s="3">
        <v>27.8383772</v>
      </c>
      <c r="H21" s="3">
        <v>27.6555921</v>
      </c>
      <c r="I21" s="3">
        <v>27.472807</v>
      </c>
      <c r="J21" s="3">
        <v>27.2900219</v>
      </c>
      <c r="K21" s="3">
        <v>27.1072368</v>
      </c>
      <c r="L21" s="3">
        <v>26.9244518</v>
      </c>
      <c r="M21" s="3">
        <v>26.7416667</v>
      </c>
      <c r="N21" s="3">
        <v>26.5588816</v>
      </c>
      <c r="O21" s="3">
        <v>26.3760965</v>
      </c>
      <c r="P21" s="3">
        <v>26.193348</v>
      </c>
      <c r="Q21" s="3">
        <v>26.0105994</v>
      </c>
      <c r="R21" s="3">
        <v>25.8278509</v>
      </c>
      <c r="S21" s="3">
        <v>25.6451023</v>
      </c>
      <c r="T21" s="3">
        <v>25.4623538</v>
      </c>
      <c r="U21" s="3">
        <v>25.2796053</v>
      </c>
      <c r="V21" s="3">
        <v>25.0968567</v>
      </c>
      <c r="W21" s="3">
        <v>24.9141082</v>
      </c>
      <c r="X21" s="3">
        <v>24.7313596</v>
      </c>
      <c r="Y21" s="3">
        <v>24.5486111</v>
      </c>
      <c r="Z21" s="3">
        <v>24.3657895</v>
      </c>
      <c r="AA21" s="3">
        <v>24.1829678</v>
      </c>
      <c r="AB21" s="3">
        <v>24.0001462</v>
      </c>
      <c r="AC21" s="3">
        <v>23.8173246</v>
      </c>
      <c r="AD21" s="3">
        <v>23.6345029</v>
      </c>
      <c r="AE21" s="3">
        <v>23.4517544</v>
      </c>
      <c r="AF21" s="3">
        <v>23.2690058</v>
      </c>
      <c r="AG21" s="3">
        <v>23.0862573</v>
      </c>
      <c r="AH21" s="3">
        <v>22.9035088</v>
      </c>
      <c r="AI21" s="3">
        <v>22.7207602</v>
      </c>
      <c r="AJ21" s="4">
        <f t="shared" si="1"/>
        <v>-5.4831872</v>
      </c>
    </row>
    <row r="22">
      <c r="A22" s="1" t="s">
        <v>47</v>
      </c>
      <c r="B22" s="1" t="s">
        <v>48</v>
      </c>
      <c r="C22" s="1" t="s">
        <v>7</v>
      </c>
      <c r="D22" s="1" t="s">
        <v>8</v>
      </c>
      <c r="E22" s="3">
        <v>14.7524775</v>
      </c>
      <c r="F22" s="3">
        <v>14.752476</v>
      </c>
      <c r="G22" s="3">
        <v>14.7524745</v>
      </c>
      <c r="H22" s="3">
        <v>14.7524729</v>
      </c>
      <c r="I22" s="3">
        <v>14.7524714</v>
      </c>
      <c r="J22" s="3">
        <v>14.7524698</v>
      </c>
      <c r="K22" s="3">
        <v>14.7524691</v>
      </c>
      <c r="L22" s="3">
        <v>14.7524675</v>
      </c>
      <c r="M22" s="3">
        <v>14.752466</v>
      </c>
      <c r="N22" s="3">
        <v>14.7524645</v>
      </c>
      <c r="O22" s="3">
        <v>14.7524629</v>
      </c>
      <c r="P22" s="3">
        <v>14.7278905</v>
      </c>
      <c r="Q22" s="3">
        <v>14.703318</v>
      </c>
      <c r="R22" s="3">
        <v>14.6787455</v>
      </c>
      <c r="S22" s="3">
        <v>14.654173</v>
      </c>
      <c r="T22" s="3">
        <v>14.6296005</v>
      </c>
      <c r="U22" s="3">
        <v>14.605028</v>
      </c>
      <c r="V22" s="3">
        <v>14.5804556</v>
      </c>
      <c r="W22" s="3">
        <v>14.5558831</v>
      </c>
      <c r="X22" s="3">
        <v>14.5313098</v>
      </c>
      <c r="Y22" s="3">
        <v>14.5067377</v>
      </c>
      <c r="Z22" s="3">
        <v>14.4991442</v>
      </c>
      <c r="AA22" s="3">
        <v>14.491551</v>
      </c>
      <c r="AB22" s="3">
        <v>14.4839579</v>
      </c>
      <c r="AC22" s="3">
        <v>14.4763648</v>
      </c>
      <c r="AD22" s="3">
        <v>14.4687716</v>
      </c>
      <c r="AE22" s="3">
        <v>14.4687716</v>
      </c>
      <c r="AF22" s="3">
        <v>14.4687716</v>
      </c>
      <c r="AG22" s="3">
        <v>14.4687716</v>
      </c>
      <c r="AH22" s="3">
        <v>14.4687716</v>
      </c>
      <c r="AI22" s="3">
        <v>14.4687716</v>
      </c>
      <c r="AJ22" s="4">
        <f t="shared" si="1"/>
        <v>-0.2837059</v>
      </c>
    </row>
    <row r="23">
      <c r="A23" s="1" t="s">
        <v>49</v>
      </c>
      <c r="B23" s="1" t="s">
        <v>50</v>
      </c>
      <c r="C23" s="1" t="s">
        <v>7</v>
      </c>
      <c r="D23" s="1" t="s">
        <v>8</v>
      </c>
      <c r="E23" s="3">
        <v>30.073217</v>
      </c>
      <c r="F23" s="3">
        <v>30.1166049</v>
      </c>
      <c r="G23" s="3">
        <v>30.1599928</v>
      </c>
      <c r="H23" s="3">
        <v>30.2033806</v>
      </c>
      <c r="I23" s="3">
        <v>30.2467685</v>
      </c>
      <c r="J23" s="3">
        <v>30.2901564</v>
      </c>
      <c r="K23" s="3">
        <v>30.3335442</v>
      </c>
      <c r="L23" s="3">
        <v>30.3769321</v>
      </c>
      <c r="M23" s="3">
        <v>30.42032</v>
      </c>
      <c r="N23" s="3">
        <v>30.4637079</v>
      </c>
      <c r="O23" s="3">
        <v>30.5070957</v>
      </c>
      <c r="P23" s="3">
        <v>30.8343126</v>
      </c>
      <c r="Q23" s="3">
        <v>31.6856618</v>
      </c>
      <c r="R23" s="3">
        <v>32.0272134</v>
      </c>
      <c r="S23" s="3">
        <v>32.3630011</v>
      </c>
      <c r="T23" s="3">
        <v>32.7319588</v>
      </c>
      <c r="U23" s="3">
        <v>33.0682132</v>
      </c>
      <c r="V23" s="3">
        <v>33.4076052</v>
      </c>
      <c r="W23" s="3">
        <v>33.7409078</v>
      </c>
      <c r="X23" s="3">
        <v>34.0899042</v>
      </c>
      <c r="Y23" s="3">
        <v>34.4233604</v>
      </c>
      <c r="Z23" s="3">
        <v>34.6002211</v>
      </c>
      <c r="AA23" s="3">
        <v>34.7770818</v>
      </c>
      <c r="AB23" s="3">
        <v>34.9539425</v>
      </c>
      <c r="AC23" s="3">
        <v>35.1308032</v>
      </c>
      <c r="AD23" s="3">
        <v>35.307664</v>
      </c>
      <c r="AE23" s="3">
        <v>35.3813559</v>
      </c>
      <c r="AF23" s="3">
        <v>35.5011054</v>
      </c>
      <c r="AG23" s="3">
        <v>35.6208548</v>
      </c>
      <c r="AH23" s="3">
        <v>35.7406043</v>
      </c>
      <c r="AI23" s="3">
        <v>35.8603537</v>
      </c>
      <c r="AJ23" s="4">
        <f t="shared" si="1"/>
        <v>5.7871367</v>
      </c>
    </row>
    <row r="24">
      <c r="A24" s="1" t="s">
        <v>51</v>
      </c>
      <c r="B24" s="1" t="s">
        <v>52</v>
      </c>
      <c r="C24" s="1" t="s">
        <v>7</v>
      </c>
      <c r="D24" s="1" t="s">
        <v>8</v>
      </c>
      <c r="E24" s="3">
        <v>0.31884058</v>
      </c>
      <c r="F24" s="3">
        <v>0.34057971</v>
      </c>
      <c r="G24" s="3">
        <v>0.35211268</v>
      </c>
      <c r="H24" s="3">
        <v>0.37323944</v>
      </c>
      <c r="I24" s="3">
        <v>0.3943662</v>
      </c>
      <c r="J24" s="3">
        <v>0.41549296</v>
      </c>
      <c r="K24" s="3">
        <v>0.43661972</v>
      </c>
      <c r="L24" s="3">
        <v>0.45774648</v>
      </c>
      <c r="M24" s="3">
        <v>0.47887324</v>
      </c>
      <c r="N24" s="3">
        <v>0.5</v>
      </c>
      <c r="O24" s="3">
        <v>0.52112676</v>
      </c>
      <c r="P24" s="3">
        <v>0.54225352</v>
      </c>
      <c r="Q24" s="3">
        <v>0.56338028</v>
      </c>
      <c r="R24" s="3">
        <v>0.57638889</v>
      </c>
      <c r="S24" s="3">
        <v>0.5890411</v>
      </c>
      <c r="T24" s="3">
        <v>0.60135135</v>
      </c>
      <c r="U24" s="3">
        <v>0.62162162</v>
      </c>
      <c r="V24" s="3">
        <v>0.63333333</v>
      </c>
      <c r="W24" s="3">
        <v>0.64473684</v>
      </c>
      <c r="X24" s="3">
        <v>0.66447368</v>
      </c>
      <c r="Y24" s="3">
        <v>0.6824147</v>
      </c>
      <c r="Z24" s="3">
        <v>0.6988266</v>
      </c>
      <c r="AA24" s="3">
        <v>0.71688312</v>
      </c>
      <c r="AB24" s="3">
        <v>0.73766234</v>
      </c>
      <c r="AC24" s="3">
        <v>0.75745785</v>
      </c>
      <c r="AD24" s="3">
        <v>0.77120823</v>
      </c>
      <c r="AE24" s="3">
        <v>0.79589217</v>
      </c>
      <c r="AF24" s="3">
        <v>0.82051282</v>
      </c>
      <c r="AG24" s="3">
        <v>0.84615385</v>
      </c>
      <c r="AH24" s="3">
        <v>0.87179487</v>
      </c>
      <c r="AI24" s="3">
        <v>0.8974359</v>
      </c>
      <c r="AJ24" s="4">
        <f t="shared" si="1"/>
        <v>0.57859532</v>
      </c>
    </row>
    <row r="25">
      <c r="A25" s="1" t="s">
        <v>53</v>
      </c>
      <c r="B25" s="1" t="s">
        <v>54</v>
      </c>
      <c r="C25" s="1" t="s">
        <v>7</v>
      </c>
      <c r="D25" s="1" t="s">
        <v>8</v>
      </c>
      <c r="E25" s="3">
        <v>50.9350649</v>
      </c>
      <c r="F25" s="3">
        <v>50.9350649</v>
      </c>
      <c r="G25" s="3">
        <v>50.9350649</v>
      </c>
      <c r="H25" s="3">
        <v>50.9350649</v>
      </c>
      <c r="I25" s="3">
        <v>50.9350649</v>
      </c>
      <c r="J25" s="3">
        <v>50.9350649</v>
      </c>
      <c r="K25" s="3">
        <v>50.9350649</v>
      </c>
      <c r="L25" s="3">
        <v>50.9350649</v>
      </c>
      <c r="M25" s="3">
        <v>50.9350649</v>
      </c>
      <c r="N25" s="3">
        <v>50.9350649</v>
      </c>
      <c r="O25" s="3">
        <v>50.9350649</v>
      </c>
      <c r="P25" s="3">
        <v>50.9350649</v>
      </c>
      <c r="Q25" s="3">
        <v>50.9350649</v>
      </c>
      <c r="R25" s="3">
        <v>50.9350649</v>
      </c>
      <c r="S25" s="3">
        <v>50.9350649</v>
      </c>
      <c r="T25" s="3">
        <v>50.9350649</v>
      </c>
      <c r="U25" s="3">
        <v>50.9350649</v>
      </c>
      <c r="V25" s="3">
        <v>50.9350649</v>
      </c>
      <c r="W25" s="3">
        <v>50.9350649</v>
      </c>
      <c r="X25" s="3">
        <v>50.9350649</v>
      </c>
      <c r="Y25" s="3">
        <v>50.9350649</v>
      </c>
      <c r="Z25" s="3">
        <v>50.9350649</v>
      </c>
      <c r="AA25" s="3">
        <v>50.9350649</v>
      </c>
      <c r="AB25" s="3">
        <v>50.9350649</v>
      </c>
      <c r="AC25" s="3">
        <v>50.9350649</v>
      </c>
      <c r="AD25" s="3">
        <v>50.9350649</v>
      </c>
      <c r="AE25" s="3">
        <v>50.9350649</v>
      </c>
      <c r="AF25" s="3">
        <v>50.9350649</v>
      </c>
      <c r="AG25" s="3">
        <v>50.9350649</v>
      </c>
      <c r="AH25" s="3">
        <v>50.9350649</v>
      </c>
      <c r="AI25" s="3">
        <v>50.9350649</v>
      </c>
      <c r="AJ25" s="4">
        <f t="shared" si="1"/>
        <v>0</v>
      </c>
    </row>
    <row r="26">
      <c r="A26" s="1" t="s">
        <v>55</v>
      </c>
      <c r="B26" s="1" t="s">
        <v>56</v>
      </c>
      <c r="C26" s="1" t="s">
        <v>7</v>
      </c>
      <c r="D26" s="1" t="s">
        <v>8</v>
      </c>
      <c r="E26" s="3">
        <v>43.1640625</v>
      </c>
      <c r="F26" s="3">
        <v>43.0664063</v>
      </c>
      <c r="G26" s="3">
        <v>42.7798828</v>
      </c>
      <c r="H26" s="3">
        <v>42.587793</v>
      </c>
      <c r="I26" s="3">
        <v>42.3957031</v>
      </c>
      <c r="J26" s="3">
        <v>42.2036133</v>
      </c>
      <c r="K26" s="3">
        <v>42.0115234</v>
      </c>
      <c r="L26" s="3">
        <v>41.8194336</v>
      </c>
      <c r="M26" s="3">
        <v>41.6273438</v>
      </c>
      <c r="N26" s="3">
        <v>41.4352539</v>
      </c>
      <c r="O26" s="3">
        <v>41.2431641</v>
      </c>
      <c r="P26" s="3">
        <v>41.2256055</v>
      </c>
      <c r="Q26" s="3">
        <v>41.2080469</v>
      </c>
      <c r="R26" s="3">
        <v>41.1904883</v>
      </c>
      <c r="S26" s="3">
        <v>41.1729297</v>
      </c>
      <c r="T26" s="3">
        <v>41.1553711</v>
      </c>
      <c r="U26" s="3">
        <v>41.1378125</v>
      </c>
      <c r="V26" s="3">
        <v>41.1202539</v>
      </c>
      <c r="W26" s="3">
        <v>41.1026953</v>
      </c>
      <c r="X26" s="3">
        <v>41.0851367</v>
      </c>
      <c r="Y26" s="3">
        <v>41.0675781</v>
      </c>
      <c r="Z26" s="3">
        <v>41.2935156</v>
      </c>
      <c r="AA26" s="3">
        <v>41.5194531</v>
      </c>
      <c r="AB26" s="3">
        <v>41.7453906</v>
      </c>
      <c r="AC26" s="3">
        <v>41.9713281</v>
      </c>
      <c r="AD26" s="3">
        <v>42.1972656</v>
      </c>
      <c r="AE26" s="3">
        <v>42.5099609</v>
      </c>
      <c r="AF26" s="3">
        <v>42.7326172</v>
      </c>
      <c r="AG26" s="3">
        <v>42.7326172</v>
      </c>
      <c r="AH26" s="3">
        <v>42.7326172</v>
      </c>
      <c r="AI26" s="3">
        <v>42.7326172</v>
      </c>
      <c r="AJ26" s="4">
        <f t="shared" si="1"/>
        <v>-0.4314453</v>
      </c>
    </row>
    <row r="27">
      <c r="A27" s="1" t="s">
        <v>57</v>
      </c>
      <c r="B27" s="1" t="s">
        <v>58</v>
      </c>
      <c r="C27" s="1" t="s">
        <v>7</v>
      </c>
      <c r="D27" s="1" t="s">
        <v>8</v>
      </c>
      <c r="E27" s="3">
        <v>38.355354</v>
      </c>
      <c r="F27" s="3">
        <v>38.8414514</v>
      </c>
      <c r="G27" s="3">
        <v>38.8414514</v>
      </c>
      <c r="H27" s="3">
        <v>39.0845001</v>
      </c>
      <c r="I27" s="3">
        <v>39.3275488</v>
      </c>
      <c r="J27" s="3">
        <v>39.5705975</v>
      </c>
      <c r="K27" s="3">
        <v>39.8136462</v>
      </c>
      <c r="L27" s="3">
        <v>40.0566949</v>
      </c>
      <c r="M27" s="3">
        <v>40.2997436</v>
      </c>
      <c r="N27" s="3">
        <v>40.5427923</v>
      </c>
      <c r="O27" s="3">
        <v>40.7858411</v>
      </c>
      <c r="P27" s="3">
        <v>40.9618418</v>
      </c>
      <c r="Q27" s="3">
        <v>41.1398708</v>
      </c>
      <c r="R27" s="3">
        <v>41.3158803</v>
      </c>
      <c r="S27" s="3">
        <v>41.4959815</v>
      </c>
      <c r="T27" s="3">
        <v>41.6678992</v>
      </c>
      <c r="U27" s="3">
        <v>41.8294726</v>
      </c>
      <c r="V27" s="3">
        <v>42.0054214</v>
      </c>
      <c r="W27" s="3">
        <v>42.1813701</v>
      </c>
      <c r="X27" s="3">
        <v>42.3740262</v>
      </c>
      <c r="Y27" s="3">
        <v>42.5332676</v>
      </c>
      <c r="Z27" s="3">
        <v>42.5346213</v>
      </c>
      <c r="AA27" s="3">
        <v>42.5380711</v>
      </c>
      <c r="AB27" s="3">
        <v>42.5419402</v>
      </c>
      <c r="AC27" s="3">
        <v>42.5317653</v>
      </c>
      <c r="AD27" s="3">
        <v>42.5341663</v>
      </c>
      <c r="AE27" s="3">
        <v>42.9069699</v>
      </c>
      <c r="AF27" s="3">
        <v>42.9779792</v>
      </c>
      <c r="AG27" s="3">
        <v>43.0515322</v>
      </c>
      <c r="AH27" s="3">
        <v>43.1229678</v>
      </c>
      <c r="AI27" s="3">
        <v>43.1944034</v>
      </c>
      <c r="AJ27" s="4">
        <f t="shared" si="1"/>
        <v>4.8390494</v>
      </c>
    </row>
    <row r="28">
      <c r="A28" s="1" t="s">
        <v>59</v>
      </c>
      <c r="B28" s="1" t="s">
        <v>60</v>
      </c>
      <c r="C28" s="1" t="s">
        <v>7</v>
      </c>
      <c r="D28" s="1" t="s">
        <v>8</v>
      </c>
      <c r="E28" s="3">
        <v>70.1459886</v>
      </c>
      <c r="F28" s="3">
        <v>69.5290224</v>
      </c>
      <c r="G28" s="3">
        <v>68.9120561</v>
      </c>
      <c r="H28" s="3">
        <v>68.2950899</v>
      </c>
      <c r="I28" s="3">
        <v>67.6781236</v>
      </c>
      <c r="J28" s="3">
        <v>67.0611574</v>
      </c>
      <c r="K28" s="3">
        <v>66.4441911</v>
      </c>
      <c r="L28" s="3">
        <v>65.8272249</v>
      </c>
      <c r="M28" s="3">
        <v>65.2102587</v>
      </c>
      <c r="N28" s="3">
        <v>64.5932924</v>
      </c>
      <c r="O28" s="3">
        <v>63.9763262</v>
      </c>
      <c r="P28" s="3">
        <v>63.6786059</v>
      </c>
      <c r="Q28" s="3">
        <v>63.3808856</v>
      </c>
      <c r="R28" s="3">
        <v>63.0831653</v>
      </c>
      <c r="S28" s="3">
        <v>62.785445</v>
      </c>
      <c r="T28" s="3">
        <v>62.4877247</v>
      </c>
      <c r="U28" s="3">
        <v>62.1900044</v>
      </c>
      <c r="V28" s="3">
        <v>61.8922841</v>
      </c>
      <c r="W28" s="3">
        <v>61.5945638</v>
      </c>
      <c r="X28" s="3">
        <v>61.2968435</v>
      </c>
      <c r="Y28" s="3">
        <v>60.9991232</v>
      </c>
      <c r="Z28" s="3">
        <v>60.4856642</v>
      </c>
      <c r="AA28" s="3">
        <v>59.9722052</v>
      </c>
      <c r="AB28" s="3">
        <v>59.4587462</v>
      </c>
      <c r="AC28" s="3">
        <v>58.9452872</v>
      </c>
      <c r="AD28" s="3">
        <v>58.4318281</v>
      </c>
      <c r="AE28" s="3">
        <v>57.9430075</v>
      </c>
      <c r="AF28" s="3">
        <v>57.4537484</v>
      </c>
      <c r="AG28" s="3">
        <v>56.9649277</v>
      </c>
      <c r="AH28" s="3">
        <v>56.4756686</v>
      </c>
      <c r="AI28" s="3">
        <v>55.9864095</v>
      </c>
      <c r="AJ28" s="4">
        <f t="shared" si="1"/>
        <v>-14.1595791</v>
      </c>
    </row>
    <row r="29">
      <c r="A29" s="1" t="s">
        <v>61</v>
      </c>
      <c r="B29" s="1" t="s">
        <v>62</v>
      </c>
      <c r="C29" s="1" t="s">
        <v>7</v>
      </c>
      <c r="D29" s="1" t="s">
        <v>8</v>
      </c>
      <c r="E29" s="3">
        <v>18.5185185</v>
      </c>
      <c r="F29" s="3">
        <v>18.5185185</v>
      </c>
      <c r="G29" s="3">
        <v>18.5185185</v>
      </c>
      <c r="H29" s="3">
        <v>18.5185185</v>
      </c>
      <c r="I29" s="3">
        <v>18.5185185</v>
      </c>
      <c r="J29" s="3">
        <v>18.5185185</v>
      </c>
      <c r="K29" s="3">
        <v>18.5185185</v>
      </c>
      <c r="L29" s="3">
        <v>18.5185185</v>
      </c>
      <c r="M29" s="3">
        <v>18.5185185</v>
      </c>
      <c r="N29" s="3">
        <v>18.5185185</v>
      </c>
      <c r="O29" s="3">
        <v>18.5185185</v>
      </c>
      <c r="P29" s="3">
        <v>18.5185185</v>
      </c>
      <c r="Q29" s="3">
        <v>18.5185185</v>
      </c>
      <c r="R29" s="3">
        <v>18.5185185</v>
      </c>
      <c r="S29" s="3">
        <v>18.5185185</v>
      </c>
      <c r="T29" s="3">
        <v>18.5185185</v>
      </c>
      <c r="U29" s="3">
        <v>18.5185185</v>
      </c>
      <c r="V29" s="3">
        <v>18.5185185</v>
      </c>
      <c r="W29" s="3">
        <v>18.5185185</v>
      </c>
      <c r="X29" s="3">
        <v>18.5185185</v>
      </c>
      <c r="Y29" s="3">
        <v>18.5185185</v>
      </c>
      <c r="Z29" s="3">
        <v>18.5185185</v>
      </c>
      <c r="AA29" s="3">
        <v>18.5185185</v>
      </c>
      <c r="AB29" s="3">
        <v>18.5185185</v>
      </c>
      <c r="AC29" s="3">
        <v>18.5185185</v>
      </c>
      <c r="AD29" s="3">
        <v>18.5185185</v>
      </c>
      <c r="AE29" s="3">
        <v>18.5185185</v>
      </c>
      <c r="AF29" s="3">
        <v>18.5185185</v>
      </c>
      <c r="AG29" s="3">
        <v>18.5185185</v>
      </c>
      <c r="AH29" s="3">
        <v>18.5185185</v>
      </c>
      <c r="AI29" s="3">
        <v>18.5185185</v>
      </c>
      <c r="AJ29" s="4">
        <f t="shared" si="1"/>
        <v>0</v>
      </c>
    </row>
    <row r="30">
      <c r="A30" s="1" t="s">
        <v>63</v>
      </c>
      <c r="B30" s="1" t="s">
        <v>64</v>
      </c>
      <c r="C30" s="1" t="s">
        <v>7</v>
      </c>
      <c r="D30" s="1" t="s">
        <v>8</v>
      </c>
      <c r="E30" s="3">
        <v>53.3598449</v>
      </c>
      <c r="F30" s="3">
        <v>53.1102991</v>
      </c>
      <c r="G30" s="3">
        <v>52.8607533</v>
      </c>
      <c r="H30" s="3">
        <v>52.6112074</v>
      </c>
      <c r="I30" s="3">
        <v>52.3616616</v>
      </c>
      <c r="J30" s="3">
        <v>52.1121158</v>
      </c>
      <c r="K30" s="3">
        <v>51.8625699</v>
      </c>
      <c r="L30" s="3">
        <v>51.6130241</v>
      </c>
      <c r="M30" s="3">
        <v>51.3634783</v>
      </c>
      <c r="N30" s="3">
        <v>51.1139324</v>
      </c>
      <c r="O30" s="3">
        <v>50.8643866</v>
      </c>
      <c r="P30" s="3">
        <v>50.6783458</v>
      </c>
      <c r="Q30" s="3">
        <v>50.492305</v>
      </c>
      <c r="R30" s="3">
        <v>50.3062642</v>
      </c>
      <c r="S30" s="3">
        <v>50.1202234</v>
      </c>
      <c r="T30" s="3">
        <v>49.9341826</v>
      </c>
      <c r="U30" s="3">
        <v>49.7481418</v>
      </c>
      <c r="V30" s="3">
        <v>49.562101</v>
      </c>
      <c r="W30" s="3">
        <v>49.3760602</v>
      </c>
      <c r="X30" s="3">
        <v>49.1900194</v>
      </c>
      <c r="Y30" s="3">
        <v>49.0039786</v>
      </c>
      <c r="Z30" s="3">
        <v>48.8085036</v>
      </c>
      <c r="AA30" s="3">
        <v>48.6130287</v>
      </c>
      <c r="AB30" s="3">
        <v>48.4175538</v>
      </c>
      <c r="AC30" s="3">
        <v>48.2220788</v>
      </c>
      <c r="AD30" s="3">
        <v>48.0266039</v>
      </c>
      <c r="AE30" s="3">
        <v>47.7713283</v>
      </c>
      <c r="AF30" s="3">
        <v>47.5327425</v>
      </c>
      <c r="AG30" s="3">
        <v>47.3121388</v>
      </c>
      <c r="AH30" s="3">
        <v>47.1095357</v>
      </c>
      <c r="AI30" s="3">
        <v>46.9249146</v>
      </c>
      <c r="AJ30" s="4">
        <f t="shared" si="1"/>
        <v>-6.4349303</v>
      </c>
    </row>
    <row r="31">
      <c r="A31" s="1" t="s">
        <v>65</v>
      </c>
      <c r="B31" s="1" t="s">
        <v>66</v>
      </c>
      <c r="C31" s="1" t="s">
        <v>7</v>
      </c>
      <c r="D31" s="1" t="s">
        <v>8</v>
      </c>
      <c r="E31" s="3">
        <v>70.4580206</v>
      </c>
      <c r="F31" s="3">
        <v>70.0056544</v>
      </c>
      <c r="G31" s="3">
        <v>69.5532882</v>
      </c>
      <c r="H31" s="3">
        <v>69.100922</v>
      </c>
      <c r="I31" s="3">
        <v>68.6485558</v>
      </c>
      <c r="J31" s="3">
        <v>68.1961896</v>
      </c>
      <c r="K31" s="3">
        <v>67.7438234</v>
      </c>
      <c r="L31" s="3">
        <v>67.2914572</v>
      </c>
      <c r="M31" s="3">
        <v>66.839091</v>
      </c>
      <c r="N31" s="3">
        <v>66.3867248</v>
      </c>
      <c r="O31" s="3">
        <v>65.9343586</v>
      </c>
      <c r="P31" s="3">
        <v>65.4616709</v>
      </c>
      <c r="Q31" s="3">
        <v>64.9889832</v>
      </c>
      <c r="R31" s="3">
        <v>64.5162955</v>
      </c>
      <c r="S31" s="3">
        <v>64.0436078</v>
      </c>
      <c r="T31" s="3">
        <v>63.5709201</v>
      </c>
      <c r="U31" s="3">
        <v>63.0982324</v>
      </c>
      <c r="V31" s="3">
        <v>62.6255447</v>
      </c>
      <c r="W31" s="3">
        <v>62.152857</v>
      </c>
      <c r="X31" s="3">
        <v>61.6801693</v>
      </c>
      <c r="Y31" s="3">
        <v>61.2074816</v>
      </c>
      <c r="Z31" s="3">
        <v>61.0233282</v>
      </c>
      <c r="AA31" s="3">
        <v>60.8391747</v>
      </c>
      <c r="AB31" s="3">
        <v>60.6550213</v>
      </c>
      <c r="AC31" s="3">
        <v>60.4708679</v>
      </c>
      <c r="AD31" s="3">
        <v>60.2867145</v>
      </c>
      <c r="AE31" s="3">
        <v>60.0710326</v>
      </c>
      <c r="AF31" s="3">
        <v>59.8328815</v>
      </c>
      <c r="AG31" s="3">
        <v>59.708428</v>
      </c>
      <c r="AH31" s="3">
        <v>59.5585262</v>
      </c>
      <c r="AI31" s="3">
        <v>59.4174781</v>
      </c>
      <c r="AJ31" s="4">
        <f t="shared" si="1"/>
        <v>-11.0405425</v>
      </c>
    </row>
    <row r="32">
      <c r="A32" s="1" t="s">
        <v>67</v>
      </c>
      <c r="B32" s="1" t="s">
        <v>68</v>
      </c>
      <c r="C32" s="1" t="s">
        <v>7</v>
      </c>
      <c r="D32" s="1" t="s">
        <v>8</v>
      </c>
      <c r="E32" s="3">
        <v>14.6511628</v>
      </c>
      <c r="F32" s="3">
        <v>14.6511628</v>
      </c>
      <c r="G32" s="3">
        <v>14.6511628</v>
      </c>
      <c r="H32" s="3">
        <v>14.6511628</v>
      </c>
      <c r="I32" s="3">
        <v>14.6511628</v>
      </c>
      <c r="J32" s="3">
        <v>14.6511628</v>
      </c>
      <c r="K32" s="3">
        <v>14.6511628</v>
      </c>
      <c r="L32" s="3">
        <v>14.6511628</v>
      </c>
      <c r="M32" s="3">
        <v>14.6511628</v>
      </c>
      <c r="N32" s="3">
        <v>14.6511628</v>
      </c>
      <c r="O32" s="3">
        <v>14.6511628</v>
      </c>
      <c r="P32" s="3">
        <v>14.6511628</v>
      </c>
      <c r="Q32" s="3">
        <v>14.6511628</v>
      </c>
      <c r="R32" s="3">
        <v>14.6511628</v>
      </c>
      <c r="S32" s="3">
        <v>14.6511628</v>
      </c>
      <c r="T32" s="3">
        <v>14.6511628</v>
      </c>
      <c r="U32" s="3">
        <v>14.6511628</v>
      </c>
      <c r="V32" s="3">
        <v>14.6511628</v>
      </c>
      <c r="W32" s="3">
        <v>14.6511628</v>
      </c>
      <c r="X32" s="3">
        <v>14.6511628</v>
      </c>
      <c r="Y32" s="3">
        <v>14.6511628</v>
      </c>
      <c r="Z32" s="3">
        <v>14.6511628</v>
      </c>
      <c r="AA32" s="3">
        <v>14.6511628</v>
      </c>
      <c r="AB32" s="3">
        <v>14.6511628</v>
      </c>
      <c r="AC32" s="3">
        <v>14.6511628</v>
      </c>
      <c r="AD32" s="3">
        <v>14.6511628</v>
      </c>
      <c r="AE32" s="3">
        <v>14.6511628</v>
      </c>
      <c r="AF32" s="3">
        <v>14.6511628</v>
      </c>
      <c r="AG32" s="3">
        <v>14.6511628</v>
      </c>
      <c r="AH32" s="3">
        <v>14.6511628</v>
      </c>
      <c r="AI32" s="3">
        <v>14.6511628</v>
      </c>
      <c r="AJ32" s="4">
        <f t="shared" si="1"/>
        <v>0</v>
      </c>
    </row>
    <row r="33">
      <c r="A33" s="1" t="s">
        <v>69</v>
      </c>
      <c r="B33" s="1" t="s">
        <v>70</v>
      </c>
      <c r="C33" s="1" t="s">
        <v>7</v>
      </c>
      <c r="D33" s="1" t="s">
        <v>8</v>
      </c>
      <c r="E33" s="3">
        <v>78.3681214</v>
      </c>
      <c r="F33" s="3">
        <v>78.0645161</v>
      </c>
      <c r="G33" s="3">
        <v>77.7609108</v>
      </c>
      <c r="H33" s="3">
        <v>77.4573055</v>
      </c>
      <c r="I33" s="3">
        <v>77.1537002</v>
      </c>
      <c r="J33" s="3">
        <v>76.8500949</v>
      </c>
      <c r="K33" s="3">
        <v>76.5464896</v>
      </c>
      <c r="L33" s="3">
        <v>76.2428843</v>
      </c>
      <c r="M33" s="3">
        <v>75.9392789</v>
      </c>
      <c r="N33" s="3">
        <v>75.6356736</v>
      </c>
      <c r="O33" s="3">
        <v>75.3320683</v>
      </c>
      <c r="P33" s="3">
        <v>75.0094877</v>
      </c>
      <c r="Q33" s="3">
        <v>74.686907</v>
      </c>
      <c r="R33" s="3">
        <v>74.3643264</v>
      </c>
      <c r="S33" s="3">
        <v>74.0417457</v>
      </c>
      <c r="T33" s="3">
        <v>73.7191651</v>
      </c>
      <c r="U33" s="3">
        <v>73.3965844</v>
      </c>
      <c r="V33" s="3">
        <v>73.0740038</v>
      </c>
      <c r="W33" s="3">
        <v>72.7514231</v>
      </c>
      <c r="X33" s="3">
        <v>72.4288425</v>
      </c>
      <c r="Y33" s="3">
        <v>72.1062619</v>
      </c>
      <c r="Z33" s="3">
        <v>72.1062619</v>
      </c>
      <c r="AA33" s="3">
        <v>72.1062619</v>
      </c>
      <c r="AB33" s="3">
        <v>72.1062619</v>
      </c>
      <c r="AC33" s="3">
        <v>72.1062619</v>
      </c>
      <c r="AD33" s="3">
        <v>72.1062619</v>
      </c>
      <c r="AE33" s="3">
        <v>72.1062619</v>
      </c>
      <c r="AF33" s="3">
        <v>72.1062619</v>
      </c>
      <c r="AG33" s="3">
        <v>72.1062619</v>
      </c>
      <c r="AH33" s="3">
        <v>72.1062619</v>
      </c>
      <c r="AI33" s="3">
        <v>72.1062619</v>
      </c>
      <c r="AJ33" s="4">
        <f t="shared" si="1"/>
        <v>-6.2618595</v>
      </c>
    </row>
    <row r="34">
      <c r="A34" s="1" t="s">
        <v>71</v>
      </c>
      <c r="B34" s="1" t="s">
        <v>72</v>
      </c>
      <c r="C34" s="1" t="s">
        <v>7</v>
      </c>
      <c r="D34" s="1" t="s">
        <v>8</v>
      </c>
      <c r="E34" s="3">
        <v>53.6506646</v>
      </c>
      <c r="F34" s="3">
        <v>53.8631509</v>
      </c>
      <c r="G34" s="3">
        <v>54.0756373</v>
      </c>
      <c r="H34" s="3">
        <v>54.2881236</v>
      </c>
      <c r="I34" s="3">
        <v>63.9807035</v>
      </c>
      <c r="J34" s="3">
        <v>64.2301508</v>
      </c>
      <c r="K34" s="3">
        <v>64.479598</v>
      </c>
      <c r="L34" s="3">
        <v>64.7290452</v>
      </c>
      <c r="M34" s="3">
        <v>64.9784925</v>
      </c>
      <c r="N34" s="3">
        <v>65.2279397</v>
      </c>
      <c r="O34" s="3">
        <v>65.4773869</v>
      </c>
      <c r="P34" s="3">
        <v>65.7268593</v>
      </c>
      <c r="Q34" s="3">
        <v>65.9763317</v>
      </c>
      <c r="R34" s="3">
        <v>66.225804</v>
      </c>
      <c r="S34" s="3">
        <v>69.4103943</v>
      </c>
      <c r="T34" s="3">
        <v>69.6708818</v>
      </c>
      <c r="U34" s="3">
        <v>69.9313692</v>
      </c>
      <c r="V34" s="3">
        <v>70.1918567</v>
      </c>
      <c r="W34" s="3">
        <v>70.4523441</v>
      </c>
      <c r="X34" s="3">
        <v>70.7128315</v>
      </c>
      <c r="Y34" s="3">
        <v>70.973319</v>
      </c>
      <c r="Z34" s="3">
        <v>71.0252118</v>
      </c>
      <c r="AA34" s="3">
        <v>71.0771047</v>
      </c>
      <c r="AB34" s="3">
        <v>71.1289976</v>
      </c>
      <c r="AC34" s="3">
        <v>71.1808904</v>
      </c>
      <c r="AD34" s="3">
        <v>71.2327833</v>
      </c>
      <c r="AE34" s="3">
        <v>71.2342701</v>
      </c>
      <c r="AF34" s="3">
        <v>71.2861787</v>
      </c>
      <c r="AG34" s="3">
        <v>71.345569</v>
      </c>
      <c r="AH34" s="3">
        <v>71.397483</v>
      </c>
      <c r="AI34" s="3">
        <v>71.449397</v>
      </c>
      <c r="AJ34" s="4">
        <f t="shared" si="1"/>
        <v>17.7987324</v>
      </c>
    </row>
    <row r="35">
      <c r="A35" s="1" t="s">
        <v>73</v>
      </c>
      <c r="B35" s="1" t="s">
        <v>74</v>
      </c>
      <c r="C35" s="1" t="s">
        <v>7</v>
      </c>
      <c r="D35" s="1" t="s">
        <v>8</v>
      </c>
      <c r="E35" s="3">
        <v>33.1792917</v>
      </c>
      <c r="F35" s="3">
        <v>32.9705504</v>
      </c>
      <c r="G35" s="3">
        <v>32.761809</v>
      </c>
      <c r="H35" s="3">
        <v>32.5530676</v>
      </c>
      <c r="I35" s="3">
        <v>32.3443262</v>
      </c>
      <c r="J35" s="3">
        <v>32.1355848</v>
      </c>
      <c r="K35" s="3">
        <v>31.9268435</v>
      </c>
      <c r="L35" s="3">
        <v>31.7181021</v>
      </c>
      <c r="M35" s="3">
        <v>31.5093607</v>
      </c>
      <c r="N35" s="3">
        <v>31.3006193</v>
      </c>
      <c r="O35" s="3">
        <v>31.091878</v>
      </c>
      <c r="P35" s="3">
        <v>30.8831366</v>
      </c>
      <c r="Q35" s="3">
        <v>30.6743952</v>
      </c>
      <c r="R35" s="3">
        <v>30.4656538</v>
      </c>
      <c r="S35" s="3">
        <v>30.2569125</v>
      </c>
      <c r="T35" s="3">
        <v>30.0481711</v>
      </c>
      <c r="U35" s="3">
        <v>29.8394297</v>
      </c>
      <c r="V35" s="3">
        <v>29.6306883</v>
      </c>
      <c r="W35" s="3">
        <v>29.421947</v>
      </c>
      <c r="X35" s="3">
        <v>29.2132056</v>
      </c>
      <c r="Y35" s="3">
        <v>29.0044642</v>
      </c>
      <c r="Z35" s="3">
        <v>28.7957228</v>
      </c>
      <c r="AA35" s="3">
        <v>28.5869815</v>
      </c>
      <c r="AB35" s="3">
        <v>28.3782401</v>
      </c>
      <c r="AC35" s="3">
        <v>28.1694987</v>
      </c>
      <c r="AD35" s="3">
        <v>27.9607573</v>
      </c>
      <c r="AE35" s="3">
        <v>27.752016</v>
      </c>
      <c r="AF35" s="3">
        <v>27.5432746</v>
      </c>
      <c r="AG35" s="3">
        <v>27.3345332</v>
      </c>
      <c r="AH35" s="3">
        <v>27.1257918</v>
      </c>
      <c r="AI35" s="3">
        <v>26.9170504</v>
      </c>
      <c r="AJ35" s="4">
        <f t="shared" si="1"/>
        <v>-6.2622413</v>
      </c>
    </row>
    <row r="36">
      <c r="A36" s="1" t="s">
        <v>75</v>
      </c>
      <c r="B36" s="1" t="s">
        <v>76</v>
      </c>
      <c r="C36" s="1" t="s">
        <v>7</v>
      </c>
      <c r="D36" s="1" t="s">
        <v>8</v>
      </c>
      <c r="E36" s="3">
        <v>37.2451764</v>
      </c>
      <c r="F36" s="3">
        <v>37.1970208</v>
      </c>
      <c r="G36" s="3">
        <v>37.1488651</v>
      </c>
      <c r="H36" s="3">
        <v>37.1007095</v>
      </c>
      <c r="I36" s="3">
        <v>37.0525539</v>
      </c>
      <c r="J36" s="3">
        <v>37.0043982</v>
      </c>
      <c r="K36" s="3">
        <v>36.9562426</v>
      </c>
      <c r="L36" s="3">
        <v>36.9080869</v>
      </c>
      <c r="M36" s="3">
        <v>36.8599313</v>
      </c>
      <c r="N36" s="3">
        <v>36.8117757</v>
      </c>
      <c r="O36" s="3">
        <v>36.76362</v>
      </c>
      <c r="P36" s="3">
        <v>36.7154644</v>
      </c>
      <c r="Q36" s="3">
        <v>36.6673087</v>
      </c>
      <c r="R36" s="3">
        <v>36.6191531</v>
      </c>
      <c r="S36" s="3">
        <v>36.5709975</v>
      </c>
      <c r="T36" s="3">
        <v>36.5228418</v>
      </c>
      <c r="U36" s="3">
        <v>36.4746862</v>
      </c>
      <c r="V36" s="3">
        <v>36.4265305</v>
      </c>
      <c r="W36" s="3">
        <v>36.3783749</v>
      </c>
      <c r="X36" s="3">
        <v>36.3302193</v>
      </c>
      <c r="Y36" s="3">
        <v>36.2820636</v>
      </c>
      <c r="Z36" s="3">
        <v>36.233908</v>
      </c>
      <c r="AA36" s="3">
        <v>36.1857524</v>
      </c>
      <c r="AB36" s="3">
        <v>36.1375967</v>
      </c>
      <c r="AC36" s="3">
        <v>36.0894411</v>
      </c>
      <c r="AD36" s="3">
        <v>36.0412854</v>
      </c>
      <c r="AE36" s="3">
        <v>35.9931298</v>
      </c>
      <c r="AF36" s="3">
        <v>35.9449742</v>
      </c>
      <c r="AG36" s="3">
        <v>35.8968185</v>
      </c>
      <c r="AH36" s="3">
        <v>35.8486629</v>
      </c>
      <c r="AI36" s="3">
        <v>35.8005072</v>
      </c>
      <c r="AJ36" s="4">
        <f t="shared" si="1"/>
        <v>-1.4446692</v>
      </c>
    </row>
    <row r="37">
      <c r="A37" s="1" t="s">
        <v>77</v>
      </c>
      <c r="B37" s="1" t="s">
        <v>78</v>
      </c>
      <c r="C37" s="1" t="s">
        <v>7</v>
      </c>
      <c r="D37" s="1" t="s">
        <v>8</v>
      </c>
      <c r="E37" s="3">
        <v>38.8455116</v>
      </c>
      <c r="F37" s="3">
        <v>38.8402586</v>
      </c>
      <c r="G37" s="3">
        <v>38.8350056</v>
      </c>
      <c r="H37" s="3">
        <v>38.8297526</v>
      </c>
      <c r="I37" s="3">
        <v>38.8244997</v>
      </c>
      <c r="J37" s="3">
        <v>38.8192467</v>
      </c>
      <c r="K37" s="3">
        <v>38.8139937</v>
      </c>
      <c r="L37" s="3">
        <v>38.8087408</v>
      </c>
      <c r="M37" s="3">
        <v>38.8034878</v>
      </c>
      <c r="N37" s="3">
        <v>38.7982348</v>
      </c>
      <c r="O37" s="3">
        <v>38.7929818</v>
      </c>
      <c r="P37" s="3">
        <v>38.7876307</v>
      </c>
      <c r="Q37" s="3">
        <v>38.7822796</v>
      </c>
      <c r="R37" s="3">
        <v>38.7769285</v>
      </c>
      <c r="S37" s="3">
        <v>38.7715773</v>
      </c>
      <c r="T37" s="3">
        <v>38.7662262</v>
      </c>
      <c r="U37" s="3">
        <v>38.7608751</v>
      </c>
      <c r="V37" s="3">
        <v>38.755524</v>
      </c>
      <c r="W37" s="3">
        <v>38.7501728</v>
      </c>
      <c r="X37" s="3">
        <v>38.7448217</v>
      </c>
      <c r="Y37" s="3">
        <v>38.7394706</v>
      </c>
      <c r="Z37" s="3">
        <v>38.7348641</v>
      </c>
      <c r="AA37" s="3">
        <v>38.7302576</v>
      </c>
      <c r="AB37" s="3">
        <v>38.7256511</v>
      </c>
      <c r="AC37" s="3">
        <v>38.7210446</v>
      </c>
      <c r="AD37" s="3">
        <v>38.7164381</v>
      </c>
      <c r="AE37" s="3">
        <v>38.7120134</v>
      </c>
      <c r="AF37" s="3">
        <v>38.7078876</v>
      </c>
      <c r="AG37" s="3">
        <v>38.7037629</v>
      </c>
      <c r="AH37" s="3">
        <v>38.6996372</v>
      </c>
      <c r="AI37" s="3">
        <v>38.6955125</v>
      </c>
      <c r="AJ37" s="4">
        <f t="shared" si="1"/>
        <v>-0.1499991</v>
      </c>
    </row>
    <row r="38">
      <c r="A38" s="1" t="s">
        <v>79</v>
      </c>
      <c r="B38" s="1" t="s">
        <v>80</v>
      </c>
      <c r="C38" s="1" t="s">
        <v>7</v>
      </c>
      <c r="D38" s="1" t="s">
        <v>8</v>
      </c>
      <c r="E38" s="3">
        <v>31.9569778</v>
      </c>
      <c r="F38" s="3">
        <v>31.9834153</v>
      </c>
      <c r="G38" s="3">
        <v>32.0592795</v>
      </c>
      <c r="H38" s="3">
        <v>32.0969169</v>
      </c>
      <c r="I38" s="3">
        <v>32.1488648</v>
      </c>
      <c r="J38" s="3">
        <v>32.2028479</v>
      </c>
      <c r="K38" s="3">
        <v>32.2533301</v>
      </c>
      <c r="L38" s="3">
        <v>32.3081884</v>
      </c>
      <c r="M38" s="3">
        <v>32.36188</v>
      </c>
      <c r="N38" s="3">
        <v>32.414986</v>
      </c>
      <c r="O38" s="3">
        <v>32.4704417</v>
      </c>
      <c r="P38" s="3">
        <v>32.5944362</v>
      </c>
      <c r="Q38" s="3">
        <v>32.7679562</v>
      </c>
      <c r="R38" s="3">
        <v>32.8918403</v>
      </c>
      <c r="S38" s="3">
        <v>33.011234</v>
      </c>
      <c r="T38" s="3">
        <v>33.1399021</v>
      </c>
      <c r="U38" s="3">
        <v>33.2649865</v>
      </c>
      <c r="V38" s="3">
        <v>33.3924993</v>
      </c>
      <c r="W38" s="3">
        <v>33.5169624</v>
      </c>
      <c r="X38" s="3">
        <v>33.61119</v>
      </c>
      <c r="Y38" s="3">
        <v>33.7340112</v>
      </c>
      <c r="Z38" s="3">
        <v>33.8648219</v>
      </c>
      <c r="AA38" s="3">
        <v>34.002281</v>
      </c>
      <c r="AB38" s="3">
        <v>34.1006884</v>
      </c>
      <c r="AC38" s="3">
        <v>34.1917424</v>
      </c>
      <c r="AD38" s="3">
        <v>34.3235584</v>
      </c>
      <c r="AE38" s="3">
        <v>34.3774689</v>
      </c>
      <c r="AF38" s="3">
        <v>34.4327907</v>
      </c>
      <c r="AG38" s="3">
        <v>34.4634891</v>
      </c>
      <c r="AH38" s="3">
        <v>34.492135</v>
      </c>
      <c r="AI38" s="3">
        <v>34.5198769</v>
      </c>
      <c r="AJ38" s="4">
        <f t="shared" si="1"/>
        <v>2.5628991</v>
      </c>
    </row>
    <row r="39">
      <c r="A39" s="1" t="s">
        <v>81</v>
      </c>
      <c r="B39" s="1" t="s">
        <v>82</v>
      </c>
      <c r="C39" s="1" t="s">
        <v>7</v>
      </c>
      <c r="D39" s="1" t="s">
        <v>8</v>
      </c>
      <c r="E39" s="3">
        <v>29.1811075</v>
      </c>
      <c r="F39" s="3">
        <v>29.2890789</v>
      </c>
      <c r="G39" s="3">
        <v>29.3970503</v>
      </c>
      <c r="H39" s="3">
        <v>29.5050216</v>
      </c>
      <c r="I39" s="3">
        <v>29.612993</v>
      </c>
      <c r="J39" s="3">
        <v>29.7209644</v>
      </c>
      <c r="K39" s="3">
        <v>29.8296903</v>
      </c>
      <c r="L39" s="3">
        <v>29.9384218</v>
      </c>
      <c r="M39" s="3">
        <v>30.0471588</v>
      </c>
      <c r="N39" s="3">
        <v>30.1559013</v>
      </c>
      <c r="O39" s="3">
        <v>30.2646493</v>
      </c>
      <c r="P39" s="3">
        <v>30.3629279</v>
      </c>
      <c r="Q39" s="3">
        <v>30.4612115</v>
      </c>
      <c r="R39" s="3">
        <v>30.5595</v>
      </c>
      <c r="S39" s="3">
        <v>30.6577935</v>
      </c>
      <c r="T39" s="3">
        <v>30.7568703</v>
      </c>
      <c r="U39" s="3">
        <v>30.8551763</v>
      </c>
      <c r="V39" s="3">
        <v>30.9534872</v>
      </c>
      <c r="W39" s="3">
        <v>31.0510173</v>
      </c>
      <c r="X39" s="3">
        <v>31.1485474</v>
      </c>
      <c r="Y39" s="3">
        <v>31.2460775</v>
      </c>
      <c r="Z39" s="3">
        <v>31.3330803</v>
      </c>
      <c r="AA39" s="3">
        <v>31.420083</v>
      </c>
      <c r="AB39" s="3">
        <v>31.5070857</v>
      </c>
      <c r="AC39" s="3">
        <v>31.5940885</v>
      </c>
      <c r="AD39" s="3">
        <v>31.6810672</v>
      </c>
      <c r="AE39" s="3">
        <v>31.7681204</v>
      </c>
      <c r="AF39" s="3">
        <v>31.8551737</v>
      </c>
      <c r="AG39" s="3">
        <v>31.942227</v>
      </c>
      <c r="AH39" s="3">
        <v>32.0292803</v>
      </c>
      <c r="AI39" s="3">
        <v>32.1163335</v>
      </c>
      <c r="AJ39" s="4">
        <f t="shared" si="1"/>
        <v>2.935226</v>
      </c>
    </row>
    <row r="40">
      <c r="A40" s="1" t="s">
        <v>83</v>
      </c>
      <c r="B40" s="1" t="s">
        <v>84</v>
      </c>
      <c r="C40" s="1" t="s">
        <v>7</v>
      </c>
      <c r="D40" s="1" t="s">
        <v>8</v>
      </c>
      <c r="E40" s="3">
        <v>4.19191919</v>
      </c>
      <c r="F40" s="3">
        <v>4.19191919</v>
      </c>
      <c r="G40" s="3">
        <v>4.19191919</v>
      </c>
      <c r="H40" s="3">
        <v>4.19191919</v>
      </c>
      <c r="I40" s="3">
        <v>4.19191919</v>
      </c>
      <c r="J40" s="3">
        <v>4.19191919</v>
      </c>
      <c r="K40" s="3">
        <v>4.19191919</v>
      </c>
      <c r="L40" s="3">
        <v>4.19191919</v>
      </c>
      <c r="M40" s="3">
        <v>4.19191919</v>
      </c>
      <c r="N40" s="3">
        <v>4.19191919</v>
      </c>
      <c r="O40" s="3">
        <v>4.19191919</v>
      </c>
      <c r="P40" s="3">
        <v>4.28787879</v>
      </c>
      <c r="Q40" s="3">
        <v>4.38383838</v>
      </c>
      <c r="R40" s="3">
        <v>4.47979798</v>
      </c>
      <c r="S40" s="3">
        <v>4.57575758</v>
      </c>
      <c r="T40" s="3">
        <v>4.67171717</v>
      </c>
      <c r="U40" s="3">
        <v>4.76767677</v>
      </c>
      <c r="V40" s="3">
        <v>4.86363636</v>
      </c>
      <c r="W40" s="3">
        <v>4.95959596</v>
      </c>
      <c r="X40" s="3">
        <v>5.05555556</v>
      </c>
      <c r="Y40" s="3">
        <v>5.15151515</v>
      </c>
      <c r="Z40" s="3">
        <v>5.15151515</v>
      </c>
      <c r="AA40" s="3">
        <v>5.15151515</v>
      </c>
      <c r="AB40" s="3">
        <v>5.15151515</v>
      </c>
      <c r="AC40" s="3">
        <v>5.15151515</v>
      </c>
      <c r="AD40" s="3">
        <v>5.15151515</v>
      </c>
      <c r="AE40" s="3">
        <v>5.15151515</v>
      </c>
      <c r="AF40" s="3">
        <v>5.15151515</v>
      </c>
      <c r="AG40" s="3">
        <v>5.15151515</v>
      </c>
      <c r="AH40" s="5"/>
      <c r="AI40" s="5"/>
      <c r="AJ40" s="4">
        <f t="shared" si="1"/>
        <v>-4.19191919</v>
      </c>
    </row>
    <row r="41">
      <c r="A41" s="1" t="s">
        <v>85</v>
      </c>
      <c r="B41" s="1" t="s">
        <v>86</v>
      </c>
      <c r="C41" s="1" t="s">
        <v>7</v>
      </c>
      <c r="D41" s="1" t="s">
        <v>8</v>
      </c>
      <c r="E41" s="3">
        <v>20.5049009</v>
      </c>
      <c r="F41" s="3">
        <v>20.5816979</v>
      </c>
      <c r="G41" s="3">
        <v>20.6584949</v>
      </c>
      <c r="H41" s="3">
        <v>20.7352918</v>
      </c>
      <c r="I41" s="3">
        <v>20.8120888</v>
      </c>
      <c r="J41" s="3">
        <v>20.8888858</v>
      </c>
      <c r="K41" s="3">
        <v>20.9656827</v>
      </c>
      <c r="L41" s="3">
        <v>21.0424797</v>
      </c>
      <c r="M41" s="3">
        <v>21.1192766</v>
      </c>
      <c r="N41" s="3">
        <v>21.1960736</v>
      </c>
      <c r="O41" s="3">
        <v>21.2728706</v>
      </c>
      <c r="P41" s="3">
        <v>21.3950173</v>
      </c>
      <c r="Q41" s="3">
        <v>21.517164</v>
      </c>
      <c r="R41" s="3">
        <v>21.6393107</v>
      </c>
      <c r="S41" s="3">
        <v>21.7614575</v>
      </c>
      <c r="T41" s="3">
        <v>21.8836042</v>
      </c>
      <c r="U41" s="3">
        <v>22.0057509</v>
      </c>
      <c r="V41" s="3">
        <v>22.1278977</v>
      </c>
      <c r="W41" s="3">
        <v>22.2500444</v>
      </c>
      <c r="X41" s="3">
        <v>22.3721911</v>
      </c>
      <c r="Y41" s="3">
        <v>22.4943378</v>
      </c>
      <c r="Z41" s="3">
        <v>22.7285766</v>
      </c>
      <c r="AA41" s="3">
        <v>22.9628153</v>
      </c>
      <c r="AB41" s="3">
        <v>23.1970541</v>
      </c>
      <c r="AC41" s="3">
        <v>23.4312928</v>
      </c>
      <c r="AD41" s="3">
        <v>23.6655315</v>
      </c>
      <c r="AE41" s="3">
        <v>23.830864</v>
      </c>
      <c r="AF41" s="3">
        <v>23.9961965</v>
      </c>
      <c r="AG41" s="3">
        <v>24.161529</v>
      </c>
      <c r="AH41" s="3">
        <v>24.3268615</v>
      </c>
      <c r="AI41" s="3">
        <v>24.4921537</v>
      </c>
      <c r="AJ41" s="4">
        <f t="shared" si="1"/>
        <v>3.9872528</v>
      </c>
    </row>
    <row r="42">
      <c r="A42" s="1" t="s">
        <v>87</v>
      </c>
      <c r="B42" s="1" t="s">
        <v>88</v>
      </c>
      <c r="C42" s="1" t="s">
        <v>7</v>
      </c>
      <c r="D42" s="1" t="s">
        <v>8</v>
      </c>
      <c r="E42" s="3">
        <v>16.6733254</v>
      </c>
      <c r="F42" s="3">
        <v>16.8840486</v>
      </c>
      <c r="G42" s="3">
        <v>17.0947717</v>
      </c>
      <c r="H42" s="3">
        <v>17.3054948</v>
      </c>
      <c r="I42" s="3">
        <v>17.516218</v>
      </c>
      <c r="J42" s="3">
        <v>17.7268471</v>
      </c>
      <c r="K42" s="3">
        <v>17.9375881</v>
      </c>
      <c r="L42" s="3">
        <v>18.1483103</v>
      </c>
      <c r="M42" s="3">
        <v>18.3590326</v>
      </c>
      <c r="N42" s="3">
        <v>18.5697548</v>
      </c>
      <c r="O42" s="3">
        <v>18.780497</v>
      </c>
      <c r="P42" s="3">
        <v>19.0310067</v>
      </c>
      <c r="Q42" s="3">
        <v>19.2815169</v>
      </c>
      <c r="R42" s="3">
        <v>19.5320281</v>
      </c>
      <c r="S42" s="3">
        <v>19.7825365</v>
      </c>
      <c r="T42" s="3">
        <v>20.0330482</v>
      </c>
      <c r="U42" s="3">
        <v>20.2835579</v>
      </c>
      <c r="V42" s="3">
        <v>20.534068</v>
      </c>
      <c r="W42" s="3">
        <v>20.7845782</v>
      </c>
      <c r="X42" s="3">
        <v>21.0350872</v>
      </c>
      <c r="Y42" s="3">
        <v>21.2855969</v>
      </c>
      <c r="Z42" s="3">
        <v>21.4910962</v>
      </c>
      <c r="AA42" s="3">
        <v>21.696596</v>
      </c>
      <c r="AB42" s="3">
        <v>21.9020949</v>
      </c>
      <c r="AC42" s="3">
        <v>22.1075946</v>
      </c>
      <c r="AD42" s="3">
        <v>22.3130942</v>
      </c>
      <c r="AE42" s="3">
        <v>22.5428773</v>
      </c>
      <c r="AF42" s="3">
        <v>22.7423103</v>
      </c>
      <c r="AG42" s="3">
        <v>22.9417354</v>
      </c>
      <c r="AH42" s="3">
        <v>23.1411655</v>
      </c>
      <c r="AI42" s="3">
        <v>23.3405957</v>
      </c>
      <c r="AJ42" s="4">
        <f t="shared" si="1"/>
        <v>6.6672703</v>
      </c>
    </row>
    <row r="43">
      <c r="A43" s="1" t="s">
        <v>89</v>
      </c>
      <c r="B43" s="1" t="s">
        <v>90</v>
      </c>
      <c r="C43" s="1" t="s">
        <v>7</v>
      </c>
      <c r="D43" s="1" t="s">
        <v>8</v>
      </c>
      <c r="E43" s="3">
        <v>24.688239</v>
      </c>
      <c r="F43" s="3">
        <v>23.8214434</v>
      </c>
      <c r="G43" s="3">
        <v>22.9546478</v>
      </c>
      <c r="H43" s="3">
        <v>22.0878522</v>
      </c>
      <c r="I43" s="3">
        <v>21.2210566</v>
      </c>
      <c r="J43" s="3">
        <v>20.354261</v>
      </c>
      <c r="K43" s="3">
        <v>19.4874654</v>
      </c>
      <c r="L43" s="3">
        <v>18.6206698</v>
      </c>
      <c r="M43" s="3">
        <v>17.7538742</v>
      </c>
      <c r="N43" s="3">
        <v>16.8870786</v>
      </c>
      <c r="O43" s="3">
        <v>16.020283</v>
      </c>
      <c r="P43" s="3">
        <v>15.6652925</v>
      </c>
      <c r="Q43" s="3">
        <v>15.3103019</v>
      </c>
      <c r="R43" s="3">
        <v>14.9553113</v>
      </c>
      <c r="S43" s="3">
        <v>14.6003208</v>
      </c>
      <c r="T43" s="3">
        <v>14.2453302</v>
      </c>
      <c r="U43" s="3">
        <v>13.8903396</v>
      </c>
      <c r="V43" s="3">
        <v>13.5353491</v>
      </c>
      <c r="W43" s="3">
        <v>13.1803585</v>
      </c>
      <c r="X43" s="3">
        <v>12.8253679</v>
      </c>
      <c r="Y43" s="3">
        <v>12.4703774</v>
      </c>
      <c r="Z43" s="3">
        <v>12.1153899</v>
      </c>
      <c r="AA43" s="3">
        <v>11.7604025</v>
      </c>
      <c r="AB43" s="3">
        <v>11.4054151</v>
      </c>
      <c r="AC43" s="3">
        <v>11.0504277</v>
      </c>
      <c r="AD43" s="3">
        <v>10.6954403</v>
      </c>
      <c r="AE43" s="3">
        <v>10.3404403</v>
      </c>
      <c r="AF43" s="3">
        <v>9.98544025</v>
      </c>
      <c r="AG43" s="3">
        <v>9.63044025</v>
      </c>
      <c r="AH43" s="3">
        <v>9.2754717</v>
      </c>
      <c r="AI43" s="3">
        <v>8.9204717</v>
      </c>
      <c r="AJ43" s="4">
        <f t="shared" si="1"/>
        <v>-15.7677673</v>
      </c>
    </row>
    <row r="44">
      <c r="A44" s="1" t="s">
        <v>91</v>
      </c>
      <c r="B44" s="1" t="s">
        <v>92</v>
      </c>
      <c r="C44" s="1" t="s">
        <v>7</v>
      </c>
      <c r="D44" s="1" t="s">
        <v>8</v>
      </c>
      <c r="E44" s="3">
        <v>47.597893</v>
      </c>
      <c r="F44" s="3">
        <v>47.4069704</v>
      </c>
      <c r="G44" s="3">
        <v>47.2160479</v>
      </c>
      <c r="H44" s="3">
        <v>47.0251253</v>
      </c>
      <c r="I44" s="3">
        <v>46.8342028</v>
      </c>
      <c r="J44" s="3">
        <v>46.6432802</v>
      </c>
      <c r="K44" s="3">
        <v>46.4523577</v>
      </c>
      <c r="L44" s="3">
        <v>46.2614351</v>
      </c>
      <c r="M44" s="3">
        <v>46.0705126</v>
      </c>
      <c r="N44" s="3">
        <v>45.87959</v>
      </c>
      <c r="O44" s="3">
        <v>45.6886675</v>
      </c>
      <c r="P44" s="3">
        <v>45.5412177</v>
      </c>
      <c r="Q44" s="3">
        <v>45.3937678</v>
      </c>
      <c r="R44" s="3">
        <v>45.246318</v>
      </c>
      <c r="S44" s="3">
        <v>45.0988682</v>
      </c>
      <c r="T44" s="3">
        <v>44.9514184</v>
      </c>
      <c r="U44" s="3">
        <v>44.8039686</v>
      </c>
      <c r="V44" s="3">
        <v>44.6565188</v>
      </c>
      <c r="W44" s="3">
        <v>44.509069</v>
      </c>
      <c r="X44" s="3">
        <v>44.3616192</v>
      </c>
      <c r="Y44" s="3">
        <v>44.2141694</v>
      </c>
      <c r="Z44" s="3">
        <v>44.0957035</v>
      </c>
      <c r="AA44" s="3">
        <v>43.9772376</v>
      </c>
      <c r="AB44" s="3">
        <v>43.8587718</v>
      </c>
      <c r="AC44" s="3">
        <v>43.7403059</v>
      </c>
      <c r="AD44" s="3">
        <v>43.62184</v>
      </c>
      <c r="AE44" s="3">
        <v>43.5033742</v>
      </c>
      <c r="AF44" s="3">
        <v>43.3849083</v>
      </c>
      <c r="AG44" s="3">
        <v>43.2664424</v>
      </c>
      <c r="AH44" s="3">
        <v>43.1479766</v>
      </c>
      <c r="AI44" s="3">
        <v>43.0295107</v>
      </c>
      <c r="AJ44" s="4">
        <f t="shared" si="1"/>
        <v>-4.5683823</v>
      </c>
    </row>
    <row r="45">
      <c r="A45" s="1" t="s">
        <v>93</v>
      </c>
      <c r="B45" s="1" t="s">
        <v>94</v>
      </c>
      <c r="C45" s="1" t="s">
        <v>7</v>
      </c>
      <c r="D45" s="1" t="s">
        <v>8</v>
      </c>
      <c r="E45" s="3">
        <v>66.4427339</v>
      </c>
      <c r="F45" s="3">
        <v>66.1458724</v>
      </c>
      <c r="G45" s="3">
        <v>65.8490108</v>
      </c>
      <c r="H45" s="3">
        <v>65.5521493</v>
      </c>
      <c r="I45" s="3">
        <v>65.2552877</v>
      </c>
      <c r="J45" s="3">
        <v>64.9584261</v>
      </c>
      <c r="K45" s="3">
        <v>64.6615646</v>
      </c>
      <c r="L45" s="3">
        <v>64.364703</v>
      </c>
      <c r="M45" s="3">
        <v>64.0678415</v>
      </c>
      <c r="N45" s="3">
        <v>63.7709799</v>
      </c>
      <c r="O45" s="3">
        <v>63.4741183</v>
      </c>
      <c r="P45" s="3">
        <v>63.1772568</v>
      </c>
      <c r="Q45" s="3">
        <v>62.8803952</v>
      </c>
      <c r="R45" s="3">
        <v>62.5835337</v>
      </c>
      <c r="S45" s="3">
        <v>62.2866721</v>
      </c>
      <c r="T45" s="3">
        <v>61.9898105</v>
      </c>
      <c r="U45" s="3">
        <v>61.692949</v>
      </c>
      <c r="V45" s="3">
        <v>61.3960874</v>
      </c>
      <c r="W45" s="3">
        <v>61.0992259</v>
      </c>
      <c r="X45" s="3">
        <v>60.8023643</v>
      </c>
      <c r="Y45" s="3">
        <v>60.5055027</v>
      </c>
      <c r="Z45" s="3">
        <v>60.0196837</v>
      </c>
      <c r="AA45" s="3">
        <v>59.5338647</v>
      </c>
      <c r="AB45" s="3">
        <v>59.0480457</v>
      </c>
      <c r="AC45" s="3">
        <v>58.5622267</v>
      </c>
      <c r="AD45" s="3">
        <v>58.0764077</v>
      </c>
      <c r="AE45" s="3">
        <v>57.5905869</v>
      </c>
      <c r="AF45" s="3">
        <v>57.1047705</v>
      </c>
      <c r="AG45" s="3">
        <v>56.6189497</v>
      </c>
      <c r="AH45" s="3">
        <v>56.133129</v>
      </c>
      <c r="AI45" s="3">
        <v>55.6473126</v>
      </c>
      <c r="AJ45" s="4">
        <f t="shared" si="1"/>
        <v>-10.7954213</v>
      </c>
    </row>
    <row r="46">
      <c r="A46" s="1" t="s">
        <v>95</v>
      </c>
      <c r="B46" s="1" t="s">
        <v>96</v>
      </c>
      <c r="C46" s="1" t="s">
        <v>7</v>
      </c>
      <c r="D46" s="1" t="s">
        <v>8</v>
      </c>
      <c r="E46" s="3">
        <v>65.3440703</v>
      </c>
      <c r="F46" s="3">
        <v>65.3089312</v>
      </c>
      <c r="G46" s="3">
        <v>65.2737921</v>
      </c>
      <c r="H46" s="3">
        <v>65.238653</v>
      </c>
      <c r="I46" s="3">
        <v>65.2035139</v>
      </c>
      <c r="J46" s="3">
        <v>65.1683748</v>
      </c>
      <c r="K46" s="3">
        <v>65.1332357</v>
      </c>
      <c r="L46" s="3">
        <v>65.0980966</v>
      </c>
      <c r="M46" s="3">
        <v>65.0629575</v>
      </c>
      <c r="N46" s="3">
        <v>65.0278184</v>
      </c>
      <c r="O46" s="3">
        <v>64.9926794</v>
      </c>
      <c r="P46" s="3">
        <v>64.9575403</v>
      </c>
      <c r="Q46" s="3">
        <v>64.9224012</v>
      </c>
      <c r="R46" s="3">
        <v>64.8872621</v>
      </c>
      <c r="S46" s="3">
        <v>64.852123</v>
      </c>
      <c r="T46" s="3">
        <v>64.8169839</v>
      </c>
      <c r="U46" s="3">
        <v>64.7818448</v>
      </c>
      <c r="V46" s="3">
        <v>64.7467057</v>
      </c>
      <c r="W46" s="3">
        <v>64.7115666</v>
      </c>
      <c r="X46" s="3">
        <v>64.6764275</v>
      </c>
      <c r="Y46" s="3">
        <v>64.6412884</v>
      </c>
      <c r="Z46" s="3">
        <v>64.6061493</v>
      </c>
      <c r="AA46" s="3">
        <v>64.5710102</v>
      </c>
      <c r="AB46" s="3">
        <v>64.5358712</v>
      </c>
      <c r="AC46" s="3">
        <v>64.5007321</v>
      </c>
      <c r="AD46" s="3">
        <v>64.465593</v>
      </c>
      <c r="AE46" s="3">
        <v>64.4304539</v>
      </c>
      <c r="AF46" s="3">
        <v>64.3953148</v>
      </c>
      <c r="AG46" s="3">
        <v>64.3513909</v>
      </c>
      <c r="AH46" s="3">
        <v>64.3074671</v>
      </c>
      <c r="AI46" s="3">
        <v>64.2635432</v>
      </c>
      <c r="AJ46" s="4">
        <f t="shared" si="1"/>
        <v>-1.0805271</v>
      </c>
    </row>
    <row r="47">
      <c r="A47" s="1" t="s">
        <v>97</v>
      </c>
      <c r="B47" s="1" t="s">
        <v>98</v>
      </c>
      <c r="C47" s="1" t="s">
        <v>7</v>
      </c>
      <c r="D47" s="1" t="s">
        <v>8</v>
      </c>
      <c r="E47" s="3">
        <v>58.5472195</v>
      </c>
      <c r="F47" s="3">
        <v>58.3468914</v>
      </c>
      <c r="G47" s="3">
        <v>58.1465633</v>
      </c>
      <c r="H47" s="3">
        <v>57.9462352</v>
      </c>
      <c r="I47" s="3">
        <v>57.7459072</v>
      </c>
      <c r="J47" s="3">
        <v>57.5455791</v>
      </c>
      <c r="K47" s="3">
        <v>57.345251</v>
      </c>
      <c r="L47" s="3">
        <v>57.1449229</v>
      </c>
      <c r="M47" s="3">
        <v>56.9445949</v>
      </c>
      <c r="N47" s="3">
        <v>56.7442668</v>
      </c>
      <c r="O47" s="3">
        <v>56.5439387</v>
      </c>
      <c r="P47" s="3">
        <v>56.3701929</v>
      </c>
      <c r="Q47" s="3">
        <v>56.196447</v>
      </c>
      <c r="R47" s="3">
        <v>56.0227012</v>
      </c>
      <c r="S47" s="3">
        <v>55.8489554</v>
      </c>
      <c r="T47" s="3">
        <v>55.6752096</v>
      </c>
      <c r="U47" s="3">
        <v>55.5014637</v>
      </c>
      <c r="V47" s="3">
        <v>55.3277179</v>
      </c>
      <c r="W47" s="3">
        <v>55.1539721</v>
      </c>
      <c r="X47" s="3">
        <v>54.9802262</v>
      </c>
      <c r="Y47" s="3">
        <v>54.8064804</v>
      </c>
      <c r="Z47" s="3">
        <v>54.6851411</v>
      </c>
      <c r="AA47" s="3">
        <v>54.5638017</v>
      </c>
      <c r="AB47" s="3">
        <v>54.4424624</v>
      </c>
      <c r="AC47" s="3">
        <v>54.321123</v>
      </c>
      <c r="AD47" s="3">
        <v>54.1997837</v>
      </c>
      <c r="AE47" s="3">
        <v>54.0419018</v>
      </c>
      <c r="AF47" s="3">
        <v>53.8438666</v>
      </c>
      <c r="AG47" s="3">
        <v>53.6642452</v>
      </c>
      <c r="AH47" s="3">
        <v>53.4846327</v>
      </c>
      <c r="AI47" s="3">
        <v>53.3050113</v>
      </c>
      <c r="AJ47" s="4">
        <f t="shared" si="1"/>
        <v>-5.2422082</v>
      </c>
    </row>
    <row r="48">
      <c r="A48" s="1" t="s">
        <v>99</v>
      </c>
      <c r="B48" s="1" t="s">
        <v>100</v>
      </c>
      <c r="C48" s="1" t="s">
        <v>7</v>
      </c>
      <c r="D48" s="1" t="s">
        <v>8</v>
      </c>
      <c r="E48" s="3">
        <v>24.7501343</v>
      </c>
      <c r="F48" s="3">
        <v>24.514777</v>
      </c>
      <c r="G48" s="3">
        <v>24.2794197</v>
      </c>
      <c r="H48" s="3">
        <v>24.0440623</v>
      </c>
      <c r="I48" s="3">
        <v>23.808705</v>
      </c>
      <c r="J48" s="3">
        <v>23.5733477</v>
      </c>
      <c r="K48" s="3">
        <v>23.3379903</v>
      </c>
      <c r="L48" s="3">
        <v>23.102633</v>
      </c>
      <c r="M48" s="3">
        <v>22.8672757</v>
      </c>
      <c r="N48" s="3">
        <v>22.6319183</v>
      </c>
      <c r="O48" s="3">
        <v>22.396561</v>
      </c>
      <c r="P48" s="3">
        <v>22.1612037</v>
      </c>
      <c r="Q48" s="3">
        <v>21.9258463</v>
      </c>
      <c r="R48" s="3">
        <v>21.690489</v>
      </c>
      <c r="S48" s="3">
        <v>21.4551316</v>
      </c>
      <c r="T48" s="3">
        <v>21.2197743</v>
      </c>
      <c r="U48" s="3">
        <v>20.984417</v>
      </c>
      <c r="V48" s="3">
        <v>20.7490596</v>
      </c>
      <c r="W48" s="3">
        <v>20.5137023</v>
      </c>
      <c r="X48" s="3">
        <v>20.278345</v>
      </c>
      <c r="Y48" s="3">
        <v>20.0429876</v>
      </c>
      <c r="Z48" s="3">
        <v>19.8076303</v>
      </c>
      <c r="AA48" s="3">
        <v>19.572273</v>
      </c>
      <c r="AB48" s="3">
        <v>19.3369156</v>
      </c>
      <c r="AC48" s="3">
        <v>19.1015583</v>
      </c>
      <c r="AD48" s="3">
        <v>18.866201</v>
      </c>
      <c r="AE48" s="3">
        <v>18.6297689</v>
      </c>
      <c r="AF48" s="3">
        <v>18.3933369</v>
      </c>
      <c r="AG48" s="3">
        <v>18.1622783</v>
      </c>
      <c r="AH48" s="3">
        <v>17.9258463</v>
      </c>
      <c r="AI48" s="3">
        <v>17.6894143</v>
      </c>
      <c r="AJ48" s="4">
        <f t="shared" si="1"/>
        <v>-7.06072</v>
      </c>
    </row>
    <row r="49">
      <c r="A49" s="1" t="s">
        <v>101</v>
      </c>
      <c r="B49" s="1" t="s">
        <v>102</v>
      </c>
      <c r="C49" s="1" t="s">
        <v>7</v>
      </c>
      <c r="D49" s="1" t="s">
        <v>8</v>
      </c>
      <c r="E49" s="3">
        <v>3.81637717</v>
      </c>
      <c r="F49" s="3">
        <v>4.42034739</v>
      </c>
      <c r="G49" s="3">
        <v>5.02431762</v>
      </c>
      <c r="H49" s="3">
        <v>5.62828784</v>
      </c>
      <c r="I49" s="3">
        <v>6.23225806</v>
      </c>
      <c r="J49" s="3">
        <v>6.83622829</v>
      </c>
      <c r="K49" s="3">
        <v>7.44019851</v>
      </c>
      <c r="L49" s="3">
        <v>8.04416873</v>
      </c>
      <c r="M49" s="3">
        <v>8.64813896</v>
      </c>
      <c r="N49" s="3">
        <v>9.25210918</v>
      </c>
      <c r="O49" s="3">
        <v>9.8560794</v>
      </c>
      <c r="P49" s="3">
        <v>9.93052109</v>
      </c>
      <c r="Q49" s="3">
        <v>10.0049628</v>
      </c>
      <c r="R49" s="3">
        <v>10.0794045</v>
      </c>
      <c r="S49" s="3">
        <v>10.1538462</v>
      </c>
      <c r="T49" s="3">
        <v>10.2282878</v>
      </c>
      <c r="U49" s="3">
        <v>10.3027295</v>
      </c>
      <c r="V49" s="3">
        <v>10.3771712</v>
      </c>
      <c r="W49" s="3">
        <v>10.4516129</v>
      </c>
      <c r="X49" s="3">
        <v>10.5260546</v>
      </c>
      <c r="Y49" s="3">
        <v>10.6004963</v>
      </c>
      <c r="Z49" s="3">
        <v>10.674938</v>
      </c>
      <c r="AA49" s="3">
        <v>10.7493797</v>
      </c>
      <c r="AB49" s="3">
        <v>10.8238213</v>
      </c>
      <c r="AC49" s="3">
        <v>10.898263</v>
      </c>
      <c r="AD49" s="3">
        <v>10.9727047</v>
      </c>
      <c r="AE49" s="3">
        <v>11.0471464</v>
      </c>
      <c r="AF49" s="3">
        <v>11.1215881</v>
      </c>
      <c r="AG49" s="3">
        <v>11.1960298</v>
      </c>
      <c r="AH49" s="3">
        <v>11.2704715</v>
      </c>
      <c r="AI49" s="3">
        <v>11.3449132</v>
      </c>
      <c r="AJ49" s="4">
        <f t="shared" si="1"/>
        <v>7.52853603</v>
      </c>
    </row>
    <row r="50">
      <c r="A50" s="1" t="s">
        <v>103</v>
      </c>
      <c r="B50" s="1" t="s">
        <v>104</v>
      </c>
      <c r="C50" s="1" t="s">
        <v>7</v>
      </c>
      <c r="D50" s="1" t="s">
        <v>8</v>
      </c>
      <c r="E50" s="3">
        <v>56.9408539</v>
      </c>
      <c r="F50" s="3">
        <v>56.8425774</v>
      </c>
      <c r="G50" s="3">
        <v>56.7443008</v>
      </c>
      <c r="H50" s="3">
        <v>56.6460243</v>
      </c>
      <c r="I50" s="3">
        <v>56.5477477</v>
      </c>
      <c r="J50" s="3">
        <v>56.4494712</v>
      </c>
      <c r="K50" s="3">
        <v>56.3511947</v>
      </c>
      <c r="L50" s="3">
        <v>56.2529181</v>
      </c>
      <c r="M50" s="3">
        <v>56.1546416</v>
      </c>
      <c r="N50" s="3">
        <v>56.0563651</v>
      </c>
      <c r="O50" s="3">
        <v>55.9580885</v>
      </c>
      <c r="P50" s="3">
        <v>55.9854681</v>
      </c>
      <c r="Q50" s="3">
        <v>56.0128476</v>
      </c>
      <c r="R50" s="3">
        <v>56.0402272</v>
      </c>
      <c r="S50" s="3">
        <v>56.0676067</v>
      </c>
      <c r="T50" s="3">
        <v>56.0949863</v>
      </c>
      <c r="U50" s="3">
        <v>56.1223658</v>
      </c>
      <c r="V50" s="3">
        <v>56.1497454</v>
      </c>
      <c r="W50" s="3">
        <v>56.177125</v>
      </c>
      <c r="X50" s="3">
        <v>56.2045045</v>
      </c>
      <c r="Y50" s="3">
        <v>56.2318841</v>
      </c>
      <c r="Z50" s="3">
        <v>56.5524089</v>
      </c>
      <c r="AA50" s="3">
        <v>56.8729338</v>
      </c>
      <c r="AB50" s="3">
        <v>57.1934587</v>
      </c>
      <c r="AC50" s="3">
        <v>57.5139835</v>
      </c>
      <c r="AD50" s="3">
        <v>57.8345084</v>
      </c>
      <c r="AE50" s="3">
        <v>58.1551116</v>
      </c>
      <c r="AF50" s="3">
        <v>58.4757148</v>
      </c>
      <c r="AG50" s="3">
        <v>58.7961222</v>
      </c>
      <c r="AH50" s="3">
        <v>59.1167254</v>
      </c>
      <c r="AI50" s="3">
        <v>59.4373286</v>
      </c>
      <c r="AJ50" s="4">
        <f t="shared" si="1"/>
        <v>2.4964747</v>
      </c>
    </row>
    <row r="51">
      <c r="A51" s="1" t="s">
        <v>105</v>
      </c>
      <c r="B51" s="1" t="s">
        <v>106</v>
      </c>
      <c r="C51" s="1" t="s">
        <v>7</v>
      </c>
      <c r="D51" s="1" t="s">
        <v>8</v>
      </c>
      <c r="E51" s="3">
        <v>91.3850562</v>
      </c>
      <c r="F51" s="3">
        <v>91.329858</v>
      </c>
      <c r="G51" s="3">
        <v>91.2746598</v>
      </c>
      <c r="H51" s="3">
        <v>91.2194615</v>
      </c>
      <c r="I51" s="3">
        <v>91.1642633</v>
      </c>
      <c r="J51" s="3">
        <v>91.1090651</v>
      </c>
      <c r="K51" s="3">
        <v>91.0538669</v>
      </c>
      <c r="L51" s="3">
        <v>90.9986686</v>
      </c>
      <c r="M51" s="3">
        <v>90.9434704</v>
      </c>
      <c r="N51" s="3">
        <v>90.8882722</v>
      </c>
      <c r="O51" s="3">
        <v>90.833074</v>
      </c>
      <c r="P51" s="3">
        <v>90.803179</v>
      </c>
      <c r="Q51" s="3">
        <v>90.7732839</v>
      </c>
      <c r="R51" s="3">
        <v>90.7433889</v>
      </c>
      <c r="S51" s="3">
        <v>90.7134939</v>
      </c>
      <c r="T51" s="3">
        <v>90.6835989</v>
      </c>
      <c r="U51" s="3">
        <v>90.6537038</v>
      </c>
      <c r="V51" s="3">
        <v>90.6238088</v>
      </c>
      <c r="W51" s="3">
        <v>90.5939138</v>
      </c>
      <c r="X51" s="3">
        <v>90.5640188</v>
      </c>
      <c r="Y51" s="3">
        <v>90.5341237</v>
      </c>
      <c r="Z51" s="3">
        <v>90.4606941</v>
      </c>
      <c r="AA51" s="3">
        <v>90.3872644</v>
      </c>
      <c r="AB51" s="3">
        <v>90.3138348</v>
      </c>
      <c r="AC51" s="3">
        <v>90.2404051</v>
      </c>
      <c r="AD51" s="3">
        <v>90.1669754</v>
      </c>
      <c r="AE51" s="3">
        <v>90.0970483</v>
      </c>
      <c r="AF51" s="3">
        <v>90.0371249</v>
      </c>
      <c r="AG51" s="3">
        <v>89.9650241</v>
      </c>
      <c r="AH51" s="3">
        <v>89.8928245</v>
      </c>
      <c r="AI51" s="3">
        <v>89.8207237</v>
      </c>
      <c r="AJ51" s="4">
        <f t="shared" si="1"/>
        <v>-1.5643325</v>
      </c>
    </row>
    <row r="52">
      <c r="A52" s="1" t="s">
        <v>107</v>
      </c>
      <c r="B52" s="1" t="s">
        <v>108</v>
      </c>
      <c r="C52" s="1" t="s">
        <v>7</v>
      </c>
      <c r="D52" s="1" t="s">
        <v>8</v>
      </c>
      <c r="E52" s="3">
        <v>19.1620112</v>
      </c>
      <c r="F52" s="3">
        <v>19.5130354</v>
      </c>
      <c r="G52" s="3">
        <v>19.8640596</v>
      </c>
      <c r="H52" s="3">
        <v>20.2150838</v>
      </c>
      <c r="I52" s="3">
        <v>20.566108</v>
      </c>
      <c r="J52" s="3">
        <v>20.9171322</v>
      </c>
      <c r="K52" s="3">
        <v>21.2681564</v>
      </c>
      <c r="L52" s="3">
        <v>21.6191806</v>
      </c>
      <c r="M52" s="3">
        <v>21.9702048</v>
      </c>
      <c r="N52" s="3">
        <v>22.3212291</v>
      </c>
      <c r="O52" s="3">
        <v>22.6722533</v>
      </c>
      <c r="P52" s="3">
        <v>23.1350093</v>
      </c>
      <c r="Q52" s="3">
        <v>23.8217878</v>
      </c>
      <c r="R52" s="3">
        <v>24.2866541</v>
      </c>
      <c r="S52" s="3">
        <v>24.7514331</v>
      </c>
      <c r="T52" s="3">
        <v>25.2113867</v>
      </c>
      <c r="U52" s="3">
        <v>25.6807291</v>
      </c>
      <c r="V52" s="3">
        <v>26.1452461</v>
      </c>
      <c r="W52" s="3">
        <v>26.6121759</v>
      </c>
      <c r="X52" s="3">
        <v>27.0791056</v>
      </c>
      <c r="Y52" s="3">
        <v>27.5460353</v>
      </c>
      <c r="Z52" s="3">
        <v>27.9086307</v>
      </c>
      <c r="AA52" s="3">
        <v>28.4372099</v>
      </c>
      <c r="AB52" s="3">
        <v>29.5835732</v>
      </c>
      <c r="AC52" s="3">
        <v>30.124976</v>
      </c>
      <c r="AD52" s="3">
        <v>30.585975</v>
      </c>
      <c r="AE52" s="3">
        <v>31.1514802</v>
      </c>
      <c r="AF52" s="3">
        <v>31.2331407</v>
      </c>
      <c r="AG52" s="3">
        <v>31.2331407</v>
      </c>
      <c r="AH52" s="3">
        <v>31.2331407</v>
      </c>
      <c r="AI52" s="3">
        <v>31.2331407</v>
      </c>
      <c r="AJ52" s="4">
        <f t="shared" si="1"/>
        <v>12.0711295</v>
      </c>
    </row>
    <row r="53">
      <c r="A53" s="1" t="s">
        <v>109</v>
      </c>
      <c r="B53" s="1" t="s">
        <v>110</v>
      </c>
      <c r="C53" s="1" t="s">
        <v>7</v>
      </c>
      <c r="D53" s="1" t="s">
        <v>8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3">
        <v>0.15765766</v>
      </c>
      <c r="P53" s="5"/>
      <c r="Q53" s="5"/>
      <c r="R53" s="5"/>
      <c r="S53" s="5"/>
      <c r="T53" s="5"/>
      <c r="U53" s="5"/>
      <c r="V53" s="5"/>
      <c r="W53" s="5"/>
      <c r="X53" s="5"/>
      <c r="Y53" s="3">
        <v>0.15765766</v>
      </c>
      <c r="Z53" s="3">
        <v>0.15765766</v>
      </c>
      <c r="AA53" s="3">
        <v>0.15765766</v>
      </c>
      <c r="AB53" s="3">
        <v>0.15765766</v>
      </c>
      <c r="AC53" s="3">
        <v>0.15765766</v>
      </c>
      <c r="AD53" s="3">
        <v>0.15765766</v>
      </c>
      <c r="AE53" s="3">
        <v>0.15765766</v>
      </c>
      <c r="AF53" s="3">
        <v>0.15765766</v>
      </c>
      <c r="AG53" s="3">
        <v>0.15765766</v>
      </c>
      <c r="AH53" s="3">
        <v>0.15765766</v>
      </c>
      <c r="AI53" s="3">
        <v>0.15765766</v>
      </c>
      <c r="AJ53" s="4">
        <f t="shared" si="1"/>
        <v>0.15765766</v>
      </c>
    </row>
    <row r="54">
      <c r="A54" s="1" t="s">
        <v>111</v>
      </c>
      <c r="B54" s="1" t="s">
        <v>112</v>
      </c>
      <c r="C54" s="1" t="s">
        <v>7</v>
      </c>
      <c r="D54" s="1" t="s">
        <v>8</v>
      </c>
      <c r="E54" s="3">
        <v>54.7083333</v>
      </c>
      <c r="F54" s="3">
        <v>54.625</v>
      </c>
      <c r="G54" s="3">
        <v>54.5416667</v>
      </c>
      <c r="H54" s="3">
        <v>54.4583333</v>
      </c>
      <c r="I54" s="3">
        <v>54.375</v>
      </c>
      <c r="J54" s="3">
        <v>54.2916667</v>
      </c>
      <c r="K54" s="3">
        <v>54.2083333</v>
      </c>
      <c r="L54" s="3">
        <v>54.125</v>
      </c>
      <c r="M54" s="3">
        <v>54.0416667</v>
      </c>
      <c r="N54" s="3">
        <v>53.9583333</v>
      </c>
      <c r="O54" s="3">
        <v>53.875</v>
      </c>
      <c r="P54" s="3">
        <v>53.7875</v>
      </c>
      <c r="Q54" s="3">
        <v>53.7</v>
      </c>
      <c r="R54" s="3">
        <v>53.6125</v>
      </c>
      <c r="S54" s="3">
        <v>53.525</v>
      </c>
      <c r="T54" s="3">
        <v>53.4375</v>
      </c>
      <c r="U54" s="3">
        <v>53.35</v>
      </c>
      <c r="V54" s="3">
        <v>53.2625</v>
      </c>
      <c r="W54" s="3">
        <v>53.175</v>
      </c>
      <c r="X54" s="3">
        <v>53.0875</v>
      </c>
      <c r="Y54" s="3">
        <v>53.0</v>
      </c>
      <c r="Z54" s="3">
        <v>53.0</v>
      </c>
      <c r="AA54" s="3">
        <v>53.0</v>
      </c>
      <c r="AB54" s="3">
        <v>53.0</v>
      </c>
      <c r="AC54" s="3">
        <v>53.0</v>
      </c>
      <c r="AD54" s="3">
        <v>53.0</v>
      </c>
      <c r="AE54" s="3">
        <v>53.0</v>
      </c>
      <c r="AF54" s="3">
        <v>53.0</v>
      </c>
      <c r="AG54" s="3">
        <v>53.375</v>
      </c>
      <c r="AH54" s="3">
        <v>53.0</v>
      </c>
      <c r="AI54" s="3">
        <v>53.0</v>
      </c>
      <c r="AJ54" s="4">
        <f t="shared" si="1"/>
        <v>-1.7083333</v>
      </c>
    </row>
    <row r="55">
      <c r="A55" s="1" t="s">
        <v>113</v>
      </c>
      <c r="B55" s="1" t="s">
        <v>114</v>
      </c>
      <c r="C55" s="1" t="s">
        <v>7</v>
      </c>
      <c r="D55" s="1" t="s">
        <v>8</v>
      </c>
      <c r="E55" s="3">
        <v>17.4361472</v>
      </c>
      <c r="F55" s="3">
        <v>17.5497835</v>
      </c>
      <c r="G55" s="3">
        <v>17.6634199</v>
      </c>
      <c r="H55" s="3">
        <v>17.7770563</v>
      </c>
      <c r="I55" s="3">
        <v>17.8906926</v>
      </c>
      <c r="J55" s="3">
        <v>18.004329</v>
      </c>
      <c r="K55" s="3">
        <v>18.1179654</v>
      </c>
      <c r="L55" s="3">
        <v>18.2316017</v>
      </c>
      <c r="M55" s="3">
        <v>18.3452381</v>
      </c>
      <c r="N55" s="3">
        <v>18.4588745</v>
      </c>
      <c r="O55" s="3">
        <v>18.5725108</v>
      </c>
      <c r="P55" s="3">
        <v>18.5858225</v>
      </c>
      <c r="Q55" s="3">
        <v>18.5991342</v>
      </c>
      <c r="R55" s="3">
        <v>18.6124459</v>
      </c>
      <c r="S55" s="3">
        <v>18.6257576</v>
      </c>
      <c r="T55" s="3">
        <v>18.6390693</v>
      </c>
      <c r="U55" s="3">
        <v>18.652381</v>
      </c>
      <c r="V55" s="3">
        <v>18.6656926</v>
      </c>
      <c r="W55" s="3">
        <v>18.6790043</v>
      </c>
      <c r="X55" s="3">
        <v>18.692316</v>
      </c>
      <c r="Y55" s="3">
        <v>18.7056277</v>
      </c>
      <c r="Z55" s="3">
        <v>18.7028139</v>
      </c>
      <c r="AA55" s="3">
        <v>18.7</v>
      </c>
      <c r="AB55" s="3">
        <v>18.6971861</v>
      </c>
      <c r="AC55" s="3">
        <v>18.6943723</v>
      </c>
      <c r="AD55" s="3">
        <v>18.6915584</v>
      </c>
      <c r="AE55" s="3">
        <v>18.6807359</v>
      </c>
      <c r="AF55" s="3">
        <v>18.6785714</v>
      </c>
      <c r="AG55" s="3">
        <v>18.6764069</v>
      </c>
      <c r="AH55" s="3">
        <v>18.6742424</v>
      </c>
      <c r="AI55" s="3">
        <v>18.6720779</v>
      </c>
      <c r="AJ55" s="4">
        <f t="shared" si="1"/>
        <v>1.2359307</v>
      </c>
    </row>
    <row r="56">
      <c r="A56" s="1" t="s">
        <v>115</v>
      </c>
      <c r="B56" s="1" t="s">
        <v>116</v>
      </c>
      <c r="C56" s="1" t="s">
        <v>7</v>
      </c>
      <c r="D56" s="1" t="s">
        <v>8</v>
      </c>
      <c r="E56" s="3">
        <v>34.0235538</v>
      </c>
      <c r="F56" s="3">
        <v>34.0235538</v>
      </c>
      <c r="G56" s="3">
        <v>34.0235538</v>
      </c>
      <c r="H56" s="3">
        <v>34.0595445</v>
      </c>
      <c r="I56" s="3">
        <v>34.0697295</v>
      </c>
      <c r="J56" s="3">
        <v>34.0799146</v>
      </c>
      <c r="K56" s="3">
        <v>34.0900997</v>
      </c>
      <c r="L56" s="3">
        <v>34.1002847</v>
      </c>
      <c r="M56" s="3">
        <v>34.1104698</v>
      </c>
      <c r="N56" s="3">
        <v>34.1206548</v>
      </c>
      <c r="O56" s="3">
        <v>34.1308399</v>
      </c>
      <c r="P56" s="3">
        <v>34.1568397</v>
      </c>
      <c r="Q56" s="3">
        <v>34.1828394</v>
      </c>
      <c r="R56" s="3">
        <v>34.2088391</v>
      </c>
      <c r="S56" s="3">
        <v>34.23927</v>
      </c>
      <c r="T56" s="3">
        <v>34.2652731</v>
      </c>
      <c r="U56" s="3">
        <v>34.2957152</v>
      </c>
      <c r="V56" s="3">
        <v>34.3217217</v>
      </c>
      <c r="W56" s="3">
        <v>34.3477282</v>
      </c>
      <c r="X56" s="3">
        <v>34.3737346</v>
      </c>
      <c r="Y56" s="3">
        <v>34.4041947</v>
      </c>
      <c r="Z56" s="3">
        <v>34.4327033</v>
      </c>
      <c r="AA56" s="3">
        <v>34.465674</v>
      </c>
      <c r="AB56" s="3">
        <v>34.4986532</v>
      </c>
      <c r="AC56" s="3">
        <v>34.5271691</v>
      </c>
      <c r="AD56" s="3">
        <v>34.5601606</v>
      </c>
      <c r="AE56" s="3">
        <v>34.5745921</v>
      </c>
      <c r="AF56" s="3">
        <v>34.6025126</v>
      </c>
      <c r="AG56" s="3">
        <v>34.6304404</v>
      </c>
      <c r="AH56" s="3">
        <v>34.653886</v>
      </c>
      <c r="AI56" s="3">
        <v>34.6773316</v>
      </c>
      <c r="AJ56" s="4">
        <f t="shared" si="1"/>
        <v>0.6537778</v>
      </c>
    </row>
    <row r="57">
      <c r="A57" s="1" t="s">
        <v>117</v>
      </c>
      <c r="B57" s="1" t="s">
        <v>118</v>
      </c>
      <c r="C57" s="1" t="s">
        <v>7</v>
      </c>
      <c r="D57" s="1" t="s">
        <v>8</v>
      </c>
      <c r="E57" s="3">
        <v>32.3661673</v>
      </c>
      <c r="F57" s="3">
        <v>32.3816343</v>
      </c>
      <c r="G57" s="3">
        <v>32.3971014</v>
      </c>
      <c r="H57" s="3">
        <v>32.4134968</v>
      </c>
      <c r="I57" s="3">
        <v>32.4298932</v>
      </c>
      <c r="J57" s="3">
        <v>32.4462905</v>
      </c>
      <c r="K57" s="3">
        <v>32.4626887</v>
      </c>
      <c r="L57" s="3">
        <v>32.4818794</v>
      </c>
      <c r="M57" s="3">
        <v>32.5001433</v>
      </c>
      <c r="N57" s="3">
        <v>32.5193421</v>
      </c>
      <c r="O57" s="3">
        <v>32.5376128</v>
      </c>
      <c r="P57" s="3">
        <v>32.5580396</v>
      </c>
      <c r="Q57" s="3">
        <v>32.5775383</v>
      </c>
      <c r="R57" s="3">
        <v>32.597976</v>
      </c>
      <c r="S57" s="3">
        <v>32.6174843</v>
      </c>
      <c r="T57" s="3">
        <v>32.6341897</v>
      </c>
      <c r="U57" s="3">
        <v>32.653705</v>
      </c>
      <c r="V57" s="3">
        <v>32.6741618</v>
      </c>
      <c r="W57" s="3">
        <v>32.6936867</v>
      </c>
      <c r="X57" s="3">
        <v>32.7113393</v>
      </c>
      <c r="Y57" s="3">
        <v>32.7308718</v>
      </c>
      <c r="Z57" s="3">
        <v>32.7375488</v>
      </c>
      <c r="AA57" s="3">
        <v>32.7451655</v>
      </c>
      <c r="AB57" s="3">
        <v>32.7189865</v>
      </c>
      <c r="AC57" s="3">
        <v>32.7228432</v>
      </c>
      <c r="AD57" s="3">
        <v>32.7323282</v>
      </c>
      <c r="AE57" s="3">
        <v>32.685482</v>
      </c>
      <c r="AF57" s="3">
        <v>32.6845465</v>
      </c>
      <c r="AG57" s="3">
        <v>32.683611</v>
      </c>
      <c r="AH57" s="3">
        <v>32.683611</v>
      </c>
      <c r="AI57" s="3">
        <v>32.683611</v>
      </c>
      <c r="AJ57" s="4">
        <f t="shared" si="1"/>
        <v>0.3174437</v>
      </c>
    </row>
    <row r="58">
      <c r="A58" s="1" t="s">
        <v>119</v>
      </c>
      <c r="B58" s="1" t="s">
        <v>120</v>
      </c>
      <c r="C58" s="1" t="s">
        <v>7</v>
      </c>
      <c r="D58" s="1" t="s">
        <v>8</v>
      </c>
      <c r="E58" s="3">
        <v>0.24158758</v>
      </c>
      <c r="F58" s="3">
        <v>0.24158758</v>
      </c>
      <c r="G58" s="3">
        <v>0.24158758</v>
      </c>
      <c r="H58" s="3">
        <v>0.24158758</v>
      </c>
      <c r="I58" s="3">
        <v>0.24158758</v>
      </c>
      <c r="J58" s="3">
        <v>0.24158758</v>
      </c>
      <c r="K58" s="3">
        <v>0.24158758</v>
      </c>
      <c r="L58" s="3">
        <v>0.24158758</v>
      </c>
      <c r="M58" s="3">
        <v>0.24158758</v>
      </c>
      <c r="N58" s="3">
        <v>0.24158758</v>
      </c>
      <c r="O58" s="3">
        <v>0.24158758</v>
      </c>
      <c r="P58" s="3">
        <v>0.24158758</v>
      </c>
      <c r="Q58" s="3">
        <v>0.24158758</v>
      </c>
      <c r="R58" s="3">
        <v>0.24158758</v>
      </c>
      <c r="S58" s="3">
        <v>0.24158758</v>
      </c>
      <c r="T58" s="3">
        <v>0.24158758</v>
      </c>
      <c r="U58" s="3">
        <v>0.24158758</v>
      </c>
      <c r="V58" s="3">
        <v>0.24158758</v>
      </c>
      <c r="W58" s="3">
        <v>0.24158758</v>
      </c>
      <c r="X58" s="3">
        <v>0.24158758</v>
      </c>
      <c r="Y58" s="3">
        <v>0.24158758</v>
      </c>
      <c r="Z58" s="3">
        <v>0.24158758</v>
      </c>
      <c r="AA58" s="3">
        <v>0.24158758</v>
      </c>
      <c r="AB58" s="3">
        <v>0.24158758</v>
      </c>
      <c r="AC58" s="3">
        <v>0.24158758</v>
      </c>
      <c r="AD58" s="3">
        <v>0.24158758</v>
      </c>
      <c r="AE58" s="3">
        <v>0.24158758</v>
      </c>
      <c r="AF58" s="3">
        <v>0.24201898</v>
      </c>
      <c r="AG58" s="3">
        <v>0.2433132</v>
      </c>
      <c r="AH58" s="3">
        <v>0.24590164</v>
      </c>
      <c r="AI58" s="3">
        <v>0.2502157</v>
      </c>
      <c r="AJ58" s="4">
        <f t="shared" si="1"/>
        <v>0.00862812</v>
      </c>
    </row>
    <row r="59">
      <c r="A59" s="1" t="s">
        <v>121</v>
      </c>
      <c r="B59" s="1" t="s">
        <v>122</v>
      </c>
      <c r="C59" s="1" t="s">
        <v>7</v>
      </c>
      <c r="D59" s="1" t="s">
        <v>8</v>
      </c>
      <c r="E59" s="3">
        <v>67.08</v>
      </c>
      <c r="F59" s="3">
        <v>66.7546667</v>
      </c>
      <c r="G59" s="3">
        <v>66.4293333</v>
      </c>
      <c r="H59" s="3">
        <v>66.104</v>
      </c>
      <c r="I59" s="3">
        <v>65.7786667</v>
      </c>
      <c r="J59" s="3">
        <v>65.4533333</v>
      </c>
      <c r="K59" s="3">
        <v>65.128</v>
      </c>
      <c r="L59" s="3">
        <v>64.8026667</v>
      </c>
      <c r="M59" s="3">
        <v>64.4773333</v>
      </c>
      <c r="N59" s="3">
        <v>64.152</v>
      </c>
      <c r="O59" s="3">
        <v>63.8266667</v>
      </c>
      <c r="P59" s="3">
        <v>63.8266667</v>
      </c>
      <c r="Q59" s="3">
        <v>63.8266667</v>
      </c>
      <c r="R59" s="3">
        <v>63.8266667</v>
      </c>
      <c r="S59" s="3">
        <v>63.8266667</v>
      </c>
      <c r="T59" s="3">
        <v>63.8266667</v>
      </c>
      <c r="U59" s="3">
        <v>63.8266667</v>
      </c>
      <c r="V59" s="3">
        <v>63.8266667</v>
      </c>
      <c r="W59" s="3">
        <v>63.8266667</v>
      </c>
      <c r="X59" s="3">
        <v>63.8266667</v>
      </c>
      <c r="Y59" s="3">
        <v>63.8266667</v>
      </c>
      <c r="Z59" s="3">
        <v>63.8266667</v>
      </c>
      <c r="AA59" s="3">
        <v>63.8266667</v>
      </c>
      <c r="AB59" s="3">
        <v>63.8266667</v>
      </c>
      <c r="AC59" s="3">
        <v>63.8266667</v>
      </c>
      <c r="AD59" s="3">
        <v>63.8266667</v>
      </c>
      <c r="AE59" s="3">
        <v>63.8266667</v>
      </c>
      <c r="AF59" s="3">
        <v>63.8266667</v>
      </c>
      <c r="AG59" s="3">
        <v>63.8266667</v>
      </c>
      <c r="AH59" s="3">
        <v>63.8266667</v>
      </c>
      <c r="AI59" s="3">
        <v>63.8266667</v>
      </c>
      <c r="AJ59" s="4">
        <f t="shared" si="1"/>
        <v>-3.2533333</v>
      </c>
    </row>
    <row r="60">
      <c r="A60" s="1" t="s">
        <v>123</v>
      </c>
      <c r="B60" s="1" t="s">
        <v>124</v>
      </c>
      <c r="C60" s="1" t="s">
        <v>7</v>
      </c>
      <c r="D60" s="1" t="s">
        <v>8</v>
      </c>
      <c r="E60" s="3">
        <v>12.5369191</v>
      </c>
      <c r="F60" s="3">
        <v>12.6316584</v>
      </c>
      <c r="G60" s="3">
        <v>12.7144002</v>
      </c>
      <c r="H60" s="3">
        <v>12.8090502</v>
      </c>
      <c r="I60" s="3">
        <v>12.9037002</v>
      </c>
      <c r="J60" s="3">
        <v>12.9983502</v>
      </c>
      <c r="K60" s="3">
        <v>13.0930002</v>
      </c>
      <c r="L60" s="3">
        <v>13.1876502</v>
      </c>
      <c r="M60" s="3">
        <v>13.2823003</v>
      </c>
      <c r="N60" s="3">
        <v>13.3769503</v>
      </c>
      <c r="O60" s="3">
        <v>13.4716003</v>
      </c>
      <c r="P60" s="3">
        <v>13.5066934</v>
      </c>
      <c r="Q60" s="3">
        <v>13.5417865</v>
      </c>
      <c r="R60" s="3">
        <v>13.5768796</v>
      </c>
      <c r="S60" s="3">
        <v>13.6119727</v>
      </c>
      <c r="T60" s="3">
        <v>13.6470658</v>
      </c>
      <c r="U60" s="3">
        <v>13.6821588</v>
      </c>
      <c r="V60" s="3">
        <v>13.7172519</v>
      </c>
      <c r="W60" s="3">
        <v>13.752345</v>
      </c>
      <c r="X60" s="3">
        <v>13.7874381</v>
      </c>
      <c r="Y60" s="3">
        <v>13.8225312</v>
      </c>
      <c r="Z60" s="3">
        <v>14.0025454</v>
      </c>
      <c r="AA60" s="3">
        <v>15.04415</v>
      </c>
      <c r="AB60" s="3">
        <v>15.2351</v>
      </c>
      <c r="AC60" s="3">
        <v>15.42605</v>
      </c>
      <c r="AD60" s="3">
        <v>15.617</v>
      </c>
      <c r="AE60" s="3">
        <v>15.6165</v>
      </c>
      <c r="AF60" s="3">
        <v>15.64</v>
      </c>
      <c r="AG60" s="3">
        <v>15.664</v>
      </c>
      <c r="AH60" s="3">
        <v>15.6875</v>
      </c>
      <c r="AI60" s="3">
        <v>15.711</v>
      </c>
      <c r="AJ60" s="4">
        <f t="shared" si="1"/>
        <v>3.1740809</v>
      </c>
    </row>
    <row r="61">
      <c r="A61" s="1" t="s">
        <v>125</v>
      </c>
      <c r="B61" s="1" t="s">
        <v>126</v>
      </c>
      <c r="C61" s="1" t="s">
        <v>7</v>
      </c>
      <c r="D61" s="1" t="s">
        <v>8</v>
      </c>
      <c r="E61" s="3">
        <v>33.0136618</v>
      </c>
      <c r="F61" s="3">
        <v>33.7952391</v>
      </c>
      <c r="G61" s="3">
        <v>34.5768164</v>
      </c>
      <c r="H61" s="3">
        <v>35.3583937</v>
      </c>
      <c r="I61" s="3">
        <v>36.139971</v>
      </c>
      <c r="J61" s="3">
        <v>36.9215483</v>
      </c>
      <c r="K61" s="3">
        <v>37.7031256</v>
      </c>
      <c r="L61" s="3">
        <v>38.484703</v>
      </c>
      <c r="M61" s="3">
        <v>39.2662803</v>
      </c>
      <c r="N61" s="3">
        <v>40.0478576</v>
      </c>
      <c r="O61" s="3">
        <v>40.8294349</v>
      </c>
      <c r="P61" s="3">
        <v>41.0377769</v>
      </c>
      <c r="Q61" s="3">
        <v>41.2461188</v>
      </c>
      <c r="R61" s="3">
        <v>41.4544608</v>
      </c>
      <c r="S61" s="3">
        <v>41.6628027</v>
      </c>
      <c r="T61" s="3">
        <v>41.8711447</v>
      </c>
      <c r="U61" s="3">
        <v>42.0794866</v>
      </c>
      <c r="V61" s="3">
        <v>42.2878286</v>
      </c>
      <c r="W61" s="3">
        <v>42.4961706</v>
      </c>
      <c r="X61" s="3">
        <v>42.7045125</v>
      </c>
      <c r="Y61" s="3">
        <v>42.9128545</v>
      </c>
      <c r="Z61" s="3">
        <v>43.0392465</v>
      </c>
      <c r="AA61" s="3">
        <v>43.1656386</v>
      </c>
      <c r="AB61" s="3">
        <v>43.2920306</v>
      </c>
      <c r="AC61" s="3">
        <v>43.4184227</v>
      </c>
      <c r="AD61" s="3">
        <v>43.5448147</v>
      </c>
      <c r="AE61" s="3">
        <v>43.7122749</v>
      </c>
      <c r="AF61" s="3">
        <v>43.879735</v>
      </c>
      <c r="AG61" s="3">
        <v>44.0471952</v>
      </c>
      <c r="AH61" s="3">
        <v>44.2146554</v>
      </c>
      <c r="AI61" s="3">
        <v>44.3821155</v>
      </c>
      <c r="AJ61" s="4">
        <f t="shared" si="1"/>
        <v>11.3684537</v>
      </c>
    </row>
    <row r="62">
      <c r="A62" s="1" t="s">
        <v>127</v>
      </c>
      <c r="B62" s="1" t="s">
        <v>128</v>
      </c>
      <c r="C62" s="1" t="s">
        <v>7</v>
      </c>
      <c r="D62" s="1" t="s">
        <v>8</v>
      </c>
      <c r="E62" s="3">
        <v>0.69990847</v>
      </c>
      <c r="F62" s="3">
        <v>0.69621369</v>
      </c>
      <c r="G62" s="3">
        <v>0.69251891</v>
      </c>
      <c r="H62" s="3">
        <v>0.68882414</v>
      </c>
      <c r="I62" s="3">
        <v>0.68512936</v>
      </c>
      <c r="J62" s="3">
        <v>0.68143458</v>
      </c>
      <c r="K62" s="3">
        <v>0.6777398</v>
      </c>
      <c r="L62" s="3">
        <v>0.67404503</v>
      </c>
      <c r="M62" s="3">
        <v>0.67035025</v>
      </c>
      <c r="N62" s="3">
        <v>0.66665547</v>
      </c>
      <c r="O62" s="3">
        <v>0.66296069</v>
      </c>
      <c r="P62" s="3">
        <v>0.67719398</v>
      </c>
      <c r="Q62" s="3">
        <v>0.69142728</v>
      </c>
      <c r="R62" s="3">
        <v>0.70566057</v>
      </c>
      <c r="S62" s="3">
        <v>0.71989386</v>
      </c>
      <c r="T62" s="3">
        <v>0.73412715</v>
      </c>
      <c r="U62" s="3">
        <v>0.74836044</v>
      </c>
      <c r="V62" s="3">
        <v>0.76259373</v>
      </c>
      <c r="W62" s="3">
        <v>0.77682703</v>
      </c>
      <c r="X62" s="3">
        <v>0.79106032</v>
      </c>
      <c r="Y62" s="3">
        <v>0.80529361</v>
      </c>
      <c r="Z62" s="3">
        <v>0.80848455</v>
      </c>
      <c r="AA62" s="3">
        <v>0.8116755</v>
      </c>
      <c r="AB62" s="3">
        <v>0.81486644</v>
      </c>
      <c r="AC62" s="3">
        <v>0.81805739</v>
      </c>
      <c r="AD62" s="3">
        <v>0.82124799</v>
      </c>
      <c r="AE62" s="3">
        <v>0.82124799</v>
      </c>
      <c r="AF62" s="3">
        <v>0.81578979</v>
      </c>
      <c r="AG62" s="3">
        <v>0.8103316</v>
      </c>
      <c r="AH62" s="3">
        <v>0.81411035</v>
      </c>
      <c r="AI62" s="3">
        <v>0.81830896</v>
      </c>
      <c r="AJ62" s="4">
        <f t="shared" si="1"/>
        <v>0.11840049</v>
      </c>
    </row>
    <row r="63">
      <c r="A63" s="1" t="s">
        <v>129</v>
      </c>
      <c r="B63" s="1" t="s">
        <v>130</v>
      </c>
      <c r="C63" s="1" t="s">
        <v>7</v>
      </c>
      <c r="D63" s="1" t="s">
        <v>8</v>
      </c>
      <c r="E63" s="3">
        <v>29.0414602</v>
      </c>
      <c r="F63" s="3">
        <v>29.029553</v>
      </c>
      <c r="G63" s="3">
        <v>29.0146754</v>
      </c>
      <c r="H63" s="3">
        <v>28.9997979</v>
      </c>
      <c r="I63" s="3">
        <v>28.9849203</v>
      </c>
      <c r="J63" s="3">
        <v>28.969952</v>
      </c>
      <c r="K63" s="3">
        <v>28.9550927</v>
      </c>
      <c r="L63" s="3">
        <v>28.9402151</v>
      </c>
      <c r="M63" s="3">
        <v>28.9253376</v>
      </c>
      <c r="N63" s="3">
        <v>28.9104601</v>
      </c>
      <c r="O63" s="3">
        <v>28.9217403</v>
      </c>
      <c r="P63" s="3">
        <v>29.0408006</v>
      </c>
      <c r="Q63" s="3">
        <v>29.1609029</v>
      </c>
      <c r="R63" s="3">
        <v>29.2809041</v>
      </c>
      <c r="S63" s="3">
        <v>29.4002466</v>
      </c>
      <c r="T63" s="3">
        <v>29.5194826</v>
      </c>
      <c r="U63" s="3">
        <v>29.6384019</v>
      </c>
      <c r="V63" s="3">
        <v>29.7574319</v>
      </c>
      <c r="W63" s="3">
        <v>29.8769481</v>
      </c>
      <c r="X63" s="3">
        <v>29.9960904</v>
      </c>
      <c r="Y63" s="3">
        <v>30.1152901</v>
      </c>
      <c r="Z63" s="3">
        <v>30.1502923</v>
      </c>
      <c r="AA63" s="3">
        <v>30.1856165</v>
      </c>
      <c r="AB63" s="3">
        <v>30.2208079</v>
      </c>
      <c r="AC63" s="3">
        <v>30.2558676</v>
      </c>
      <c r="AD63" s="3">
        <v>30.2839107</v>
      </c>
      <c r="AE63" s="3">
        <v>30.286206</v>
      </c>
      <c r="AF63" s="3">
        <v>30.2875436</v>
      </c>
      <c r="AG63" s="3">
        <v>30.3353994</v>
      </c>
      <c r="AH63" s="3">
        <v>30.3832772</v>
      </c>
      <c r="AI63" s="3">
        <v>30.4311556</v>
      </c>
      <c r="AJ63" s="4">
        <f t="shared" si="1"/>
        <v>1.3896954</v>
      </c>
    </row>
    <row r="64">
      <c r="A64" s="1" t="s">
        <v>131</v>
      </c>
      <c r="B64" s="1" t="s">
        <v>132</v>
      </c>
      <c r="C64" s="1" t="s">
        <v>7</v>
      </c>
      <c r="D64" s="1" t="s">
        <v>8</v>
      </c>
      <c r="E64" s="3">
        <v>25.3517032</v>
      </c>
      <c r="F64" s="3">
        <v>25.3799819</v>
      </c>
      <c r="G64" s="3">
        <v>25.2488098</v>
      </c>
      <c r="H64" s="3">
        <v>25.173483</v>
      </c>
      <c r="I64" s="3">
        <v>25.0609599</v>
      </c>
      <c r="J64" s="3">
        <v>24.9431779</v>
      </c>
      <c r="K64" s="3">
        <v>24.8253959</v>
      </c>
      <c r="L64" s="3">
        <v>24.7076139</v>
      </c>
      <c r="M64" s="3">
        <v>24.610983</v>
      </c>
      <c r="N64" s="3">
        <v>24.4930997</v>
      </c>
      <c r="O64" s="3">
        <v>24.380697</v>
      </c>
      <c r="P64" s="3">
        <v>24.3097559</v>
      </c>
      <c r="Q64" s="3">
        <v>24.244553</v>
      </c>
      <c r="R64" s="3">
        <v>24.1794814</v>
      </c>
      <c r="S64" s="3">
        <v>24.0218114</v>
      </c>
      <c r="T64" s="3">
        <v>23.9568558</v>
      </c>
      <c r="U64" s="3">
        <v>23.8917823</v>
      </c>
      <c r="V64" s="3">
        <v>23.8267981</v>
      </c>
      <c r="W64" s="3">
        <v>23.7619986</v>
      </c>
      <c r="X64" s="3">
        <v>23.6966678</v>
      </c>
      <c r="Y64" s="3">
        <v>23.6317852</v>
      </c>
      <c r="Z64" s="3">
        <v>23.5399256</v>
      </c>
      <c r="AA64" s="3">
        <v>23.4481779</v>
      </c>
      <c r="AB64" s="3">
        <v>23.3563812</v>
      </c>
      <c r="AC64" s="3">
        <v>23.2655034</v>
      </c>
      <c r="AD64" s="3">
        <v>23.1630563</v>
      </c>
      <c r="AE64" s="3">
        <v>23.071045</v>
      </c>
      <c r="AF64" s="3">
        <v>22.9773977</v>
      </c>
      <c r="AG64" s="3">
        <v>22.9097082</v>
      </c>
      <c r="AH64" s="3">
        <v>22.8435833</v>
      </c>
      <c r="AI64" s="3">
        <v>22.778634</v>
      </c>
      <c r="AJ64" s="4">
        <f t="shared" si="1"/>
        <v>-2.5730692</v>
      </c>
    </row>
    <row r="65">
      <c r="A65" s="1" t="s">
        <v>133</v>
      </c>
      <c r="B65" s="1" t="s">
        <v>134</v>
      </c>
      <c r="C65" s="1" t="s">
        <v>7</v>
      </c>
      <c r="D65" s="1" t="s">
        <v>8</v>
      </c>
      <c r="E65" s="3">
        <v>26.2224064</v>
      </c>
      <c r="F65" s="3">
        <v>26.2095301</v>
      </c>
      <c r="G65" s="3">
        <v>26.1926566</v>
      </c>
      <c r="H65" s="3">
        <v>26.1757831</v>
      </c>
      <c r="I65" s="3">
        <v>26.1589096</v>
      </c>
      <c r="J65" s="3">
        <v>26.1419825</v>
      </c>
      <c r="K65" s="3">
        <v>26.1252268</v>
      </c>
      <c r="L65" s="3">
        <v>26.1083533</v>
      </c>
      <c r="M65" s="3">
        <v>26.0914797</v>
      </c>
      <c r="N65" s="3">
        <v>26.0746062</v>
      </c>
      <c r="O65" s="3">
        <v>26.0731617</v>
      </c>
      <c r="P65" s="3">
        <v>26.1413746</v>
      </c>
      <c r="Q65" s="3">
        <v>26.2104404</v>
      </c>
      <c r="R65" s="3">
        <v>26.2794804</v>
      </c>
      <c r="S65" s="3">
        <v>26.3481327</v>
      </c>
      <c r="T65" s="3">
        <v>26.4167134</v>
      </c>
      <c r="U65" s="3">
        <v>26.4851033</v>
      </c>
      <c r="V65" s="3">
        <v>26.5535514</v>
      </c>
      <c r="W65" s="3">
        <v>26.6222457</v>
      </c>
      <c r="X65" s="3">
        <v>26.6907268</v>
      </c>
      <c r="Y65" s="3">
        <v>26.7591617</v>
      </c>
      <c r="Z65" s="3">
        <v>26.8105562</v>
      </c>
      <c r="AA65" s="3">
        <v>26.8619949</v>
      </c>
      <c r="AB65" s="3">
        <v>26.9133615</v>
      </c>
      <c r="AC65" s="3">
        <v>26.9647737</v>
      </c>
      <c r="AD65" s="3">
        <v>27.0120825</v>
      </c>
      <c r="AE65" s="3">
        <v>27.0494117</v>
      </c>
      <c r="AF65" s="3">
        <v>27.0490449</v>
      </c>
      <c r="AG65" s="3">
        <v>27.0797795</v>
      </c>
      <c r="AH65" s="3">
        <v>27.1111571</v>
      </c>
      <c r="AI65" s="3">
        <v>27.1431956</v>
      </c>
      <c r="AJ65" s="4">
        <f t="shared" si="1"/>
        <v>0.9207892</v>
      </c>
    </row>
    <row r="66">
      <c r="A66" s="1" t="s">
        <v>135</v>
      </c>
      <c r="B66" s="1" t="s">
        <v>136</v>
      </c>
      <c r="C66" s="1" t="s">
        <v>7</v>
      </c>
      <c r="D66" s="1" t="s">
        <v>8</v>
      </c>
      <c r="E66" s="3">
        <v>38.8285596</v>
      </c>
      <c r="F66" s="3">
        <v>38.834374</v>
      </c>
      <c r="G66" s="3">
        <v>38.8294725</v>
      </c>
      <c r="H66" s="3">
        <v>38.844222</v>
      </c>
      <c r="I66" s="3">
        <v>38.8609004</v>
      </c>
      <c r="J66" s="3">
        <v>38.8744402</v>
      </c>
      <c r="K66" s="3">
        <v>38.8835299</v>
      </c>
      <c r="L66" s="3">
        <v>38.8907628</v>
      </c>
      <c r="M66" s="3">
        <v>38.8947535</v>
      </c>
      <c r="N66" s="3">
        <v>38.8914402</v>
      </c>
      <c r="O66" s="3">
        <v>38.9114967</v>
      </c>
      <c r="P66" s="3">
        <v>38.9500608</v>
      </c>
      <c r="Q66" s="3">
        <v>38.9883946</v>
      </c>
      <c r="R66" s="3">
        <v>39.0245065</v>
      </c>
      <c r="S66" s="3">
        <v>39.0602967</v>
      </c>
      <c r="T66" s="3">
        <v>39.0964698</v>
      </c>
      <c r="U66" s="3">
        <v>39.1504028</v>
      </c>
      <c r="V66" s="3">
        <v>39.1893272</v>
      </c>
      <c r="W66" s="3">
        <v>39.2291617</v>
      </c>
      <c r="X66" s="3">
        <v>39.267459</v>
      </c>
      <c r="Y66" s="3">
        <v>39.305671</v>
      </c>
      <c r="Z66" s="3">
        <v>39.3192239</v>
      </c>
      <c r="AA66" s="3">
        <v>39.3332497</v>
      </c>
      <c r="AB66" s="3">
        <v>39.3469816</v>
      </c>
      <c r="AC66" s="3">
        <v>39.3626527</v>
      </c>
      <c r="AD66" s="3">
        <v>39.3499834</v>
      </c>
      <c r="AE66" s="3">
        <v>39.3682449</v>
      </c>
      <c r="AF66" s="3">
        <v>39.3871763</v>
      </c>
      <c r="AG66" s="3">
        <v>39.3992592</v>
      </c>
      <c r="AH66" s="3">
        <v>39.4114287</v>
      </c>
      <c r="AI66" s="3">
        <v>39.4236078</v>
      </c>
      <c r="AJ66" s="4">
        <f t="shared" si="1"/>
        <v>0.5950482</v>
      </c>
    </row>
    <row r="67">
      <c r="A67" s="1" t="s">
        <v>137</v>
      </c>
      <c r="B67" s="1" t="s">
        <v>138</v>
      </c>
      <c r="C67" s="1" t="s">
        <v>7</v>
      </c>
      <c r="D67" s="1" t="s">
        <v>8</v>
      </c>
      <c r="E67" s="3">
        <v>37.6277786</v>
      </c>
      <c r="F67" s="3">
        <v>37.656375</v>
      </c>
      <c r="G67" s="3">
        <v>37.6779217</v>
      </c>
      <c r="H67" s="3">
        <v>37.7140847</v>
      </c>
      <c r="I67" s="3">
        <v>37.7524366</v>
      </c>
      <c r="J67" s="3">
        <v>37.788275</v>
      </c>
      <c r="K67" s="3">
        <v>37.8204463</v>
      </c>
      <c r="L67" s="3">
        <v>37.7564996</v>
      </c>
      <c r="M67" s="3">
        <v>37.7847266</v>
      </c>
      <c r="N67" s="3">
        <v>37.8070134</v>
      </c>
      <c r="O67" s="3">
        <v>37.8490034</v>
      </c>
      <c r="P67" s="3">
        <v>37.8977165</v>
      </c>
      <c r="Q67" s="3">
        <v>37.944835</v>
      </c>
      <c r="R67" s="3">
        <v>37.9902666</v>
      </c>
      <c r="S67" s="3">
        <v>38.0363535</v>
      </c>
      <c r="T67" s="3">
        <v>38.0826109</v>
      </c>
      <c r="U67" s="3">
        <v>38.1440669</v>
      </c>
      <c r="V67" s="3">
        <v>38.1922892</v>
      </c>
      <c r="W67" s="3">
        <v>38.2421014</v>
      </c>
      <c r="X67" s="3">
        <v>38.2887788</v>
      </c>
      <c r="Y67" s="3">
        <v>38.3346153</v>
      </c>
      <c r="Z67" s="3">
        <v>38.3557644</v>
      </c>
      <c r="AA67" s="3">
        <v>38.3841548</v>
      </c>
      <c r="AB67" s="3">
        <v>38.4033373</v>
      </c>
      <c r="AC67" s="3">
        <v>38.4241093</v>
      </c>
      <c r="AD67" s="3">
        <v>38.4245181</v>
      </c>
      <c r="AE67" s="3">
        <v>38.4460948</v>
      </c>
      <c r="AF67" s="3">
        <v>38.4697347</v>
      </c>
      <c r="AG67" s="3">
        <v>38.4808149</v>
      </c>
      <c r="AH67" s="3">
        <v>38.4980457</v>
      </c>
      <c r="AI67" s="3">
        <v>38.5149542</v>
      </c>
      <c r="AJ67" s="4">
        <f t="shared" si="1"/>
        <v>0.8871756</v>
      </c>
    </row>
    <row r="68">
      <c r="A68" s="1" t="s">
        <v>139</v>
      </c>
      <c r="B68" s="1" t="s">
        <v>140</v>
      </c>
      <c r="C68" s="1" t="s">
        <v>7</v>
      </c>
      <c r="D68" s="1" t="s">
        <v>8</v>
      </c>
      <c r="E68" s="3">
        <v>52.8543924</v>
      </c>
      <c r="F68" s="3">
        <v>52.5286772</v>
      </c>
      <c r="G68" s="3">
        <v>52.202962</v>
      </c>
      <c r="H68" s="3">
        <v>51.8772468</v>
      </c>
      <c r="I68" s="3">
        <v>51.5515316</v>
      </c>
      <c r="J68" s="3">
        <v>51.2258164</v>
      </c>
      <c r="K68" s="3">
        <v>50.9001011</v>
      </c>
      <c r="L68" s="3">
        <v>50.5743859</v>
      </c>
      <c r="M68" s="3">
        <v>56.0107988</v>
      </c>
      <c r="N68" s="3">
        <v>55.6477331</v>
      </c>
      <c r="O68" s="3">
        <v>55.2846674</v>
      </c>
      <c r="P68" s="3">
        <v>55.0018884</v>
      </c>
      <c r="Q68" s="3">
        <v>54.7191094</v>
      </c>
      <c r="R68" s="3">
        <v>54.4363303</v>
      </c>
      <c r="S68" s="3">
        <v>54.1535513</v>
      </c>
      <c r="T68" s="3">
        <v>53.8707723</v>
      </c>
      <c r="U68" s="3">
        <v>53.5879932</v>
      </c>
      <c r="V68" s="3">
        <v>53.3052142</v>
      </c>
      <c r="W68" s="3">
        <v>53.0224352</v>
      </c>
      <c r="X68" s="3">
        <v>52.7396561</v>
      </c>
      <c r="Y68" s="3">
        <v>52.4568771</v>
      </c>
      <c r="Z68" s="3">
        <v>52.288565</v>
      </c>
      <c r="AA68" s="3">
        <v>52.1202529</v>
      </c>
      <c r="AB68" s="3">
        <v>51.9519407</v>
      </c>
      <c r="AC68" s="3">
        <v>51.7836286</v>
      </c>
      <c r="AD68" s="3">
        <v>51.6153165</v>
      </c>
      <c r="AE68" s="3">
        <v>51.3565389</v>
      </c>
      <c r="AF68" s="3">
        <v>51.0977613</v>
      </c>
      <c r="AG68" s="3">
        <v>50.8389837</v>
      </c>
      <c r="AH68" s="3">
        <v>50.5802062</v>
      </c>
      <c r="AI68" s="3">
        <v>50.3214286</v>
      </c>
      <c r="AJ68" s="4">
        <f t="shared" si="1"/>
        <v>-2.5329638</v>
      </c>
    </row>
    <row r="69">
      <c r="A69" s="1" t="s">
        <v>141</v>
      </c>
      <c r="B69" s="1" t="s">
        <v>142</v>
      </c>
      <c r="C69" s="1" t="s">
        <v>7</v>
      </c>
      <c r="D69" s="1" t="s">
        <v>8</v>
      </c>
      <c r="E69" s="3">
        <v>0.04401025</v>
      </c>
      <c r="F69" s="3">
        <v>0.04555729</v>
      </c>
      <c r="G69" s="3">
        <v>0.04710432</v>
      </c>
      <c r="H69" s="3">
        <v>0.04865136</v>
      </c>
      <c r="I69" s="3">
        <v>0.0501984</v>
      </c>
      <c r="J69" s="3">
        <v>0.05174544</v>
      </c>
      <c r="K69" s="3">
        <v>0.05329248</v>
      </c>
      <c r="L69" s="3">
        <v>0.05483952</v>
      </c>
      <c r="M69" s="3">
        <v>0.05638656</v>
      </c>
      <c r="N69" s="3">
        <v>0.0579336</v>
      </c>
      <c r="O69" s="3">
        <v>0.05948064</v>
      </c>
      <c r="P69" s="3">
        <v>0.06012658</v>
      </c>
      <c r="Q69" s="3">
        <v>0.06077251</v>
      </c>
      <c r="R69" s="3">
        <v>0.06141845</v>
      </c>
      <c r="S69" s="3">
        <v>0.06206439</v>
      </c>
      <c r="T69" s="3">
        <v>0.06271033</v>
      </c>
      <c r="U69" s="3">
        <v>0.06335627</v>
      </c>
      <c r="V69" s="3">
        <v>0.06400221</v>
      </c>
      <c r="W69" s="3">
        <v>0.06464815</v>
      </c>
      <c r="X69" s="3">
        <v>0.06529409</v>
      </c>
      <c r="Y69" s="3">
        <v>0.06594003</v>
      </c>
      <c r="Z69" s="3">
        <v>0.06248029</v>
      </c>
      <c r="AA69" s="3">
        <v>0.05902054</v>
      </c>
      <c r="AB69" s="3">
        <v>0.0555608</v>
      </c>
      <c r="AC69" s="3">
        <v>0.05210106</v>
      </c>
      <c r="AD69" s="3">
        <v>0.04864132</v>
      </c>
      <c r="AE69" s="3">
        <v>0.04518559</v>
      </c>
      <c r="AF69" s="3">
        <v>0.04518559</v>
      </c>
      <c r="AG69" s="3">
        <v>0.04518559</v>
      </c>
      <c r="AH69" s="3">
        <v>0.04518559</v>
      </c>
      <c r="AI69" s="3">
        <v>0.04518559</v>
      </c>
      <c r="AJ69" s="4">
        <f t="shared" si="1"/>
        <v>0.00117534</v>
      </c>
    </row>
    <row r="70">
      <c r="A70" s="1" t="s">
        <v>143</v>
      </c>
      <c r="B70" s="1" t="s">
        <v>144</v>
      </c>
      <c r="C70" s="1" t="s">
        <v>7</v>
      </c>
      <c r="D70" s="1" t="s">
        <v>8</v>
      </c>
      <c r="E70" s="3">
        <v>34.2541201</v>
      </c>
      <c r="F70" s="3">
        <v>34.473487</v>
      </c>
      <c r="G70" s="3">
        <v>34.7093185</v>
      </c>
      <c r="H70" s="3">
        <v>34.9296589</v>
      </c>
      <c r="I70" s="3">
        <v>35.157369</v>
      </c>
      <c r="J70" s="3">
        <v>35.3850808</v>
      </c>
      <c r="K70" s="3">
        <v>35.6127943</v>
      </c>
      <c r="L70" s="3">
        <v>35.8409109</v>
      </c>
      <c r="M70" s="3">
        <v>36.0688996</v>
      </c>
      <c r="N70" s="3">
        <v>36.297029</v>
      </c>
      <c r="O70" s="3">
        <v>36.5325177</v>
      </c>
      <c r="P70" s="3">
        <v>36.6865043</v>
      </c>
      <c r="Q70" s="3">
        <v>36.8266554</v>
      </c>
      <c r="R70" s="3">
        <v>36.9670324</v>
      </c>
      <c r="S70" s="3">
        <v>37.119002</v>
      </c>
      <c r="T70" s="3">
        <v>37.2676739</v>
      </c>
      <c r="U70" s="3">
        <v>37.4232104</v>
      </c>
      <c r="V70" s="3">
        <v>37.569162</v>
      </c>
      <c r="W70" s="3">
        <v>37.7235172</v>
      </c>
      <c r="X70" s="3">
        <v>37.8716732</v>
      </c>
      <c r="Y70" s="3">
        <v>37.9990982</v>
      </c>
      <c r="Z70" s="3">
        <v>38.0841534</v>
      </c>
      <c r="AA70" s="3">
        <v>38.1621392</v>
      </c>
      <c r="AB70" s="3">
        <v>38.2243393</v>
      </c>
      <c r="AC70" s="3">
        <v>38.3073128</v>
      </c>
      <c r="AD70" s="3">
        <v>38.3978413</v>
      </c>
      <c r="AE70" s="3">
        <v>38.4521274</v>
      </c>
      <c r="AF70" s="3">
        <v>38.51986</v>
      </c>
      <c r="AG70" s="3">
        <v>38.5251932</v>
      </c>
      <c r="AH70" s="3">
        <v>38.5825437</v>
      </c>
      <c r="AI70" s="3">
        <v>38.6395214</v>
      </c>
      <c r="AJ70" s="4">
        <f t="shared" si="1"/>
        <v>4.3854013</v>
      </c>
    </row>
    <row r="71">
      <c r="A71" s="1" t="s">
        <v>145</v>
      </c>
      <c r="B71" s="1" t="s">
        <v>146</v>
      </c>
      <c r="C71" s="1" t="s">
        <v>7</v>
      </c>
      <c r="D71" s="1" t="s">
        <v>8</v>
      </c>
      <c r="E71" s="3">
        <v>16.049505</v>
      </c>
      <c r="F71" s="3">
        <v>16.4253465</v>
      </c>
      <c r="G71" s="3">
        <v>16.049505</v>
      </c>
      <c r="H71" s="3">
        <v>11.2928713</v>
      </c>
      <c r="I71" s="3">
        <v>11.2615842</v>
      </c>
      <c r="J71" s="3">
        <v>11.230297</v>
      </c>
      <c r="K71" s="3">
        <v>11.1990099</v>
      </c>
      <c r="L71" s="3">
        <v>11.1677228</v>
      </c>
      <c r="M71" s="3">
        <v>11.1364356</v>
      </c>
      <c r="N71" s="3">
        <v>11.1051485</v>
      </c>
      <c r="O71" s="3">
        <v>11.0738614</v>
      </c>
      <c r="P71" s="3">
        <v>11.0425743</v>
      </c>
      <c r="Q71" s="3">
        <v>11.0112871</v>
      </c>
      <c r="R71" s="3">
        <v>10.98</v>
      </c>
      <c r="S71" s="3">
        <v>10.9487129</v>
      </c>
      <c r="T71" s="3">
        <v>10.9174257</v>
      </c>
      <c r="U71" s="3">
        <v>10.8861386</v>
      </c>
      <c r="V71" s="3">
        <v>10.8548515</v>
      </c>
      <c r="W71" s="3">
        <v>10.8235644</v>
      </c>
      <c r="X71" s="3">
        <v>10.7922772</v>
      </c>
      <c r="Y71" s="3">
        <v>10.7609901</v>
      </c>
      <c r="Z71" s="3">
        <v>10.729703</v>
      </c>
      <c r="AA71" s="3">
        <v>10.6984158</v>
      </c>
      <c r="AB71" s="3">
        <v>10.6671287</v>
      </c>
      <c r="AC71" s="3">
        <v>10.6358416</v>
      </c>
      <c r="AD71" s="3">
        <v>10.6045545</v>
      </c>
      <c r="AE71" s="3">
        <v>10.5732673</v>
      </c>
      <c r="AF71" s="3">
        <v>10.5419802</v>
      </c>
      <c r="AG71" s="3">
        <v>10.5106931</v>
      </c>
      <c r="AH71" s="3">
        <v>10.4794059</v>
      </c>
      <c r="AI71" s="3">
        <v>10.4481188</v>
      </c>
      <c r="AJ71" s="4">
        <f t="shared" si="1"/>
        <v>-5.6013862</v>
      </c>
    </row>
    <row r="72">
      <c r="A72" s="1" t="s">
        <v>147</v>
      </c>
      <c r="B72" s="1" t="s">
        <v>148</v>
      </c>
      <c r="C72" s="1" t="s">
        <v>7</v>
      </c>
      <c r="D72" s="1" t="s">
        <v>8</v>
      </c>
      <c r="E72" s="3">
        <v>27.8405014</v>
      </c>
      <c r="F72" s="3">
        <v>28.4790706</v>
      </c>
      <c r="G72" s="3">
        <v>29.1176398</v>
      </c>
      <c r="H72" s="3">
        <v>29.756209</v>
      </c>
      <c r="I72" s="3">
        <v>30.3947782</v>
      </c>
      <c r="J72" s="3">
        <v>31.0333473</v>
      </c>
      <c r="K72" s="3">
        <v>31.6719165</v>
      </c>
      <c r="L72" s="3">
        <v>32.3104857</v>
      </c>
      <c r="M72" s="3">
        <v>32.9490549</v>
      </c>
      <c r="N72" s="3">
        <v>33.5876241</v>
      </c>
      <c r="O72" s="3">
        <v>34.2563727</v>
      </c>
      <c r="P72" s="3">
        <v>34.5805003</v>
      </c>
      <c r="Q72" s="3">
        <v>34.8353078</v>
      </c>
      <c r="R72" s="3">
        <v>35.1141864</v>
      </c>
      <c r="S72" s="3">
        <v>35.4070556</v>
      </c>
      <c r="T72" s="3">
        <v>35.7042517</v>
      </c>
      <c r="U72" s="3">
        <v>36.0029981</v>
      </c>
      <c r="V72" s="3">
        <v>36.2844203</v>
      </c>
      <c r="W72" s="3">
        <v>36.5979511</v>
      </c>
      <c r="X72" s="3">
        <v>36.8992881</v>
      </c>
      <c r="Y72" s="3">
        <v>37.0899382</v>
      </c>
      <c r="Z72" s="3">
        <v>37.1019205</v>
      </c>
      <c r="AA72" s="3">
        <v>37.0797785</v>
      </c>
      <c r="AB72" s="3">
        <v>37.0821135</v>
      </c>
      <c r="AC72" s="3">
        <v>37.0844485</v>
      </c>
      <c r="AD72" s="3">
        <v>37.1275325</v>
      </c>
      <c r="AE72" s="3">
        <v>37.1428686</v>
      </c>
      <c r="AF72" s="3">
        <v>37.1522339</v>
      </c>
      <c r="AG72" s="3">
        <v>37.1566468</v>
      </c>
      <c r="AH72" s="3">
        <v>37.1652336</v>
      </c>
      <c r="AI72" s="3">
        <v>37.1738204</v>
      </c>
      <c r="AJ72" s="4">
        <f t="shared" si="1"/>
        <v>9.333319</v>
      </c>
    </row>
    <row r="73">
      <c r="A73" s="1" t="s">
        <v>149</v>
      </c>
      <c r="B73" s="1" t="s">
        <v>150</v>
      </c>
      <c r="C73" s="1" t="s">
        <v>7</v>
      </c>
      <c r="D73" s="1" t="s">
        <v>8</v>
      </c>
      <c r="E73" s="3">
        <v>52.0405756</v>
      </c>
      <c r="F73" s="3">
        <v>52.0405756</v>
      </c>
      <c r="G73" s="3">
        <v>52.1938665</v>
      </c>
      <c r="H73" s="3">
        <v>52.2716914</v>
      </c>
      <c r="I73" s="3">
        <v>52.3495164</v>
      </c>
      <c r="J73" s="3">
        <v>52.4273414</v>
      </c>
      <c r="K73" s="3">
        <v>52.5051663</v>
      </c>
      <c r="L73" s="3">
        <v>52.5829913</v>
      </c>
      <c r="M73" s="3">
        <v>52.6608162</v>
      </c>
      <c r="N73" s="3">
        <v>52.7386412</v>
      </c>
      <c r="O73" s="3">
        <v>52.8164661</v>
      </c>
      <c r="P73" s="3">
        <v>53.0456004</v>
      </c>
      <c r="Q73" s="3">
        <v>53.2747346</v>
      </c>
      <c r="R73" s="3">
        <v>53.5038688</v>
      </c>
      <c r="S73" s="3">
        <v>53.7330031</v>
      </c>
      <c r="T73" s="3">
        <v>53.9621373</v>
      </c>
      <c r="U73" s="3">
        <v>54.1912715</v>
      </c>
      <c r="V73" s="3">
        <v>54.4204058</v>
      </c>
      <c r="W73" s="3">
        <v>54.64954</v>
      </c>
      <c r="X73" s="3">
        <v>54.8786742</v>
      </c>
      <c r="Y73" s="3">
        <v>55.1078084</v>
      </c>
      <c r="Z73" s="3">
        <v>55.5087992</v>
      </c>
      <c r="AA73" s="3">
        <v>55.90979</v>
      </c>
      <c r="AB73" s="3">
        <v>54.9117552</v>
      </c>
      <c r="AC73" s="3">
        <v>55.3027835</v>
      </c>
      <c r="AD73" s="3">
        <v>55.6938118</v>
      </c>
      <c r="AE73" s="3">
        <v>55.6993329</v>
      </c>
      <c r="AF73" s="3">
        <v>56.0938578</v>
      </c>
      <c r="AG73" s="3">
        <v>56.0938578</v>
      </c>
      <c r="AH73" s="3">
        <v>56.0938578</v>
      </c>
      <c r="AI73" s="3">
        <v>56.0938578</v>
      </c>
      <c r="AJ73" s="4">
        <f t="shared" si="1"/>
        <v>4.0532822</v>
      </c>
    </row>
    <row r="74">
      <c r="A74" s="1" t="s">
        <v>151</v>
      </c>
      <c r="B74" s="1" t="s">
        <v>152</v>
      </c>
      <c r="C74" s="1" t="s">
        <v>7</v>
      </c>
      <c r="D74" s="1" t="s">
        <v>8</v>
      </c>
      <c r="E74" s="3">
        <v>18.5363851</v>
      </c>
      <c r="F74" s="3">
        <v>18.4672116</v>
      </c>
      <c r="G74" s="3">
        <v>18.3980381</v>
      </c>
      <c r="H74" s="3">
        <v>19.0395</v>
      </c>
      <c r="I74" s="3">
        <v>18.9665</v>
      </c>
      <c r="J74" s="3">
        <v>18.8935</v>
      </c>
      <c r="K74" s="3">
        <v>18.8205</v>
      </c>
      <c r="L74" s="3">
        <v>18.7475</v>
      </c>
      <c r="M74" s="3">
        <v>18.6745</v>
      </c>
      <c r="N74" s="3">
        <v>18.6015</v>
      </c>
      <c r="O74" s="3">
        <v>18.5285</v>
      </c>
      <c r="P74" s="3">
        <v>18.4555</v>
      </c>
      <c r="Q74" s="3">
        <v>18.3825</v>
      </c>
      <c r="R74" s="3">
        <v>18.3095</v>
      </c>
      <c r="S74" s="3">
        <v>16.1490092</v>
      </c>
      <c r="T74" s="3">
        <v>16.0836041</v>
      </c>
      <c r="U74" s="3">
        <v>16.019012</v>
      </c>
      <c r="V74" s="3">
        <v>15.9547531</v>
      </c>
      <c r="W74" s="3">
        <v>15.890325</v>
      </c>
      <c r="X74" s="3">
        <v>15.8256966</v>
      </c>
      <c r="Y74" s="3">
        <v>15.7612989</v>
      </c>
      <c r="Z74" s="3">
        <v>15.697284</v>
      </c>
      <c r="AA74" s="3">
        <v>15.632619</v>
      </c>
      <c r="AB74" s="3">
        <v>15.5679306</v>
      </c>
      <c r="AC74" s="3">
        <v>15.5031099</v>
      </c>
      <c r="AD74" s="3">
        <v>15.4378094</v>
      </c>
      <c r="AE74" s="3">
        <v>15.3727423</v>
      </c>
      <c r="AF74" s="3">
        <v>15.3084266</v>
      </c>
      <c r="AG74" s="3">
        <v>15.2435084</v>
      </c>
      <c r="AH74" s="3">
        <v>15.1788666</v>
      </c>
      <c r="AI74" s="3">
        <v>15.1142248</v>
      </c>
      <c r="AJ74" s="4">
        <f t="shared" si="1"/>
        <v>-3.4221603</v>
      </c>
    </row>
    <row r="75">
      <c r="A75" s="1" t="s">
        <v>153</v>
      </c>
      <c r="B75" s="1" t="s">
        <v>154</v>
      </c>
      <c r="C75" s="1" t="s">
        <v>7</v>
      </c>
      <c r="D75" s="1" t="s">
        <v>8</v>
      </c>
      <c r="E75" s="3">
        <v>36.2993347</v>
      </c>
      <c r="F75" s="3">
        <v>36.4568875</v>
      </c>
      <c r="G75" s="3">
        <v>36.627845</v>
      </c>
      <c r="H75" s="3">
        <v>36.7887128</v>
      </c>
      <c r="I75" s="3">
        <v>36.9534623</v>
      </c>
      <c r="J75" s="3">
        <v>37.118858</v>
      </c>
      <c r="K75" s="3">
        <v>37.2831378</v>
      </c>
      <c r="L75" s="3">
        <v>37.4490951</v>
      </c>
      <c r="M75" s="3">
        <v>37.6145898</v>
      </c>
      <c r="N75" s="3">
        <v>37.7799934</v>
      </c>
      <c r="O75" s="3">
        <v>37.9512717</v>
      </c>
      <c r="P75" s="3">
        <v>38.076696</v>
      </c>
      <c r="Q75" s="3">
        <v>38.2084599</v>
      </c>
      <c r="R75" s="3">
        <v>38.3244812</v>
      </c>
      <c r="S75" s="3">
        <v>38.4469173</v>
      </c>
      <c r="T75" s="3">
        <v>38.5701379</v>
      </c>
      <c r="U75" s="3">
        <v>38.6969579</v>
      </c>
      <c r="V75" s="3">
        <v>38.8179147</v>
      </c>
      <c r="W75" s="3">
        <v>38.9437146</v>
      </c>
      <c r="X75" s="3">
        <v>39.0552572</v>
      </c>
      <c r="Y75" s="3">
        <v>39.1625295</v>
      </c>
      <c r="Z75" s="3">
        <v>39.2461415</v>
      </c>
      <c r="AA75" s="3">
        <v>39.3807052</v>
      </c>
      <c r="AB75" s="3">
        <v>39.4494072</v>
      </c>
      <c r="AC75" s="3">
        <v>39.5189331</v>
      </c>
      <c r="AD75" s="3">
        <v>39.6072074</v>
      </c>
      <c r="AE75" s="3">
        <v>39.6565374</v>
      </c>
      <c r="AF75" s="3">
        <v>39.7104992</v>
      </c>
      <c r="AG75" s="3">
        <v>39.7205263</v>
      </c>
      <c r="AH75" s="3">
        <v>39.7661906</v>
      </c>
      <c r="AI75" s="3">
        <v>39.8116024</v>
      </c>
      <c r="AJ75" s="4">
        <f t="shared" si="1"/>
        <v>3.5122677</v>
      </c>
    </row>
    <row r="76">
      <c r="A76" s="1" t="s">
        <v>155</v>
      </c>
      <c r="B76" s="1" t="s">
        <v>156</v>
      </c>
      <c r="C76" s="1" t="s">
        <v>7</v>
      </c>
      <c r="D76" s="1" t="s">
        <v>8</v>
      </c>
      <c r="E76" s="3">
        <v>29.0077988</v>
      </c>
      <c r="F76" s="3">
        <v>28.8820147</v>
      </c>
      <c r="G76" s="3">
        <v>28.7545321</v>
      </c>
      <c r="H76" s="3">
        <v>28.6971213</v>
      </c>
      <c r="I76" s="3">
        <v>28.5657162</v>
      </c>
      <c r="J76" s="3">
        <v>28.4343111</v>
      </c>
      <c r="K76" s="3">
        <v>28.302906</v>
      </c>
      <c r="L76" s="3">
        <v>28.1715009</v>
      </c>
      <c r="M76" s="3">
        <v>28.0402979</v>
      </c>
      <c r="N76" s="3">
        <v>27.9095147</v>
      </c>
      <c r="O76" s="3">
        <v>25.4021272</v>
      </c>
      <c r="P76" s="3">
        <v>27.661162</v>
      </c>
      <c r="Q76" s="3">
        <v>27.5440341</v>
      </c>
      <c r="R76" s="3">
        <v>27.4271748</v>
      </c>
      <c r="S76" s="3">
        <v>27.108187</v>
      </c>
      <c r="T76" s="3">
        <v>26.9919748</v>
      </c>
      <c r="U76" s="3">
        <v>26.8755118</v>
      </c>
      <c r="V76" s="3">
        <v>26.7592324</v>
      </c>
      <c r="W76" s="3">
        <v>26.6433379</v>
      </c>
      <c r="X76" s="3">
        <v>26.5317518</v>
      </c>
      <c r="Y76" s="3">
        <v>24.1364592</v>
      </c>
      <c r="Z76" s="3">
        <v>24.3649107</v>
      </c>
      <c r="AA76" s="3">
        <v>24.2347801</v>
      </c>
      <c r="AB76" s="3">
        <v>24.1047954</v>
      </c>
      <c r="AC76" s="3">
        <v>23.9745273</v>
      </c>
      <c r="AD76" s="3">
        <v>23.844215</v>
      </c>
      <c r="AE76" s="3">
        <v>23.7096352</v>
      </c>
      <c r="AF76" s="3">
        <v>23.5807866</v>
      </c>
      <c r="AG76" s="3">
        <v>23.4547781</v>
      </c>
      <c r="AH76" s="3">
        <v>23.3263689</v>
      </c>
      <c r="AI76" s="3">
        <v>23.2011872</v>
      </c>
      <c r="AJ76" s="4">
        <f t="shared" si="1"/>
        <v>-5.8066116</v>
      </c>
    </row>
    <row r="77">
      <c r="A77" s="1" t="s">
        <v>157</v>
      </c>
      <c r="B77" s="1" t="s">
        <v>158</v>
      </c>
      <c r="C77" s="1" t="s">
        <v>7</v>
      </c>
      <c r="D77" s="1" t="s">
        <v>8</v>
      </c>
      <c r="E77" s="3">
        <v>71.8189369</v>
      </c>
      <c r="F77" s="3">
        <v>72.0061755</v>
      </c>
      <c r="G77" s="3">
        <v>72.1934141</v>
      </c>
      <c r="H77" s="3">
        <v>72.3806527</v>
      </c>
      <c r="I77" s="3">
        <v>72.5678913</v>
      </c>
      <c r="J77" s="3">
        <v>72.7551298</v>
      </c>
      <c r="K77" s="3">
        <v>72.9423684</v>
      </c>
      <c r="L77" s="3">
        <v>73.129607</v>
      </c>
      <c r="M77" s="3">
        <v>73.3168456</v>
      </c>
      <c r="N77" s="3">
        <v>73.5040842</v>
      </c>
      <c r="O77" s="3">
        <v>73.6913228</v>
      </c>
      <c r="P77" s="3">
        <v>73.6244657</v>
      </c>
      <c r="Q77" s="3">
        <v>73.5576086</v>
      </c>
      <c r="R77" s="3">
        <v>73.4907515</v>
      </c>
      <c r="S77" s="3">
        <v>73.4238944</v>
      </c>
      <c r="T77" s="3">
        <v>73.3570373</v>
      </c>
      <c r="U77" s="3">
        <v>73.4058597</v>
      </c>
      <c r="V77" s="3">
        <v>73.3437206</v>
      </c>
      <c r="W77" s="3">
        <v>73.3225666</v>
      </c>
      <c r="X77" s="3">
        <v>73.2555577</v>
      </c>
      <c r="Y77" s="3">
        <v>73.1885489</v>
      </c>
      <c r="Z77" s="3">
        <v>73.3008654</v>
      </c>
      <c r="AA77" s="3">
        <v>73.4107736</v>
      </c>
      <c r="AB77" s="3">
        <v>73.5206818</v>
      </c>
      <c r="AC77" s="3">
        <v>73.63059</v>
      </c>
      <c r="AD77" s="3">
        <v>73.7356454</v>
      </c>
      <c r="AE77" s="3">
        <v>73.7356454</v>
      </c>
      <c r="AF77" s="3">
        <v>73.7332193</v>
      </c>
      <c r="AG77" s="3">
        <v>73.7332193</v>
      </c>
      <c r="AH77" s="3">
        <v>73.7332193</v>
      </c>
      <c r="AI77" s="3">
        <v>73.7332193</v>
      </c>
      <c r="AJ77" s="4">
        <f t="shared" si="1"/>
        <v>1.9142824</v>
      </c>
    </row>
    <row r="78">
      <c r="A78" s="1" t="s">
        <v>159</v>
      </c>
      <c r="B78" s="1" t="s">
        <v>160</v>
      </c>
      <c r="C78" s="1" t="s">
        <v>7</v>
      </c>
      <c r="D78" s="1" t="s">
        <v>8</v>
      </c>
      <c r="E78" s="3">
        <v>51.4334975</v>
      </c>
      <c r="F78" s="3">
        <v>51.7990148</v>
      </c>
      <c r="G78" s="3">
        <v>52.164532</v>
      </c>
      <c r="H78" s="3">
        <v>52.5300493</v>
      </c>
      <c r="I78" s="3">
        <v>52.8955665</v>
      </c>
      <c r="J78" s="3">
        <v>53.2610837</v>
      </c>
      <c r="K78" s="3">
        <v>53.626601</v>
      </c>
      <c r="L78" s="3">
        <v>53.9921182</v>
      </c>
      <c r="M78" s="3">
        <v>54.3576355</v>
      </c>
      <c r="N78" s="3">
        <v>54.7231527</v>
      </c>
      <c r="O78" s="3">
        <v>55.08867</v>
      </c>
      <c r="P78" s="3">
        <v>55.4541325</v>
      </c>
      <c r="Q78" s="3">
        <v>55.819595</v>
      </c>
      <c r="R78" s="3">
        <v>56.1850575</v>
      </c>
      <c r="S78" s="3">
        <v>56.55052</v>
      </c>
      <c r="T78" s="3">
        <v>56.9159825</v>
      </c>
      <c r="U78" s="3">
        <v>57.281445</v>
      </c>
      <c r="V78" s="3">
        <v>57.6469075</v>
      </c>
      <c r="W78" s="3">
        <v>58.01237</v>
      </c>
      <c r="X78" s="3">
        <v>58.3778325</v>
      </c>
      <c r="Y78" s="3">
        <v>58.743295</v>
      </c>
      <c r="Z78" s="3">
        <v>59.1087028</v>
      </c>
      <c r="AA78" s="3">
        <v>59.4741106</v>
      </c>
      <c r="AB78" s="3">
        <v>59.8395183</v>
      </c>
      <c r="AC78" s="3">
        <v>60.2049261</v>
      </c>
      <c r="AD78" s="3">
        <v>60.5703339</v>
      </c>
      <c r="AE78" s="3">
        <v>60.9359606</v>
      </c>
      <c r="AF78" s="3">
        <v>61.3015873</v>
      </c>
      <c r="AG78" s="3">
        <v>61.667214</v>
      </c>
      <c r="AH78" s="3">
        <v>62.0328407</v>
      </c>
      <c r="AI78" s="3">
        <v>62.3984674</v>
      </c>
      <c r="AJ78" s="4">
        <f t="shared" si="1"/>
        <v>10.9649699</v>
      </c>
    </row>
    <row r="79">
      <c r="A79" s="1" t="s">
        <v>161</v>
      </c>
      <c r="B79" s="1" t="s">
        <v>162</v>
      </c>
      <c r="C79" s="1" t="s">
        <v>7</v>
      </c>
      <c r="D79" s="1" t="s">
        <v>8</v>
      </c>
      <c r="E79" s="3">
        <v>26.3639452</v>
      </c>
      <c r="F79" s="3">
        <v>26.5195428</v>
      </c>
      <c r="G79" s="3">
        <v>26.6751405</v>
      </c>
      <c r="H79" s="3">
        <v>26.8307382</v>
      </c>
      <c r="I79" s="3">
        <v>26.9863359</v>
      </c>
      <c r="J79" s="3">
        <v>27.1419336</v>
      </c>
      <c r="K79" s="3">
        <v>27.2975313</v>
      </c>
      <c r="L79" s="3">
        <v>27.4531289</v>
      </c>
      <c r="M79" s="3">
        <v>27.6087266</v>
      </c>
      <c r="N79" s="3">
        <v>27.7643243</v>
      </c>
      <c r="O79" s="3">
        <v>27.919871</v>
      </c>
      <c r="P79" s="3">
        <v>28.1264211</v>
      </c>
      <c r="Q79" s="3">
        <v>28.3329711</v>
      </c>
      <c r="R79" s="3">
        <v>28.5238936</v>
      </c>
      <c r="S79" s="3">
        <v>28.7460713</v>
      </c>
      <c r="T79" s="3">
        <v>28.9531501</v>
      </c>
      <c r="U79" s="3">
        <v>29.1597039</v>
      </c>
      <c r="V79" s="3">
        <v>29.3662578</v>
      </c>
      <c r="W79" s="3">
        <v>29.5728116</v>
      </c>
      <c r="X79" s="3">
        <v>29.7793654</v>
      </c>
      <c r="Y79" s="3">
        <v>29.9859193</v>
      </c>
      <c r="Z79" s="3">
        <v>30.1382322</v>
      </c>
      <c r="AA79" s="3">
        <v>30.2905451</v>
      </c>
      <c r="AB79" s="3">
        <v>30.442858</v>
      </c>
      <c r="AC79" s="3">
        <v>30.5951709</v>
      </c>
      <c r="AD79" s="3">
        <v>30.7474838</v>
      </c>
      <c r="AE79" s="3">
        <v>30.8997967</v>
      </c>
      <c r="AF79" s="3">
        <v>31.0521096</v>
      </c>
      <c r="AG79" s="3">
        <v>31.2044226</v>
      </c>
      <c r="AH79" s="3">
        <v>31.3567355</v>
      </c>
      <c r="AI79" s="3">
        <v>31.5090484</v>
      </c>
      <c r="AJ79" s="4">
        <f t="shared" si="1"/>
        <v>5.1451032</v>
      </c>
    </row>
    <row r="80">
      <c r="A80" s="1" t="s">
        <v>163</v>
      </c>
      <c r="B80" s="1" t="s">
        <v>164</v>
      </c>
      <c r="C80" s="1" t="s">
        <v>7</v>
      </c>
      <c r="D80" s="1" t="s">
        <v>8</v>
      </c>
      <c r="E80" s="3">
        <v>0.05730659</v>
      </c>
      <c r="F80" s="3">
        <v>0.05730659</v>
      </c>
      <c r="G80" s="3">
        <v>0.05730659</v>
      </c>
      <c r="H80" s="3">
        <v>0.05730659</v>
      </c>
      <c r="I80" s="3">
        <v>0.05730659</v>
      </c>
      <c r="J80" s="3">
        <v>0.05730659</v>
      </c>
      <c r="K80" s="3">
        <v>0.05730659</v>
      </c>
      <c r="L80" s="3">
        <v>0.05730659</v>
      </c>
      <c r="M80" s="3">
        <v>0.05730659</v>
      </c>
      <c r="N80" s="3">
        <v>0.05730659</v>
      </c>
      <c r="O80" s="3">
        <v>0.05730659</v>
      </c>
      <c r="P80" s="3">
        <v>0.05730659</v>
      </c>
      <c r="Q80" s="3">
        <v>0.05730659</v>
      </c>
      <c r="R80" s="3">
        <v>0.05730659</v>
      </c>
      <c r="S80" s="3">
        <v>0.05730659</v>
      </c>
      <c r="T80" s="3">
        <v>0.05730659</v>
      </c>
      <c r="U80" s="3">
        <v>0.05730659</v>
      </c>
      <c r="V80" s="3">
        <v>0.05730659</v>
      </c>
      <c r="W80" s="3">
        <v>0.05730659</v>
      </c>
      <c r="X80" s="3">
        <v>0.05730659</v>
      </c>
      <c r="Y80" s="3">
        <v>0.05730659</v>
      </c>
      <c r="Z80" s="3">
        <v>0.05730659</v>
      </c>
      <c r="AA80" s="3">
        <v>0.05730659</v>
      </c>
      <c r="AB80" s="3">
        <v>0.05730659</v>
      </c>
      <c r="AC80" s="3">
        <v>0.05730659</v>
      </c>
      <c r="AD80" s="3">
        <v>0.05730659</v>
      </c>
      <c r="AE80" s="3">
        <v>0.05730659</v>
      </c>
      <c r="AF80" s="3">
        <v>0.05730659</v>
      </c>
      <c r="AG80" s="3">
        <v>0.05730659</v>
      </c>
      <c r="AH80" s="3">
        <v>0.05730659</v>
      </c>
      <c r="AI80" s="3">
        <v>0.05730659</v>
      </c>
      <c r="AJ80" s="4">
        <f t="shared" si="1"/>
        <v>0</v>
      </c>
    </row>
    <row r="81">
      <c r="A81" s="1" t="s">
        <v>165</v>
      </c>
      <c r="B81" s="1" t="s">
        <v>166</v>
      </c>
      <c r="C81" s="1" t="s">
        <v>7</v>
      </c>
      <c r="D81" s="1" t="s">
        <v>8</v>
      </c>
      <c r="E81" s="5"/>
      <c r="F81" s="3">
        <v>90.8685714</v>
      </c>
      <c r="G81" s="3">
        <v>90.9085714</v>
      </c>
      <c r="H81" s="3">
        <v>90.9485714</v>
      </c>
      <c r="I81" s="3">
        <v>90.9885714</v>
      </c>
      <c r="J81" s="3">
        <v>91.0285714</v>
      </c>
      <c r="K81" s="3">
        <v>91.0685714</v>
      </c>
      <c r="L81" s="3">
        <v>91.1085714</v>
      </c>
      <c r="M81" s="3">
        <v>91.1485714</v>
      </c>
      <c r="N81" s="3">
        <v>91.1885714</v>
      </c>
      <c r="O81" s="3">
        <v>91.2285714</v>
      </c>
      <c r="P81" s="3">
        <v>91.2671429</v>
      </c>
      <c r="Q81" s="3">
        <v>91.3057143</v>
      </c>
      <c r="R81" s="3">
        <v>91.3442857</v>
      </c>
      <c r="S81" s="3">
        <v>91.3828571</v>
      </c>
      <c r="T81" s="3">
        <v>91.4214286</v>
      </c>
      <c r="U81" s="3">
        <v>91.46</v>
      </c>
      <c r="V81" s="3">
        <v>91.4985714</v>
      </c>
      <c r="W81" s="3">
        <v>91.5371429</v>
      </c>
      <c r="X81" s="3">
        <v>91.5757143</v>
      </c>
      <c r="Y81" s="3">
        <v>91.6142857</v>
      </c>
      <c r="Z81" s="3">
        <v>91.6542857</v>
      </c>
      <c r="AA81" s="3">
        <v>91.6942857</v>
      </c>
      <c r="AB81" s="3">
        <v>91.7342857</v>
      </c>
      <c r="AC81" s="3">
        <v>91.7742857</v>
      </c>
      <c r="AD81" s="3">
        <v>91.8142857</v>
      </c>
      <c r="AE81" s="3">
        <v>91.8571429</v>
      </c>
      <c r="AF81" s="3">
        <v>91.9</v>
      </c>
      <c r="AG81" s="3">
        <v>91.9428571</v>
      </c>
      <c r="AH81" s="3">
        <v>91.9857143</v>
      </c>
      <c r="AI81" s="3">
        <v>92.0285714</v>
      </c>
      <c r="AJ81" s="4">
        <f>AI81-F81</f>
        <v>1.16</v>
      </c>
    </row>
    <row r="82">
      <c r="A82" s="1" t="s">
        <v>167</v>
      </c>
      <c r="B82" s="1" t="s">
        <v>168</v>
      </c>
      <c r="C82" s="1" t="s">
        <v>7</v>
      </c>
      <c r="D82" s="1" t="s">
        <v>8</v>
      </c>
      <c r="E82" s="3">
        <v>92.2172546</v>
      </c>
      <c r="F82" s="3">
        <v>92.1933403</v>
      </c>
      <c r="G82" s="3">
        <v>92.169426</v>
      </c>
      <c r="H82" s="3">
        <v>92.1455117</v>
      </c>
      <c r="I82" s="3">
        <v>92.1215974</v>
      </c>
      <c r="J82" s="3">
        <v>92.0976831</v>
      </c>
      <c r="K82" s="3">
        <v>92.0737688</v>
      </c>
      <c r="L82" s="3">
        <v>92.0498545</v>
      </c>
      <c r="M82" s="3">
        <v>92.0259402</v>
      </c>
      <c r="N82" s="3">
        <v>92.0020258</v>
      </c>
      <c r="O82" s="3">
        <v>91.9781115</v>
      </c>
      <c r="P82" s="3">
        <v>91.9584779</v>
      </c>
      <c r="Q82" s="3">
        <v>91.9388443</v>
      </c>
      <c r="R82" s="3">
        <v>91.9192106</v>
      </c>
      <c r="S82" s="3">
        <v>91.899577</v>
      </c>
      <c r="T82" s="3">
        <v>91.8799433</v>
      </c>
      <c r="U82" s="3">
        <v>91.8603097</v>
      </c>
      <c r="V82" s="3">
        <v>91.8406761</v>
      </c>
      <c r="W82" s="3">
        <v>91.8210424</v>
      </c>
      <c r="X82" s="3">
        <v>91.8014088</v>
      </c>
      <c r="Y82" s="3">
        <v>91.7817751</v>
      </c>
      <c r="Z82" s="3">
        <v>91.7356619</v>
      </c>
      <c r="AA82" s="3">
        <v>91.6895486</v>
      </c>
      <c r="AB82" s="3">
        <v>91.6434354</v>
      </c>
      <c r="AC82" s="3">
        <v>91.5973222</v>
      </c>
      <c r="AD82" s="3">
        <v>91.5512089</v>
      </c>
      <c r="AE82" s="3">
        <v>91.5051034</v>
      </c>
      <c r="AF82" s="3">
        <v>91.4589979</v>
      </c>
      <c r="AG82" s="3">
        <v>91.4128925</v>
      </c>
      <c r="AH82" s="3">
        <v>91.366787</v>
      </c>
      <c r="AI82" s="3">
        <v>91.3206815</v>
      </c>
      <c r="AJ82" s="4">
        <f t="shared" ref="AJ82:AJ143" si="2">AI82-E82</f>
        <v>-0.8965731</v>
      </c>
    </row>
    <row r="83">
      <c r="A83" s="1" t="s">
        <v>169</v>
      </c>
      <c r="B83" s="1" t="s">
        <v>170</v>
      </c>
      <c r="C83" s="1" t="s">
        <v>7</v>
      </c>
      <c r="D83" s="1" t="s">
        <v>8</v>
      </c>
      <c r="E83" s="3">
        <v>11.4826603</v>
      </c>
      <c r="F83" s="3">
        <v>11.5554086</v>
      </c>
      <c r="G83" s="3">
        <v>11.6281569</v>
      </c>
      <c r="H83" s="3">
        <v>11.7009052</v>
      </c>
      <c r="I83" s="3">
        <v>11.7736535</v>
      </c>
      <c r="J83" s="3">
        <v>11.8464019</v>
      </c>
      <c r="K83" s="3">
        <v>11.9191502</v>
      </c>
      <c r="L83" s="3">
        <v>11.9918985</v>
      </c>
      <c r="M83" s="3">
        <v>12.0646468</v>
      </c>
      <c r="N83" s="3">
        <v>12.1373951</v>
      </c>
      <c r="O83" s="3">
        <v>12.2101434</v>
      </c>
      <c r="P83" s="3">
        <v>12.2535444</v>
      </c>
      <c r="Q83" s="3">
        <v>12.2969454</v>
      </c>
      <c r="R83" s="3">
        <v>12.3403464</v>
      </c>
      <c r="S83" s="3">
        <v>12.3837474</v>
      </c>
      <c r="T83" s="3">
        <v>12.4271483</v>
      </c>
      <c r="U83" s="3">
        <v>12.4705493</v>
      </c>
      <c r="V83" s="3">
        <v>12.5139503</v>
      </c>
      <c r="W83" s="3">
        <v>12.5573513</v>
      </c>
      <c r="X83" s="3">
        <v>12.6007523</v>
      </c>
      <c r="Y83" s="3">
        <v>12.6441533</v>
      </c>
      <c r="Z83" s="3">
        <v>12.7235151</v>
      </c>
      <c r="AA83" s="3">
        <v>12.8028769</v>
      </c>
      <c r="AB83" s="3">
        <v>12.8822387</v>
      </c>
      <c r="AC83" s="3">
        <v>12.9616005</v>
      </c>
      <c r="AD83" s="3">
        <v>13.0409623</v>
      </c>
      <c r="AE83" s="3">
        <v>13.057496</v>
      </c>
      <c r="AF83" s="3">
        <v>13.0781631</v>
      </c>
      <c r="AG83" s="3">
        <v>13.1153639</v>
      </c>
      <c r="AH83" s="3">
        <v>13.1525648</v>
      </c>
      <c r="AI83" s="3">
        <v>13.1856322</v>
      </c>
      <c r="AJ83" s="4">
        <f t="shared" si="2"/>
        <v>1.7029719</v>
      </c>
    </row>
    <row r="84">
      <c r="A84" s="1" t="s">
        <v>171</v>
      </c>
      <c r="B84" s="1" t="s">
        <v>172</v>
      </c>
      <c r="C84" s="1" t="s">
        <v>7</v>
      </c>
      <c r="D84" s="1" t="s">
        <v>8</v>
      </c>
      <c r="E84" s="3">
        <v>39.6028205</v>
      </c>
      <c r="F84" s="3">
        <v>39.6028205</v>
      </c>
      <c r="G84" s="3">
        <v>39.631026</v>
      </c>
      <c r="H84" s="3">
        <v>39.6429702</v>
      </c>
      <c r="I84" s="3">
        <v>39.6549144</v>
      </c>
      <c r="J84" s="3">
        <v>39.6668585</v>
      </c>
      <c r="K84" s="3">
        <v>39.6788027</v>
      </c>
      <c r="L84" s="3">
        <v>39.6907469</v>
      </c>
      <c r="M84" s="3">
        <v>39.702691</v>
      </c>
      <c r="N84" s="3">
        <v>39.7146352</v>
      </c>
      <c r="O84" s="3">
        <v>39.7265794</v>
      </c>
      <c r="P84" s="3">
        <v>39.815513</v>
      </c>
      <c r="Q84" s="3">
        <v>39.9044467</v>
      </c>
      <c r="R84" s="3">
        <v>39.9933803</v>
      </c>
      <c r="S84" s="3">
        <v>40.082314</v>
      </c>
      <c r="T84" s="3">
        <v>40.1712477</v>
      </c>
      <c r="U84" s="3">
        <v>40.2601813</v>
      </c>
      <c r="V84" s="3">
        <v>40.349115</v>
      </c>
      <c r="W84" s="3">
        <v>40.4380486</v>
      </c>
      <c r="X84" s="3">
        <v>40.5269823</v>
      </c>
      <c r="Y84" s="3">
        <v>40.615916</v>
      </c>
      <c r="Z84" s="3">
        <v>40.615916</v>
      </c>
      <c r="AA84" s="3">
        <v>40.615916</v>
      </c>
      <c r="AB84" s="3">
        <v>40.615916</v>
      </c>
      <c r="AC84" s="3">
        <v>40.615916</v>
      </c>
      <c r="AD84" s="3">
        <v>40.615916</v>
      </c>
      <c r="AE84" s="3">
        <v>40.615916</v>
      </c>
      <c r="AF84" s="3">
        <v>40.615916</v>
      </c>
      <c r="AG84" s="3">
        <v>40.615916</v>
      </c>
      <c r="AH84" s="3">
        <v>40.615916</v>
      </c>
      <c r="AI84" s="3">
        <v>40.615916</v>
      </c>
      <c r="AJ84" s="4">
        <f t="shared" si="2"/>
        <v>1.0130955</v>
      </c>
    </row>
    <row r="85">
      <c r="A85" s="1" t="s">
        <v>173</v>
      </c>
      <c r="B85" s="1" t="s">
        <v>174</v>
      </c>
      <c r="C85" s="1" t="s">
        <v>7</v>
      </c>
      <c r="D85" s="1" t="s">
        <v>8</v>
      </c>
      <c r="E85" s="3">
        <v>43.6154522</v>
      </c>
      <c r="F85" s="3">
        <v>43.1427222</v>
      </c>
      <c r="G85" s="3">
        <v>42.6699921</v>
      </c>
      <c r="H85" s="3">
        <v>42.197262</v>
      </c>
      <c r="I85" s="3">
        <v>41.724532</v>
      </c>
      <c r="J85" s="3">
        <v>41.2518019</v>
      </c>
      <c r="K85" s="3">
        <v>40.7790718</v>
      </c>
      <c r="L85" s="3">
        <v>40.3063417</v>
      </c>
      <c r="M85" s="3">
        <v>39.8336117</v>
      </c>
      <c r="N85" s="3">
        <v>39.3608816</v>
      </c>
      <c r="O85" s="3">
        <v>38.8881515</v>
      </c>
      <c r="P85" s="3">
        <v>38.4901204</v>
      </c>
      <c r="Q85" s="3">
        <v>38.0920893</v>
      </c>
      <c r="R85" s="3">
        <v>37.6940582</v>
      </c>
      <c r="S85" s="3">
        <v>37.2960271</v>
      </c>
      <c r="T85" s="3">
        <v>36.897996</v>
      </c>
      <c r="U85" s="3">
        <v>36.4999648</v>
      </c>
      <c r="V85" s="3">
        <v>36.1019337</v>
      </c>
      <c r="W85" s="3">
        <v>35.7039026</v>
      </c>
      <c r="X85" s="3">
        <v>35.3058715</v>
      </c>
      <c r="Y85" s="3">
        <v>34.9078404</v>
      </c>
      <c r="Z85" s="3">
        <v>34.8529138</v>
      </c>
      <c r="AA85" s="3">
        <v>34.7979872</v>
      </c>
      <c r="AB85" s="3">
        <v>34.7430606</v>
      </c>
      <c r="AC85" s="3">
        <v>34.688134</v>
      </c>
      <c r="AD85" s="3">
        <v>34.6332073</v>
      </c>
      <c r="AE85" s="3">
        <v>34.8169113</v>
      </c>
      <c r="AF85" s="3">
        <v>35.0006153</v>
      </c>
      <c r="AG85" s="3">
        <v>35.032346</v>
      </c>
      <c r="AH85" s="3">
        <v>35.0640766</v>
      </c>
      <c r="AI85" s="3">
        <v>35.0958513</v>
      </c>
      <c r="AJ85" s="4">
        <f t="shared" si="2"/>
        <v>-8.5196009</v>
      </c>
    </row>
    <row r="86">
      <c r="A86" s="1" t="s">
        <v>175</v>
      </c>
      <c r="B86" s="1" t="s">
        <v>176</v>
      </c>
      <c r="C86" s="1" t="s">
        <v>7</v>
      </c>
      <c r="D86" s="1" t="s">
        <v>8</v>
      </c>
      <c r="E86" s="3">
        <v>0.0</v>
      </c>
      <c r="F86" s="3">
        <v>0.0</v>
      </c>
      <c r="G86" s="3">
        <v>0.0</v>
      </c>
      <c r="H86" s="3">
        <v>0.0</v>
      </c>
      <c r="I86" s="3">
        <v>0.0</v>
      </c>
      <c r="J86" s="3">
        <v>0.0</v>
      </c>
      <c r="K86" s="3">
        <v>0.0</v>
      </c>
      <c r="L86" s="3">
        <v>0.0</v>
      </c>
      <c r="M86" s="3">
        <v>0.0</v>
      </c>
      <c r="N86" s="3">
        <v>0.0</v>
      </c>
      <c r="O86" s="3">
        <v>0.0</v>
      </c>
      <c r="P86" s="3">
        <v>0.0</v>
      </c>
      <c r="Q86" s="3">
        <v>0.0</v>
      </c>
      <c r="R86" s="3">
        <v>0.0</v>
      </c>
      <c r="S86" s="3">
        <v>0.0</v>
      </c>
      <c r="T86" s="3">
        <v>0.0</v>
      </c>
      <c r="U86" s="3">
        <v>0.0</v>
      </c>
      <c r="V86" s="3">
        <v>0.0</v>
      </c>
      <c r="W86" s="3">
        <v>0.0</v>
      </c>
      <c r="X86" s="3">
        <v>0.0</v>
      </c>
      <c r="Y86" s="3">
        <v>0.0</v>
      </c>
      <c r="Z86" s="3">
        <v>0.0</v>
      </c>
      <c r="AA86" s="3">
        <v>0.0</v>
      </c>
      <c r="AB86" s="3">
        <v>0.0</v>
      </c>
      <c r="AC86" s="3">
        <v>0.0</v>
      </c>
      <c r="AD86" s="3">
        <v>0.0</v>
      </c>
      <c r="AE86" s="3">
        <v>0.0</v>
      </c>
      <c r="AF86" s="3">
        <v>0.0</v>
      </c>
      <c r="AG86" s="3">
        <v>0.0</v>
      </c>
      <c r="AH86" s="5"/>
      <c r="AI86" s="5"/>
      <c r="AJ86" s="4">
        <f t="shared" si="2"/>
        <v>0</v>
      </c>
    </row>
    <row r="87">
      <c r="A87" s="1" t="s">
        <v>177</v>
      </c>
      <c r="B87" s="1" t="s">
        <v>178</v>
      </c>
      <c r="C87" s="1" t="s">
        <v>7</v>
      </c>
      <c r="D87" s="1" t="s">
        <v>8</v>
      </c>
      <c r="E87" s="3">
        <v>29.6109393</v>
      </c>
      <c r="F87" s="3">
        <v>29.4697216</v>
      </c>
      <c r="G87" s="3">
        <v>29.328504</v>
      </c>
      <c r="H87" s="3">
        <v>29.1872863</v>
      </c>
      <c r="I87" s="3">
        <v>29.0460687</v>
      </c>
      <c r="J87" s="3">
        <v>28.904851</v>
      </c>
      <c r="K87" s="3">
        <v>28.7636334</v>
      </c>
      <c r="L87" s="3">
        <v>28.6224158</v>
      </c>
      <c r="M87" s="3">
        <v>28.4811981</v>
      </c>
      <c r="N87" s="3">
        <v>28.3399805</v>
      </c>
      <c r="O87" s="3">
        <v>28.1987628</v>
      </c>
      <c r="P87" s="3">
        <v>28.0522546</v>
      </c>
      <c r="Q87" s="3">
        <v>27.9057464</v>
      </c>
      <c r="R87" s="3">
        <v>27.7592382</v>
      </c>
      <c r="S87" s="3">
        <v>27.6127299</v>
      </c>
      <c r="T87" s="3">
        <v>27.4662217</v>
      </c>
      <c r="U87" s="3">
        <v>27.3197135</v>
      </c>
      <c r="V87" s="3">
        <v>27.1732053</v>
      </c>
      <c r="W87" s="3">
        <v>27.0266971</v>
      </c>
      <c r="X87" s="3">
        <v>26.8801888</v>
      </c>
      <c r="Y87" s="3">
        <v>26.7336806</v>
      </c>
      <c r="Z87" s="3">
        <v>26.5871724</v>
      </c>
      <c r="AA87" s="3">
        <v>26.4406642</v>
      </c>
      <c r="AB87" s="3">
        <v>26.2941559</v>
      </c>
      <c r="AC87" s="3">
        <v>26.1476477</v>
      </c>
      <c r="AD87" s="3">
        <v>26.0011395</v>
      </c>
      <c r="AE87" s="3">
        <v>25.8383526</v>
      </c>
      <c r="AF87" s="3">
        <v>25.6755657</v>
      </c>
      <c r="AG87" s="3">
        <v>25.5127788</v>
      </c>
      <c r="AH87" s="3">
        <v>25.3499919</v>
      </c>
      <c r="AI87" s="3">
        <v>25.1872049</v>
      </c>
      <c r="AJ87" s="4">
        <f t="shared" si="2"/>
        <v>-4.4237344</v>
      </c>
    </row>
    <row r="88">
      <c r="A88" s="1" t="s">
        <v>179</v>
      </c>
      <c r="B88" s="1" t="s">
        <v>180</v>
      </c>
      <c r="C88" s="1" t="s">
        <v>7</v>
      </c>
      <c r="D88" s="1" t="s">
        <v>8</v>
      </c>
      <c r="E88" s="3">
        <v>40.9743083</v>
      </c>
      <c r="F88" s="3">
        <v>40.4078063</v>
      </c>
      <c r="G88" s="3">
        <v>39.8413043</v>
      </c>
      <c r="H88" s="3">
        <v>39.2748024</v>
      </c>
      <c r="I88" s="3">
        <v>38.7083004</v>
      </c>
      <c r="J88" s="3">
        <v>38.1417984</v>
      </c>
      <c r="K88" s="3">
        <v>37.5752964</v>
      </c>
      <c r="L88" s="3">
        <v>37.0087945</v>
      </c>
      <c r="M88" s="3">
        <v>36.4422925</v>
      </c>
      <c r="N88" s="3">
        <v>35.8757905</v>
      </c>
      <c r="O88" s="3">
        <v>35.3092885</v>
      </c>
      <c r="P88" s="3">
        <v>34.7427866</v>
      </c>
      <c r="Q88" s="3">
        <v>34.1762846</v>
      </c>
      <c r="R88" s="3">
        <v>33.6097826</v>
      </c>
      <c r="S88" s="3">
        <v>33.0432806</v>
      </c>
      <c r="T88" s="3">
        <v>32.4767787</v>
      </c>
      <c r="U88" s="3">
        <v>31.9102767</v>
      </c>
      <c r="V88" s="3">
        <v>31.3437747</v>
      </c>
      <c r="W88" s="3">
        <v>30.7772727</v>
      </c>
      <c r="X88" s="3">
        <v>30.2107708</v>
      </c>
      <c r="Y88" s="3">
        <v>29.6442688</v>
      </c>
      <c r="Z88" s="3">
        <v>29.0778656</v>
      </c>
      <c r="AA88" s="3">
        <v>28.5114625</v>
      </c>
      <c r="AB88" s="3">
        <v>27.9450593</v>
      </c>
      <c r="AC88" s="3">
        <v>27.3786561</v>
      </c>
      <c r="AD88" s="3">
        <v>26.812253</v>
      </c>
      <c r="AE88" s="3">
        <v>26.2450593</v>
      </c>
      <c r="AF88" s="3">
        <v>25.6788538</v>
      </c>
      <c r="AG88" s="3">
        <v>25.1126482</v>
      </c>
      <c r="AH88" s="3">
        <v>24.5454545</v>
      </c>
      <c r="AI88" s="3">
        <v>23.979249</v>
      </c>
      <c r="AJ88" s="4">
        <f t="shared" si="2"/>
        <v>-16.9950593</v>
      </c>
    </row>
    <row r="89">
      <c r="A89" s="1" t="s">
        <v>181</v>
      </c>
      <c r="B89" s="1" t="s">
        <v>182</v>
      </c>
      <c r="C89" s="1" t="s">
        <v>7</v>
      </c>
      <c r="D89" s="1" t="s">
        <v>8</v>
      </c>
      <c r="E89" s="3">
        <v>79.4214083</v>
      </c>
      <c r="F89" s="3">
        <v>79.1210882</v>
      </c>
      <c r="G89" s="3">
        <v>78.8207681</v>
      </c>
      <c r="H89" s="3">
        <v>78.5204481</v>
      </c>
      <c r="I89" s="3">
        <v>78.220128</v>
      </c>
      <c r="J89" s="3">
        <v>77.919808</v>
      </c>
      <c r="K89" s="3">
        <v>77.6194879</v>
      </c>
      <c r="L89" s="3">
        <v>77.3191679</v>
      </c>
      <c r="M89" s="3">
        <v>77.0188478</v>
      </c>
      <c r="N89" s="3">
        <v>76.7185277</v>
      </c>
      <c r="O89" s="3">
        <v>76.4182077</v>
      </c>
      <c r="P89" s="3">
        <v>76.1178876</v>
      </c>
      <c r="Q89" s="3">
        <v>75.8175676</v>
      </c>
      <c r="R89" s="3">
        <v>75.5172475</v>
      </c>
      <c r="S89" s="3">
        <v>75.2169275</v>
      </c>
      <c r="T89" s="3">
        <v>74.9166074</v>
      </c>
      <c r="U89" s="3">
        <v>74.6162873</v>
      </c>
      <c r="V89" s="3">
        <v>74.3159673</v>
      </c>
      <c r="W89" s="3">
        <v>74.0156472</v>
      </c>
      <c r="X89" s="3">
        <v>73.7153272</v>
      </c>
      <c r="Y89" s="3">
        <v>73.4150071</v>
      </c>
      <c r="Z89" s="3">
        <v>73.1147226</v>
      </c>
      <c r="AA89" s="3">
        <v>72.8144381</v>
      </c>
      <c r="AB89" s="3">
        <v>72.5141536</v>
      </c>
      <c r="AC89" s="3">
        <v>72.2138691</v>
      </c>
      <c r="AD89" s="3">
        <v>71.9135846</v>
      </c>
      <c r="AE89" s="3">
        <v>71.6134424</v>
      </c>
      <c r="AF89" s="3">
        <v>71.3133001</v>
      </c>
      <c r="AG89" s="3">
        <v>71.0131579</v>
      </c>
      <c r="AH89" s="3">
        <v>70.7130156</v>
      </c>
      <c r="AI89" s="3">
        <v>70.4128734</v>
      </c>
      <c r="AJ89" s="4">
        <f t="shared" si="2"/>
        <v>-9.0085349</v>
      </c>
    </row>
    <row r="90">
      <c r="A90" s="1" t="s">
        <v>183</v>
      </c>
      <c r="B90" s="1" t="s">
        <v>184</v>
      </c>
      <c r="C90" s="1" t="s">
        <v>7</v>
      </c>
      <c r="D90" s="1" t="s">
        <v>8</v>
      </c>
      <c r="E90" s="3">
        <v>96.2263815</v>
      </c>
      <c r="F90" s="3">
        <v>95.9284492</v>
      </c>
      <c r="G90" s="3">
        <v>95.6305169</v>
      </c>
      <c r="H90" s="3">
        <v>95.3325847</v>
      </c>
      <c r="I90" s="3">
        <v>95.0346524</v>
      </c>
      <c r="J90" s="3">
        <v>94.7367201</v>
      </c>
      <c r="K90" s="3">
        <v>94.4387879</v>
      </c>
      <c r="L90" s="3">
        <v>94.1408556</v>
      </c>
      <c r="M90" s="3">
        <v>93.8429234</v>
      </c>
      <c r="N90" s="3">
        <v>93.5449911</v>
      </c>
      <c r="O90" s="3">
        <v>93.2470588</v>
      </c>
      <c r="P90" s="3">
        <v>92.9491266</v>
      </c>
      <c r="Q90" s="3">
        <v>92.6511943</v>
      </c>
      <c r="R90" s="3">
        <v>92.353262</v>
      </c>
      <c r="S90" s="3">
        <v>92.0553298</v>
      </c>
      <c r="T90" s="3">
        <v>91.7573975</v>
      </c>
      <c r="U90" s="3">
        <v>91.4594652</v>
      </c>
      <c r="V90" s="3">
        <v>91.161533</v>
      </c>
      <c r="W90" s="3">
        <v>90.8636007</v>
      </c>
      <c r="X90" s="3">
        <v>90.5656684</v>
      </c>
      <c r="Y90" s="3">
        <v>90.2677362</v>
      </c>
      <c r="Z90" s="3">
        <v>89.9697683</v>
      </c>
      <c r="AA90" s="3">
        <v>89.6718004</v>
      </c>
      <c r="AB90" s="3">
        <v>89.3738324</v>
      </c>
      <c r="AC90" s="3">
        <v>89.0758645</v>
      </c>
      <c r="AD90" s="3">
        <v>88.7778966</v>
      </c>
      <c r="AE90" s="3">
        <v>88.4798574</v>
      </c>
      <c r="AF90" s="3">
        <v>88.1818182</v>
      </c>
      <c r="AG90" s="3">
        <v>87.883779</v>
      </c>
      <c r="AH90" s="3">
        <v>87.5857398</v>
      </c>
      <c r="AI90" s="3">
        <v>87.2877005</v>
      </c>
      <c r="AJ90" s="4">
        <f t="shared" si="2"/>
        <v>-8.938681</v>
      </c>
    </row>
    <row r="91">
      <c r="A91" s="1" t="s">
        <v>185</v>
      </c>
      <c r="B91" s="1" t="s">
        <v>186</v>
      </c>
      <c r="C91" s="1" t="s">
        <v>7</v>
      </c>
      <c r="D91" s="1" t="s">
        <v>8</v>
      </c>
      <c r="E91" s="3">
        <v>25.59</v>
      </c>
      <c r="F91" s="3">
        <v>25.8240411</v>
      </c>
      <c r="G91" s="3">
        <v>26.0580815</v>
      </c>
      <c r="H91" s="3">
        <v>26.2921226</v>
      </c>
      <c r="I91" s="3">
        <v>26.5261629</v>
      </c>
      <c r="J91" s="3">
        <v>26.760204</v>
      </c>
      <c r="K91" s="3">
        <v>26.9942452</v>
      </c>
      <c r="L91" s="3">
        <v>27.2282855</v>
      </c>
      <c r="M91" s="3">
        <v>27.4623266</v>
      </c>
      <c r="N91" s="3">
        <v>27.696367</v>
      </c>
      <c r="O91" s="3">
        <v>27.9304081</v>
      </c>
      <c r="P91" s="3">
        <v>28.164367</v>
      </c>
      <c r="Q91" s="3">
        <v>28.3983266</v>
      </c>
      <c r="R91" s="3">
        <v>28.6322855</v>
      </c>
      <c r="S91" s="3">
        <v>28.8662452</v>
      </c>
      <c r="T91" s="3">
        <v>29.100204</v>
      </c>
      <c r="U91" s="3">
        <v>29.3341629</v>
      </c>
      <c r="V91" s="3">
        <v>29.5681226</v>
      </c>
      <c r="W91" s="3">
        <v>29.8020815</v>
      </c>
      <c r="X91" s="3">
        <v>30.0360411</v>
      </c>
      <c r="Y91" s="3">
        <v>30.27</v>
      </c>
      <c r="Z91" s="3">
        <v>30.27</v>
      </c>
      <c r="AA91" s="3">
        <v>30.27</v>
      </c>
      <c r="AB91" s="3">
        <v>30.27</v>
      </c>
      <c r="AC91" s="3">
        <v>30.27</v>
      </c>
      <c r="AD91" s="3">
        <v>30.27</v>
      </c>
      <c r="AE91" s="3">
        <v>30.2699767</v>
      </c>
      <c r="AF91" s="3">
        <v>30.2699767</v>
      </c>
      <c r="AG91" s="3">
        <v>30.2699767</v>
      </c>
      <c r="AH91" s="3">
        <v>30.2699767</v>
      </c>
      <c r="AI91" s="3">
        <v>30.2699767</v>
      </c>
      <c r="AJ91" s="4">
        <f t="shared" si="2"/>
        <v>4.6799767</v>
      </c>
    </row>
    <row r="92">
      <c r="A92" s="1" t="s">
        <v>187</v>
      </c>
      <c r="B92" s="1" t="s">
        <v>188</v>
      </c>
      <c r="C92" s="1" t="s">
        <v>7</v>
      </c>
      <c r="D92" s="1" t="s">
        <v>8</v>
      </c>
      <c r="E92" s="3">
        <v>52.0588235</v>
      </c>
      <c r="F92" s="3">
        <v>52.0588235</v>
      </c>
      <c r="G92" s="3">
        <v>52.0588235</v>
      </c>
      <c r="H92" s="3">
        <v>52.0588235</v>
      </c>
      <c r="I92" s="3">
        <v>52.0588235</v>
      </c>
      <c r="J92" s="3">
        <v>52.0588235</v>
      </c>
      <c r="K92" s="3">
        <v>52.0588235</v>
      </c>
      <c r="L92" s="3">
        <v>52.0588235</v>
      </c>
      <c r="M92" s="3">
        <v>52.0588235</v>
      </c>
      <c r="N92" s="3">
        <v>52.0588235</v>
      </c>
      <c r="O92" s="3">
        <v>52.0588235</v>
      </c>
      <c r="P92" s="3">
        <v>52.0588235</v>
      </c>
      <c r="Q92" s="3">
        <v>52.0588235</v>
      </c>
      <c r="R92" s="3">
        <v>52.0588235</v>
      </c>
      <c r="S92" s="3">
        <v>52.0588235</v>
      </c>
      <c r="T92" s="3">
        <v>52.0588235</v>
      </c>
      <c r="U92" s="3">
        <v>52.0588235</v>
      </c>
      <c r="V92" s="3">
        <v>52.0588235</v>
      </c>
      <c r="W92" s="3">
        <v>52.0588235</v>
      </c>
      <c r="X92" s="3">
        <v>52.0588235</v>
      </c>
      <c r="Y92" s="3">
        <v>52.0588235</v>
      </c>
      <c r="Z92" s="3">
        <v>52.0588235</v>
      </c>
      <c r="AA92" s="3">
        <v>52.0588235</v>
      </c>
      <c r="AB92" s="3">
        <v>52.0588235</v>
      </c>
      <c r="AC92" s="3">
        <v>52.0588235</v>
      </c>
      <c r="AD92" s="3">
        <v>52.0588235</v>
      </c>
      <c r="AE92" s="3">
        <v>52.0588235</v>
      </c>
      <c r="AF92" s="3">
        <v>52.0588235</v>
      </c>
      <c r="AG92" s="3">
        <v>52.0588235</v>
      </c>
      <c r="AH92" s="3">
        <v>52.0588235</v>
      </c>
      <c r="AI92" s="3">
        <v>52.0588235</v>
      </c>
      <c r="AJ92" s="4">
        <f t="shared" si="2"/>
        <v>0</v>
      </c>
    </row>
    <row r="93">
      <c r="A93" s="1" t="s">
        <v>189</v>
      </c>
      <c r="B93" s="1" t="s">
        <v>190</v>
      </c>
      <c r="C93" s="1" t="s">
        <v>7</v>
      </c>
      <c r="D93" s="1" t="s">
        <v>8</v>
      </c>
      <c r="E93" s="3">
        <v>6.4384E-4</v>
      </c>
      <c r="F93" s="3">
        <v>6.4384E-4</v>
      </c>
      <c r="G93" s="3">
        <v>6.4384E-4</v>
      </c>
      <c r="H93" s="3">
        <v>6.4384E-4</v>
      </c>
      <c r="I93" s="3">
        <v>6.4384E-4</v>
      </c>
      <c r="J93" s="3">
        <v>6.4384E-4</v>
      </c>
      <c r="K93" s="3">
        <v>6.4384E-4</v>
      </c>
      <c r="L93" s="3">
        <v>5.36E-4</v>
      </c>
      <c r="M93" s="3">
        <v>5.36E-4</v>
      </c>
      <c r="N93" s="3">
        <v>5.36E-4</v>
      </c>
      <c r="O93" s="3">
        <v>5.36E-4</v>
      </c>
      <c r="P93" s="3">
        <v>5.36E-4</v>
      </c>
      <c r="Q93" s="3">
        <v>5.36E-4</v>
      </c>
      <c r="R93" s="3">
        <v>5.36E-4</v>
      </c>
      <c r="S93" s="3">
        <v>5.36E-4</v>
      </c>
      <c r="T93" s="3">
        <v>5.36E-4</v>
      </c>
      <c r="U93" s="3">
        <v>5.36E-4</v>
      </c>
      <c r="V93" s="3">
        <v>5.36E-4</v>
      </c>
      <c r="W93" s="3">
        <v>5.36E-4</v>
      </c>
      <c r="X93" s="3">
        <v>5.36E-4</v>
      </c>
      <c r="Y93" s="3">
        <v>5.36E-4</v>
      </c>
      <c r="Z93" s="3">
        <v>5.36E-4</v>
      </c>
      <c r="AA93" s="3">
        <v>5.36E-4</v>
      </c>
      <c r="AB93" s="3">
        <v>5.36E-4</v>
      </c>
      <c r="AC93" s="3">
        <v>5.36E-4</v>
      </c>
      <c r="AD93" s="3">
        <v>5.36E-4</v>
      </c>
      <c r="AE93" s="3">
        <v>5.36E-4</v>
      </c>
      <c r="AF93" s="3">
        <v>5.36E-4</v>
      </c>
      <c r="AG93" s="3">
        <v>5.36E-4</v>
      </c>
      <c r="AH93" s="3">
        <v>5.36E-4</v>
      </c>
      <c r="AI93" s="3">
        <v>5.36E-4</v>
      </c>
      <c r="AJ93" s="4">
        <f t="shared" si="2"/>
        <v>-0.00010784</v>
      </c>
    </row>
    <row r="94">
      <c r="A94" s="1" t="s">
        <v>191</v>
      </c>
      <c r="B94" s="1" t="s">
        <v>192</v>
      </c>
      <c r="C94" s="1" t="s">
        <v>7</v>
      </c>
      <c r="D94" s="1" t="s">
        <v>8</v>
      </c>
      <c r="E94" s="3">
        <v>44.6173946</v>
      </c>
      <c r="F94" s="3">
        <v>44.0836133</v>
      </c>
      <c r="G94" s="3">
        <v>43.549832</v>
      </c>
      <c r="H94" s="3">
        <v>43.0160508</v>
      </c>
      <c r="I94" s="3">
        <v>42.4822695</v>
      </c>
      <c r="J94" s="3">
        <v>41.9484882</v>
      </c>
      <c r="K94" s="3">
        <v>41.414707</v>
      </c>
      <c r="L94" s="3">
        <v>40.8809257</v>
      </c>
      <c r="M94" s="3">
        <v>40.3471445</v>
      </c>
      <c r="N94" s="3">
        <v>39.8133632</v>
      </c>
      <c r="O94" s="3">
        <v>39.2795819</v>
      </c>
      <c r="P94" s="3">
        <v>38.8254946</v>
      </c>
      <c r="Q94" s="3">
        <v>38.3714072</v>
      </c>
      <c r="R94" s="3">
        <v>37.9173199</v>
      </c>
      <c r="S94" s="3">
        <v>37.4632325</v>
      </c>
      <c r="T94" s="3">
        <v>37.0091452</v>
      </c>
      <c r="U94" s="3">
        <v>36.5550579</v>
      </c>
      <c r="V94" s="3">
        <v>36.1009705</v>
      </c>
      <c r="W94" s="3">
        <v>35.6468832</v>
      </c>
      <c r="X94" s="3">
        <v>35.1927958</v>
      </c>
      <c r="Y94" s="3">
        <v>34.7387085</v>
      </c>
      <c r="Z94" s="3">
        <v>34.4833893</v>
      </c>
      <c r="AA94" s="3">
        <v>34.2280702</v>
      </c>
      <c r="AB94" s="3">
        <v>33.972751</v>
      </c>
      <c r="AC94" s="3">
        <v>33.7174319</v>
      </c>
      <c r="AD94" s="3">
        <v>33.4621127</v>
      </c>
      <c r="AE94" s="3">
        <v>33.3538634</v>
      </c>
      <c r="AF94" s="3">
        <v>33.245614</v>
      </c>
      <c r="AG94" s="3">
        <v>33.1373647</v>
      </c>
      <c r="AH94" s="3">
        <v>33.0291153</v>
      </c>
      <c r="AI94" s="3">
        <v>32.920866</v>
      </c>
      <c r="AJ94" s="4">
        <f t="shared" si="2"/>
        <v>-11.6965286</v>
      </c>
    </row>
    <row r="95">
      <c r="A95" s="1" t="s">
        <v>193</v>
      </c>
      <c r="B95" s="1" t="s">
        <v>194</v>
      </c>
      <c r="C95" s="1" t="s">
        <v>7</v>
      </c>
      <c r="D95" s="1" t="s">
        <v>8</v>
      </c>
      <c r="E95" s="3">
        <v>44.4444444</v>
      </c>
      <c r="F95" s="3">
        <v>44.4444444</v>
      </c>
      <c r="G95" s="3">
        <v>44.4444444</v>
      </c>
      <c r="H95" s="3">
        <v>44.4444444</v>
      </c>
      <c r="I95" s="3">
        <v>44.4444444</v>
      </c>
      <c r="J95" s="3">
        <v>44.4444444</v>
      </c>
      <c r="K95" s="3">
        <v>44.4444444</v>
      </c>
      <c r="L95" s="3">
        <v>44.4444444</v>
      </c>
      <c r="M95" s="3">
        <v>44.4444444</v>
      </c>
      <c r="N95" s="3">
        <v>44.4444444</v>
      </c>
      <c r="O95" s="3">
        <v>44.4444444</v>
      </c>
      <c r="P95" s="3">
        <v>44.4444444</v>
      </c>
      <c r="Q95" s="3">
        <v>44.4444444</v>
      </c>
      <c r="R95" s="3">
        <v>44.4444444</v>
      </c>
      <c r="S95" s="3">
        <v>44.4444444</v>
      </c>
      <c r="T95" s="3">
        <v>44.4444444</v>
      </c>
      <c r="U95" s="3">
        <v>44.4444444</v>
      </c>
      <c r="V95" s="3">
        <v>44.4444444</v>
      </c>
      <c r="W95" s="3">
        <v>44.4444444</v>
      </c>
      <c r="X95" s="3">
        <v>44.4444444</v>
      </c>
      <c r="Y95" s="3">
        <v>44.4444444</v>
      </c>
      <c r="Z95" s="3">
        <v>44.8148148</v>
      </c>
      <c r="AA95" s="3">
        <v>45.1851852</v>
      </c>
      <c r="AB95" s="3">
        <v>45.5555556</v>
      </c>
      <c r="AC95" s="3">
        <v>45.9259259</v>
      </c>
      <c r="AD95" s="3">
        <v>46.2962963</v>
      </c>
      <c r="AE95" s="3">
        <v>51.8518519</v>
      </c>
      <c r="AF95" s="3">
        <v>51.8518519</v>
      </c>
      <c r="AG95" s="3">
        <v>51.8518519</v>
      </c>
      <c r="AH95" s="3">
        <v>51.8518519</v>
      </c>
      <c r="AI95" s="3">
        <v>51.8518519</v>
      </c>
      <c r="AJ95" s="4">
        <f t="shared" si="2"/>
        <v>7.4074075</v>
      </c>
    </row>
    <row r="96">
      <c r="A96" s="1" t="s">
        <v>195</v>
      </c>
      <c r="B96" s="1" t="s">
        <v>196</v>
      </c>
      <c r="C96" s="1" t="s">
        <v>7</v>
      </c>
      <c r="D96" s="1" t="s">
        <v>8</v>
      </c>
      <c r="E96" s="3">
        <v>94.499111</v>
      </c>
      <c r="F96" s="3">
        <v>94.4798425</v>
      </c>
      <c r="G96" s="3">
        <v>94.460574</v>
      </c>
      <c r="H96" s="3">
        <v>94.4413056</v>
      </c>
      <c r="I96" s="3">
        <v>94.4220371</v>
      </c>
      <c r="J96" s="3">
        <v>94.4027686</v>
      </c>
      <c r="K96" s="3">
        <v>94.3835001</v>
      </c>
      <c r="L96" s="3">
        <v>94.3642316</v>
      </c>
      <c r="M96" s="3">
        <v>94.3449632</v>
      </c>
      <c r="N96" s="3">
        <v>94.3256947</v>
      </c>
      <c r="O96" s="3">
        <v>94.3064262</v>
      </c>
      <c r="P96" s="3">
        <v>94.2838659</v>
      </c>
      <c r="Q96" s="3">
        <v>94.2613056</v>
      </c>
      <c r="R96" s="3">
        <v>94.2387452</v>
      </c>
      <c r="S96" s="3">
        <v>94.2161849</v>
      </c>
      <c r="T96" s="3">
        <v>94.1936246</v>
      </c>
      <c r="U96" s="3">
        <v>94.1710643</v>
      </c>
      <c r="V96" s="3">
        <v>94.1485039</v>
      </c>
      <c r="W96" s="3">
        <v>94.1259436</v>
      </c>
      <c r="X96" s="3">
        <v>94.1033833</v>
      </c>
      <c r="Y96" s="3">
        <v>94.080823</v>
      </c>
      <c r="Z96" s="3">
        <v>94.0214376</v>
      </c>
      <c r="AA96" s="3">
        <v>93.9620523</v>
      </c>
      <c r="AB96" s="3">
        <v>93.902667</v>
      </c>
      <c r="AC96" s="3">
        <v>93.8432817</v>
      </c>
      <c r="AD96" s="3">
        <v>93.7838964</v>
      </c>
      <c r="AE96" s="3">
        <v>93.7371603</v>
      </c>
      <c r="AF96" s="3">
        <v>93.6903734</v>
      </c>
      <c r="AG96" s="3">
        <v>93.6436373</v>
      </c>
      <c r="AH96" s="3">
        <v>93.5968504</v>
      </c>
      <c r="AI96" s="3">
        <v>93.5501143</v>
      </c>
      <c r="AJ96" s="4">
        <f t="shared" si="2"/>
        <v>-0.9489967</v>
      </c>
    </row>
    <row r="97">
      <c r="A97" s="1" t="s">
        <v>197</v>
      </c>
      <c r="B97" s="1" t="s">
        <v>198</v>
      </c>
      <c r="C97" s="1" t="s">
        <v>7</v>
      </c>
      <c r="D97" s="1" t="s">
        <v>8</v>
      </c>
      <c r="E97" s="3">
        <v>28.6202446</v>
      </c>
      <c r="F97" s="3">
        <v>28.6408158</v>
      </c>
      <c r="G97" s="3">
        <v>28.6615003</v>
      </c>
      <c r="H97" s="3">
        <v>28.6810291</v>
      </c>
      <c r="I97" s="3">
        <v>28.7010589</v>
      </c>
      <c r="J97" s="3">
        <v>28.7210886</v>
      </c>
      <c r="K97" s="3">
        <v>28.741144</v>
      </c>
      <c r="L97" s="3">
        <v>28.7046067</v>
      </c>
      <c r="M97" s="3">
        <v>28.724672</v>
      </c>
      <c r="N97" s="3">
        <v>28.744688</v>
      </c>
      <c r="O97" s="3">
        <v>28.7624832</v>
      </c>
      <c r="P97" s="3">
        <v>28.7865744</v>
      </c>
      <c r="Q97" s="3">
        <v>28.8096438</v>
      </c>
      <c r="R97" s="3">
        <v>28.8327893</v>
      </c>
      <c r="S97" s="3">
        <v>28.8564797</v>
      </c>
      <c r="T97" s="3">
        <v>28.8800819</v>
      </c>
      <c r="U97" s="3">
        <v>28.9041015</v>
      </c>
      <c r="V97" s="3">
        <v>28.9275221</v>
      </c>
      <c r="W97" s="3">
        <v>28.9634548</v>
      </c>
      <c r="X97" s="3">
        <v>28.9862492</v>
      </c>
      <c r="Y97" s="3">
        <v>29.0081453</v>
      </c>
      <c r="Z97" s="3">
        <v>29.0486634</v>
      </c>
      <c r="AA97" s="3">
        <v>29.0931593</v>
      </c>
      <c r="AB97" s="3">
        <v>29.1323192</v>
      </c>
      <c r="AC97" s="3">
        <v>29.1716867</v>
      </c>
      <c r="AD97" s="3">
        <v>29.2124029</v>
      </c>
      <c r="AE97" s="3">
        <v>29.2383771</v>
      </c>
      <c r="AF97" s="3">
        <v>29.2383059</v>
      </c>
      <c r="AG97" s="3">
        <v>29.2429419</v>
      </c>
      <c r="AH97" s="3">
        <v>29.2516308</v>
      </c>
      <c r="AI97" s="3">
        <v>29.2605825</v>
      </c>
      <c r="AJ97" s="4">
        <f t="shared" si="2"/>
        <v>0.6403379</v>
      </c>
    </row>
    <row r="98">
      <c r="A98" s="1" t="s">
        <v>199</v>
      </c>
      <c r="B98" s="1" t="s">
        <v>200</v>
      </c>
      <c r="C98" s="1" t="s">
        <v>7</v>
      </c>
      <c r="D98" s="1" t="s">
        <v>8</v>
      </c>
      <c r="E98" s="3">
        <v>62.4522299</v>
      </c>
      <c r="F98" s="3">
        <v>62.2649835</v>
      </c>
      <c r="G98" s="3">
        <v>62.0777371</v>
      </c>
      <c r="H98" s="3">
        <v>61.8904907</v>
      </c>
      <c r="I98" s="3">
        <v>61.7032443</v>
      </c>
      <c r="J98" s="3">
        <v>61.5159979</v>
      </c>
      <c r="K98" s="3">
        <v>61.3287515</v>
      </c>
      <c r="L98" s="3">
        <v>61.141505</v>
      </c>
      <c r="M98" s="3">
        <v>60.9542586</v>
      </c>
      <c r="N98" s="3">
        <v>60.7670122</v>
      </c>
      <c r="O98" s="3">
        <v>60.5797658</v>
      </c>
      <c r="P98" s="3">
        <v>60.3985164</v>
      </c>
      <c r="Q98" s="3">
        <v>60.217267</v>
      </c>
      <c r="R98" s="3">
        <v>60.0360175</v>
      </c>
      <c r="S98" s="3">
        <v>59.8547681</v>
      </c>
      <c r="T98" s="3">
        <v>59.6735186</v>
      </c>
      <c r="U98" s="3">
        <v>59.4922692</v>
      </c>
      <c r="V98" s="3">
        <v>59.3110198</v>
      </c>
      <c r="W98" s="3">
        <v>59.1297703</v>
      </c>
      <c r="X98" s="3">
        <v>58.9485209</v>
      </c>
      <c r="Y98" s="3">
        <v>58.7672714</v>
      </c>
      <c r="Z98" s="3">
        <v>58.5677183</v>
      </c>
      <c r="AA98" s="3">
        <v>58.3681652</v>
      </c>
      <c r="AB98" s="3">
        <v>58.168612</v>
      </c>
      <c r="AC98" s="3">
        <v>57.9690589</v>
      </c>
      <c r="AD98" s="3">
        <v>57.7695058</v>
      </c>
      <c r="AE98" s="3">
        <v>57.5837876</v>
      </c>
      <c r="AF98" s="3">
        <v>57.3966396</v>
      </c>
      <c r="AG98" s="3">
        <v>57.2094021</v>
      </c>
      <c r="AH98" s="3">
        <v>57.0221646</v>
      </c>
      <c r="AI98" s="3">
        <v>56.8349272</v>
      </c>
      <c r="AJ98" s="4">
        <f t="shared" si="2"/>
        <v>-5.6173027</v>
      </c>
    </row>
    <row r="99">
      <c r="A99" s="1" t="s">
        <v>201</v>
      </c>
      <c r="B99" s="1" t="s">
        <v>202</v>
      </c>
      <c r="C99" s="1" t="s">
        <v>7</v>
      </c>
      <c r="D99" s="1" t="s">
        <v>8</v>
      </c>
      <c r="E99" s="3">
        <v>34.0416462</v>
      </c>
      <c r="F99" s="3">
        <v>33.8777459</v>
      </c>
      <c r="G99" s="3">
        <v>33.7095021</v>
      </c>
      <c r="H99" s="3">
        <v>33.6451048</v>
      </c>
      <c r="I99" s="3">
        <v>33.4780676</v>
      </c>
      <c r="J99" s="3">
        <v>33.3110303</v>
      </c>
      <c r="K99" s="3">
        <v>33.143993</v>
      </c>
      <c r="L99" s="3">
        <v>32.9769558</v>
      </c>
      <c r="M99" s="3">
        <v>32.8099185</v>
      </c>
      <c r="N99" s="3">
        <v>32.6428813</v>
      </c>
      <c r="O99" s="3">
        <v>29.5171167</v>
      </c>
      <c r="P99" s="3">
        <v>32.3266524</v>
      </c>
      <c r="Q99" s="3">
        <v>32.1774608</v>
      </c>
      <c r="R99" s="3">
        <v>32.0282691</v>
      </c>
      <c r="S99" s="3">
        <v>31.6436969</v>
      </c>
      <c r="T99" s="3">
        <v>31.4955107</v>
      </c>
      <c r="U99" s="3">
        <v>31.3474273</v>
      </c>
      <c r="V99" s="3">
        <v>31.1993858</v>
      </c>
      <c r="W99" s="3">
        <v>31.051323</v>
      </c>
      <c r="X99" s="3">
        <v>30.9032349</v>
      </c>
      <c r="Y99" s="3">
        <v>27.9408912</v>
      </c>
      <c r="Z99" s="3">
        <v>28.6879068</v>
      </c>
      <c r="AA99" s="3">
        <v>28.523003</v>
      </c>
      <c r="AB99" s="3">
        <v>28.3580993</v>
      </c>
      <c r="AC99" s="3">
        <v>28.1932283</v>
      </c>
      <c r="AD99" s="3">
        <v>28.0282619</v>
      </c>
      <c r="AE99" s="3">
        <v>27.8503949</v>
      </c>
      <c r="AF99" s="3">
        <v>27.6776004</v>
      </c>
      <c r="AG99" s="3">
        <v>27.5059351</v>
      </c>
      <c r="AH99" s="3">
        <v>27.3315506</v>
      </c>
      <c r="AI99" s="3">
        <v>27.1602206</v>
      </c>
      <c r="AJ99" s="4">
        <f t="shared" si="2"/>
        <v>-6.8814256</v>
      </c>
    </row>
    <row r="100">
      <c r="A100" s="1" t="s">
        <v>203</v>
      </c>
      <c r="B100" s="1" t="s">
        <v>204</v>
      </c>
      <c r="C100" s="1" t="s">
        <v>7</v>
      </c>
      <c r="D100" s="1" t="s">
        <v>8</v>
      </c>
      <c r="E100" s="3">
        <v>33.0888929</v>
      </c>
      <c r="F100" s="3">
        <v>33.0888929</v>
      </c>
      <c r="G100" s="3">
        <v>33.2140941</v>
      </c>
      <c r="H100" s="3">
        <v>33.2766947</v>
      </c>
      <c r="I100" s="3">
        <v>33.3392953</v>
      </c>
      <c r="J100" s="3">
        <v>33.4018959</v>
      </c>
      <c r="K100" s="3">
        <v>33.4226509</v>
      </c>
      <c r="L100" s="3">
        <v>33.4851733</v>
      </c>
      <c r="M100" s="3">
        <v>33.5896977</v>
      </c>
      <c r="N100" s="3">
        <v>33.6522983</v>
      </c>
      <c r="O100" s="3">
        <v>33.7148989</v>
      </c>
      <c r="P100" s="3">
        <v>33.7774996</v>
      </c>
      <c r="Q100" s="3">
        <v>33.8401002</v>
      </c>
      <c r="R100" s="3">
        <v>33.9027008</v>
      </c>
      <c r="S100" s="3">
        <v>33.9349535</v>
      </c>
      <c r="T100" s="3">
        <v>33.9974982</v>
      </c>
      <c r="U100" s="3">
        <v>34.0600429</v>
      </c>
      <c r="V100" s="3">
        <v>34.1225876</v>
      </c>
      <c r="W100" s="3">
        <v>34.1851322</v>
      </c>
      <c r="X100" s="3">
        <v>34.2476769</v>
      </c>
      <c r="Y100" s="3">
        <v>34.3102216</v>
      </c>
      <c r="Z100" s="3">
        <v>34.3173695</v>
      </c>
      <c r="AA100" s="3">
        <v>34.3245175</v>
      </c>
      <c r="AB100" s="3">
        <v>34.3316655</v>
      </c>
      <c r="AC100" s="3">
        <v>33.9565294</v>
      </c>
      <c r="AD100" s="3">
        <v>33.9635978</v>
      </c>
      <c r="AE100" s="3">
        <v>34.0010638</v>
      </c>
      <c r="AF100" s="3">
        <v>34.1333875</v>
      </c>
      <c r="AG100" s="3">
        <v>34.1775932</v>
      </c>
      <c r="AH100" s="3">
        <v>34.2217706</v>
      </c>
      <c r="AI100" s="3">
        <v>34.265948</v>
      </c>
      <c r="AJ100" s="4">
        <f t="shared" si="2"/>
        <v>1.1770551</v>
      </c>
    </row>
    <row r="101">
      <c r="A101" s="1" t="s">
        <v>205</v>
      </c>
      <c r="B101" s="1" t="s">
        <v>206</v>
      </c>
      <c r="C101" s="1" t="s">
        <v>7</v>
      </c>
      <c r="D101" s="1" t="s">
        <v>8</v>
      </c>
      <c r="E101" s="3">
        <v>13.8940493</v>
      </c>
      <c r="F101" s="3">
        <v>13.8858128</v>
      </c>
      <c r="G101" s="3">
        <v>13.8775762</v>
      </c>
      <c r="H101" s="3">
        <v>13.8693396</v>
      </c>
      <c r="I101" s="3">
        <v>13.861103</v>
      </c>
      <c r="J101" s="3">
        <v>13.8528665</v>
      </c>
      <c r="K101" s="3">
        <v>13.8446299</v>
      </c>
      <c r="L101" s="3">
        <v>13.8363933</v>
      </c>
      <c r="M101" s="3">
        <v>13.8281567</v>
      </c>
      <c r="N101" s="3">
        <v>13.8199202</v>
      </c>
      <c r="O101" s="3">
        <v>13.8116836</v>
      </c>
      <c r="P101" s="3">
        <v>13.803447</v>
      </c>
      <c r="Q101" s="3">
        <v>13.7952104</v>
      </c>
      <c r="R101" s="3">
        <v>13.7869739</v>
      </c>
      <c r="S101" s="3">
        <v>13.7787373</v>
      </c>
      <c r="T101" s="3">
        <v>13.7705007</v>
      </c>
      <c r="U101" s="3">
        <v>13.7622642</v>
      </c>
      <c r="V101" s="3">
        <v>13.7540276</v>
      </c>
      <c r="W101" s="3">
        <v>13.745791</v>
      </c>
      <c r="X101" s="3">
        <v>13.7375544</v>
      </c>
      <c r="Y101" s="3">
        <v>13.7293179</v>
      </c>
      <c r="Z101" s="3">
        <v>13.6166183</v>
      </c>
      <c r="AA101" s="3">
        <v>13.5039187</v>
      </c>
      <c r="AB101" s="3">
        <v>13.3912192</v>
      </c>
      <c r="AC101" s="3">
        <v>13.2785196</v>
      </c>
      <c r="AD101" s="3">
        <v>13.16582</v>
      </c>
      <c r="AE101" s="3">
        <v>13.0529753</v>
      </c>
      <c r="AF101" s="3">
        <v>12.9401306</v>
      </c>
      <c r="AG101" s="3">
        <v>12.8272859</v>
      </c>
      <c r="AH101" s="3">
        <v>12.7144412</v>
      </c>
      <c r="AI101" s="3">
        <v>12.6015965</v>
      </c>
      <c r="AJ101" s="4">
        <f t="shared" si="2"/>
        <v>-1.2924528</v>
      </c>
    </row>
    <row r="102">
      <c r="A102" s="1" t="s">
        <v>207</v>
      </c>
      <c r="B102" s="1" t="s">
        <v>208</v>
      </c>
      <c r="C102" s="1" t="s">
        <v>7</v>
      </c>
      <c r="D102" s="1" t="s">
        <v>8</v>
      </c>
      <c r="E102" s="3">
        <v>20.1835985</v>
      </c>
      <c r="F102" s="3">
        <v>20.3029598</v>
      </c>
      <c r="G102" s="3">
        <v>20.4223211</v>
      </c>
      <c r="H102" s="3">
        <v>20.5439684</v>
      </c>
      <c r="I102" s="3">
        <v>20.663343</v>
      </c>
      <c r="J102" s="3">
        <v>20.7827176</v>
      </c>
      <c r="K102" s="3">
        <v>20.9020921</v>
      </c>
      <c r="L102" s="3">
        <v>21.0355122</v>
      </c>
      <c r="M102" s="3">
        <v>21.1549666</v>
      </c>
      <c r="N102" s="3">
        <v>21.2744209</v>
      </c>
      <c r="O102" s="3">
        <v>21.4368445</v>
      </c>
      <c r="P102" s="3">
        <v>21.5765677</v>
      </c>
      <c r="Q102" s="3">
        <v>21.716291</v>
      </c>
      <c r="R102" s="3">
        <v>21.8560143</v>
      </c>
      <c r="S102" s="3">
        <v>21.9957376</v>
      </c>
      <c r="T102" s="3">
        <v>22.137931</v>
      </c>
      <c r="U102" s="3">
        <v>22.2776699</v>
      </c>
      <c r="V102" s="3">
        <v>22.4174088</v>
      </c>
      <c r="W102" s="3">
        <v>22.5571476</v>
      </c>
      <c r="X102" s="3">
        <v>22.4662322</v>
      </c>
      <c r="Y102" s="3">
        <v>22.604551</v>
      </c>
      <c r="Z102" s="3">
        <v>22.6364299</v>
      </c>
      <c r="AA102" s="3">
        <v>22.6683088</v>
      </c>
      <c r="AB102" s="3">
        <v>22.7001878</v>
      </c>
      <c r="AC102" s="3">
        <v>22.5502301</v>
      </c>
      <c r="AD102" s="3">
        <v>22.581854</v>
      </c>
      <c r="AE102" s="3">
        <v>22.5589524</v>
      </c>
      <c r="AF102" s="3">
        <v>22.5429542</v>
      </c>
      <c r="AG102" s="3">
        <v>22.5281613</v>
      </c>
      <c r="AH102" s="3">
        <v>22.5122726</v>
      </c>
      <c r="AI102" s="3">
        <v>22.4962744</v>
      </c>
      <c r="AJ102" s="4">
        <f t="shared" si="2"/>
        <v>2.3126759</v>
      </c>
    </row>
    <row r="103">
      <c r="A103" s="1" t="s">
        <v>209</v>
      </c>
      <c r="B103" s="1" t="s">
        <v>210</v>
      </c>
      <c r="C103" s="1" t="s">
        <v>7</v>
      </c>
      <c r="D103" s="1" t="s">
        <v>8</v>
      </c>
      <c r="E103" s="3">
        <v>35.2246882</v>
      </c>
      <c r="F103" s="3">
        <v>35.1555713</v>
      </c>
      <c r="G103" s="3">
        <v>35.0842828</v>
      </c>
      <c r="H103" s="3">
        <v>35.0169017</v>
      </c>
      <c r="I103" s="3">
        <v>34.9500646</v>
      </c>
      <c r="J103" s="3">
        <v>34.8822954</v>
      </c>
      <c r="K103" s="3">
        <v>34.8132467</v>
      </c>
      <c r="L103" s="3">
        <v>34.7436985</v>
      </c>
      <c r="M103" s="3">
        <v>34.6871692</v>
      </c>
      <c r="N103" s="3">
        <v>34.6146087</v>
      </c>
      <c r="O103" s="3">
        <v>34.5556722</v>
      </c>
      <c r="P103" s="3">
        <v>34.5181049</v>
      </c>
      <c r="Q103" s="3">
        <v>34.4807218</v>
      </c>
      <c r="R103" s="3">
        <v>34.4427065</v>
      </c>
      <c r="S103" s="3">
        <v>34.4042754</v>
      </c>
      <c r="T103" s="3">
        <v>34.3660207</v>
      </c>
      <c r="U103" s="3">
        <v>34.3331756</v>
      </c>
      <c r="V103" s="3">
        <v>34.2957638</v>
      </c>
      <c r="W103" s="3">
        <v>34.2586142</v>
      </c>
      <c r="X103" s="3">
        <v>34.2222457</v>
      </c>
      <c r="Y103" s="3">
        <v>34.184633</v>
      </c>
      <c r="Z103" s="3">
        <v>34.1591517</v>
      </c>
      <c r="AA103" s="3">
        <v>34.1337821</v>
      </c>
      <c r="AB103" s="3">
        <v>34.1084233</v>
      </c>
      <c r="AC103" s="3">
        <v>34.0827516</v>
      </c>
      <c r="AD103" s="3">
        <v>34.0559265</v>
      </c>
      <c r="AE103" s="3">
        <v>34.0179434</v>
      </c>
      <c r="AF103" s="3">
        <v>33.977203</v>
      </c>
      <c r="AG103" s="3">
        <v>33.9607858</v>
      </c>
      <c r="AH103" s="3">
        <v>33.9421265</v>
      </c>
      <c r="AI103" s="3">
        <v>33.9250508</v>
      </c>
      <c r="AJ103" s="4">
        <f t="shared" si="2"/>
        <v>-1.2996374</v>
      </c>
    </row>
    <row r="104">
      <c r="A104" s="1" t="s">
        <v>211</v>
      </c>
      <c r="B104" s="1" t="s">
        <v>212</v>
      </c>
      <c r="C104" s="1" t="s">
        <v>7</v>
      </c>
      <c r="D104" s="1" t="s">
        <v>8</v>
      </c>
      <c r="E104" s="3">
        <v>34.3690609</v>
      </c>
      <c r="F104" s="3">
        <v>34.3332918</v>
      </c>
      <c r="G104" s="3">
        <v>34.241727</v>
      </c>
      <c r="H104" s="3">
        <v>34.1746713</v>
      </c>
      <c r="I104" s="3">
        <v>34.0908787</v>
      </c>
      <c r="J104" s="3">
        <v>34.0038605</v>
      </c>
      <c r="K104" s="3">
        <v>33.9158929</v>
      </c>
      <c r="L104" s="3">
        <v>33.8275553</v>
      </c>
      <c r="M104" s="3">
        <v>33.748852</v>
      </c>
      <c r="N104" s="3">
        <v>33.6582814</v>
      </c>
      <c r="O104" s="3">
        <v>32.9381562</v>
      </c>
      <c r="P104" s="3">
        <v>33.5167529</v>
      </c>
      <c r="Q104" s="3">
        <v>33.4559845</v>
      </c>
      <c r="R104" s="3">
        <v>33.3948171</v>
      </c>
      <c r="S104" s="3">
        <v>33.287843</v>
      </c>
      <c r="T104" s="3">
        <v>33.2265171</v>
      </c>
      <c r="U104" s="3">
        <v>33.1691917</v>
      </c>
      <c r="V104" s="3">
        <v>33.1084858</v>
      </c>
      <c r="W104" s="3">
        <v>33.0480631</v>
      </c>
      <c r="X104" s="3">
        <v>32.9881358</v>
      </c>
      <c r="Y104" s="3">
        <v>32.2850169</v>
      </c>
      <c r="Z104" s="3">
        <v>32.3001681</v>
      </c>
      <c r="AA104" s="3">
        <v>32.2409553</v>
      </c>
      <c r="AB104" s="3">
        <v>32.1817251</v>
      </c>
      <c r="AC104" s="3">
        <v>32.1226583</v>
      </c>
      <c r="AD104" s="3">
        <v>32.0572925</v>
      </c>
      <c r="AE104" s="3">
        <v>31.9901986</v>
      </c>
      <c r="AF104" s="3">
        <v>31.9210029</v>
      </c>
      <c r="AG104" s="3">
        <v>31.8696457</v>
      </c>
      <c r="AH104" s="3">
        <v>31.8155659</v>
      </c>
      <c r="AI104" s="3">
        <v>31.7630713</v>
      </c>
      <c r="AJ104" s="4">
        <f t="shared" si="2"/>
        <v>-2.6059896</v>
      </c>
    </row>
    <row r="105">
      <c r="A105" s="1" t="s">
        <v>213</v>
      </c>
      <c r="B105" s="1" t="s">
        <v>214</v>
      </c>
      <c r="C105" s="1" t="s">
        <v>7</v>
      </c>
      <c r="D105" s="1" t="s">
        <v>8</v>
      </c>
      <c r="E105" s="3">
        <v>31.6634825</v>
      </c>
      <c r="F105" s="3">
        <v>31.7332435</v>
      </c>
      <c r="G105" s="3">
        <v>31.5775651</v>
      </c>
      <c r="H105" s="3">
        <v>31.4996546</v>
      </c>
      <c r="I105" s="3">
        <v>31.3613496</v>
      </c>
      <c r="J105" s="3">
        <v>31.2132947</v>
      </c>
      <c r="K105" s="3">
        <v>31.0652397</v>
      </c>
      <c r="L105" s="3">
        <v>30.9171848</v>
      </c>
      <c r="M105" s="3">
        <v>30.7691298</v>
      </c>
      <c r="N105" s="3">
        <v>30.6210748</v>
      </c>
      <c r="O105" s="3">
        <v>28.3155504</v>
      </c>
      <c r="P105" s="3">
        <v>30.3376086</v>
      </c>
      <c r="Q105" s="3">
        <v>30.2026742</v>
      </c>
      <c r="R105" s="3">
        <v>30.0679952</v>
      </c>
      <c r="S105" s="3">
        <v>29.7634711</v>
      </c>
      <c r="T105" s="3">
        <v>29.6293087</v>
      </c>
      <c r="U105" s="3">
        <v>29.4949192</v>
      </c>
      <c r="V105" s="3">
        <v>29.3607061</v>
      </c>
      <c r="W105" s="3">
        <v>29.2268288</v>
      </c>
      <c r="X105" s="3">
        <v>29.0926719</v>
      </c>
      <c r="Y105" s="3">
        <v>26.8847504</v>
      </c>
      <c r="Z105" s="3">
        <v>27.0154569</v>
      </c>
      <c r="AA105" s="3">
        <v>26.8600163</v>
      </c>
      <c r="AB105" s="3">
        <v>26.7044951</v>
      </c>
      <c r="AC105" s="3">
        <v>26.5501861</v>
      </c>
      <c r="AD105" s="3">
        <v>26.3784864</v>
      </c>
      <c r="AE105" s="3">
        <v>26.2233099</v>
      </c>
      <c r="AF105" s="3">
        <v>26.0731125</v>
      </c>
      <c r="AG105" s="3">
        <v>25.9223688</v>
      </c>
      <c r="AH105" s="3">
        <v>25.7675536</v>
      </c>
      <c r="AI105" s="3">
        <v>25.6143265</v>
      </c>
      <c r="AJ105" s="4">
        <f t="shared" si="2"/>
        <v>-6.049156</v>
      </c>
    </row>
    <row r="106">
      <c r="A106" s="1" t="s">
        <v>215</v>
      </c>
      <c r="B106" s="1" t="s">
        <v>216</v>
      </c>
      <c r="C106" s="1" t="s">
        <v>7</v>
      </c>
      <c r="D106" s="1" t="s">
        <v>8</v>
      </c>
      <c r="E106" s="3">
        <v>31.0458304</v>
      </c>
      <c r="F106" s="3">
        <v>32.0730967</v>
      </c>
      <c r="G106" s="3">
        <v>31.8976126</v>
      </c>
      <c r="H106" s="3">
        <v>31.8261299</v>
      </c>
      <c r="I106" s="3">
        <v>31.7546472</v>
      </c>
      <c r="J106" s="3">
        <v>31.6831646</v>
      </c>
      <c r="K106" s="3">
        <v>31.6116819</v>
      </c>
      <c r="L106" s="3">
        <v>31.5401992</v>
      </c>
      <c r="M106" s="3">
        <v>31.4687165</v>
      </c>
      <c r="N106" s="3">
        <v>31.3972338</v>
      </c>
      <c r="O106" s="3">
        <v>31.3257511</v>
      </c>
      <c r="P106" s="3">
        <v>31.2495717</v>
      </c>
      <c r="Q106" s="3">
        <v>31.1733923</v>
      </c>
      <c r="R106" s="3">
        <v>31.0972128</v>
      </c>
      <c r="S106" s="3">
        <v>31.0210334</v>
      </c>
      <c r="T106" s="3">
        <v>30.9448539</v>
      </c>
      <c r="U106" s="3">
        <v>30.8686745</v>
      </c>
      <c r="V106" s="3">
        <v>30.792495</v>
      </c>
      <c r="W106" s="3">
        <v>30.7163156</v>
      </c>
      <c r="X106" s="3">
        <v>30.6401361</v>
      </c>
      <c r="Y106" s="3">
        <v>30.5639567</v>
      </c>
      <c r="Z106" s="3">
        <v>30.4921511</v>
      </c>
      <c r="AA106" s="3">
        <v>30.4203456</v>
      </c>
      <c r="AB106" s="3">
        <v>30.3485401</v>
      </c>
      <c r="AC106" s="3">
        <v>30.2767346</v>
      </c>
      <c r="AD106" s="3">
        <v>30.1002793</v>
      </c>
      <c r="AE106" s="3">
        <v>30.0309126</v>
      </c>
      <c r="AF106" s="3">
        <v>29.969809</v>
      </c>
      <c r="AG106" s="3">
        <v>29.9028469</v>
      </c>
      <c r="AH106" s="3">
        <v>29.8289917</v>
      </c>
      <c r="AI106" s="3">
        <v>29.7551365</v>
      </c>
      <c r="AJ106" s="4">
        <f t="shared" si="2"/>
        <v>-1.2906939</v>
      </c>
    </row>
    <row r="107">
      <c r="A107" s="1" t="s">
        <v>217</v>
      </c>
      <c r="B107" s="1" t="s">
        <v>218</v>
      </c>
      <c r="C107" s="1" t="s">
        <v>7</v>
      </c>
      <c r="D107" s="1" t="s">
        <v>8</v>
      </c>
      <c r="E107" s="3">
        <v>65.4377142</v>
      </c>
      <c r="F107" s="3">
        <v>64.4846735</v>
      </c>
      <c r="G107" s="3">
        <v>63.5316328</v>
      </c>
      <c r="H107" s="3">
        <v>62.578592</v>
      </c>
      <c r="I107" s="3">
        <v>61.6255513</v>
      </c>
      <c r="J107" s="3">
        <v>60.6725106</v>
      </c>
      <c r="K107" s="3">
        <v>59.7194699</v>
      </c>
      <c r="L107" s="3">
        <v>58.7664291</v>
      </c>
      <c r="M107" s="3">
        <v>57.8133884</v>
      </c>
      <c r="N107" s="3">
        <v>56.8603477</v>
      </c>
      <c r="O107" s="3">
        <v>55.9073069</v>
      </c>
      <c r="P107" s="3">
        <v>55.8178376</v>
      </c>
      <c r="Q107" s="3">
        <v>55.7283682</v>
      </c>
      <c r="R107" s="3">
        <v>55.6388989</v>
      </c>
      <c r="S107" s="3">
        <v>55.5494295</v>
      </c>
      <c r="T107" s="3">
        <v>55.4599601</v>
      </c>
      <c r="U107" s="3">
        <v>55.3704908</v>
      </c>
      <c r="V107" s="3">
        <v>55.2810214</v>
      </c>
      <c r="W107" s="3">
        <v>55.1915521</v>
      </c>
      <c r="X107" s="3">
        <v>55.1020827</v>
      </c>
      <c r="Y107" s="3">
        <v>55.0126134</v>
      </c>
      <c r="Z107" s="3">
        <v>54.501311</v>
      </c>
      <c r="AA107" s="3">
        <v>53.9900087</v>
      </c>
      <c r="AB107" s="3">
        <v>53.4787063</v>
      </c>
      <c r="AC107" s="3">
        <v>52.967404</v>
      </c>
      <c r="AD107" s="3">
        <v>52.4561016</v>
      </c>
      <c r="AE107" s="3">
        <v>50.7434545</v>
      </c>
      <c r="AF107" s="3">
        <v>50.0393338</v>
      </c>
      <c r="AG107" s="3">
        <v>49.7168178</v>
      </c>
      <c r="AH107" s="3">
        <v>49.3942964</v>
      </c>
      <c r="AI107" s="3">
        <v>49.0717804</v>
      </c>
      <c r="AJ107" s="4">
        <f t="shared" si="2"/>
        <v>-16.3659338</v>
      </c>
    </row>
    <row r="108">
      <c r="A108" s="1" t="s">
        <v>219</v>
      </c>
      <c r="B108" s="1" t="s">
        <v>220</v>
      </c>
      <c r="C108" s="1" t="s">
        <v>7</v>
      </c>
      <c r="D108" s="1" t="s">
        <v>8</v>
      </c>
      <c r="E108" s="3">
        <v>31.8125519</v>
      </c>
      <c r="F108" s="3">
        <v>31.6512244</v>
      </c>
      <c r="G108" s="3">
        <v>31.5003258</v>
      </c>
      <c r="H108" s="3">
        <v>31.420422</v>
      </c>
      <c r="I108" s="3">
        <v>31.2658633</v>
      </c>
      <c r="J108" s="3">
        <v>31.0992178</v>
      </c>
      <c r="K108" s="3">
        <v>30.9325723</v>
      </c>
      <c r="L108" s="3">
        <v>30.7659268</v>
      </c>
      <c r="M108" s="3">
        <v>30.5992813</v>
      </c>
      <c r="N108" s="3">
        <v>30.4326358</v>
      </c>
      <c r="O108" s="3">
        <v>27.6732871</v>
      </c>
      <c r="P108" s="3">
        <v>30.1162028</v>
      </c>
      <c r="Q108" s="3">
        <v>29.9670039</v>
      </c>
      <c r="R108" s="3">
        <v>29.8181198</v>
      </c>
      <c r="S108" s="3">
        <v>29.4603046</v>
      </c>
      <c r="T108" s="3">
        <v>29.3121638</v>
      </c>
      <c r="U108" s="3">
        <v>29.1637444</v>
      </c>
      <c r="V108" s="3">
        <v>29.0155416</v>
      </c>
      <c r="W108" s="3">
        <v>28.8677505</v>
      </c>
      <c r="X108" s="3">
        <v>28.7196164</v>
      </c>
      <c r="Y108" s="3">
        <v>26.1046171</v>
      </c>
      <c r="Z108" s="3">
        <v>26.2782724</v>
      </c>
      <c r="AA108" s="3">
        <v>26.1050931</v>
      </c>
      <c r="AB108" s="3">
        <v>25.9318187</v>
      </c>
      <c r="AC108" s="3">
        <v>25.7599696</v>
      </c>
      <c r="AD108" s="3">
        <v>25.5865365</v>
      </c>
      <c r="AE108" s="3">
        <v>25.4130988</v>
      </c>
      <c r="AF108" s="3">
        <v>25.2439308</v>
      </c>
      <c r="AG108" s="3">
        <v>25.0753651</v>
      </c>
      <c r="AH108" s="3">
        <v>24.9033224</v>
      </c>
      <c r="AI108" s="3">
        <v>24.7332059</v>
      </c>
      <c r="AJ108" s="4">
        <f t="shared" si="2"/>
        <v>-7.079346</v>
      </c>
    </row>
    <row r="109">
      <c r="A109" s="1" t="s">
        <v>221</v>
      </c>
      <c r="B109" s="1" t="s">
        <v>222</v>
      </c>
      <c r="C109" s="1" t="s">
        <v>7</v>
      </c>
      <c r="D109" s="1" t="s">
        <v>8</v>
      </c>
      <c r="E109" s="3">
        <v>6.07017544</v>
      </c>
      <c r="F109" s="3">
        <v>6.07017544</v>
      </c>
      <c r="G109" s="3">
        <v>6.07017544</v>
      </c>
      <c r="H109" s="3">
        <v>6.07017544</v>
      </c>
      <c r="I109" s="3">
        <v>6.07017544</v>
      </c>
      <c r="J109" s="3">
        <v>6.07017544</v>
      </c>
      <c r="K109" s="3">
        <v>6.07017544</v>
      </c>
      <c r="L109" s="3">
        <v>6.07017544</v>
      </c>
      <c r="M109" s="3">
        <v>6.07017544</v>
      </c>
      <c r="N109" s="3">
        <v>6.07017544</v>
      </c>
      <c r="O109" s="3">
        <v>6.07017544</v>
      </c>
      <c r="P109" s="3">
        <v>6.07017544</v>
      </c>
      <c r="Q109" s="3">
        <v>6.07017544</v>
      </c>
      <c r="R109" s="3">
        <v>6.07017544</v>
      </c>
      <c r="S109" s="3">
        <v>6.07017544</v>
      </c>
      <c r="T109" s="3">
        <v>6.07017544</v>
      </c>
      <c r="U109" s="3">
        <v>6.07017544</v>
      </c>
      <c r="V109" s="3">
        <v>6.07017544</v>
      </c>
      <c r="W109" s="3">
        <v>6.07017544</v>
      </c>
      <c r="X109" s="3">
        <v>6.07017544</v>
      </c>
      <c r="Y109" s="3">
        <v>6.07017544</v>
      </c>
      <c r="Z109" s="3">
        <v>6.07017544</v>
      </c>
      <c r="AA109" s="3">
        <v>6.07017544</v>
      </c>
      <c r="AB109" s="3">
        <v>6.07017544</v>
      </c>
      <c r="AC109" s="3">
        <v>6.07017544</v>
      </c>
      <c r="AD109" s="3">
        <v>6.07017544</v>
      </c>
      <c r="AE109" s="3">
        <v>6.07017544</v>
      </c>
      <c r="AF109" s="3">
        <v>6.07017544</v>
      </c>
      <c r="AG109" s="3">
        <v>6.07017544</v>
      </c>
      <c r="AH109" s="3">
        <v>6.07017544</v>
      </c>
      <c r="AI109" s="3">
        <v>6.07017544</v>
      </c>
      <c r="AJ109" s="4">
        <f t="shared" si="2"/>
        <v>0</v>
      </c>
    </row>
    <row r="110">
      <c r="A110" s="1" t="s">
        <v>223</v>
      </c>
      <c r="B110" s="1" t="s">
        <v>224</v>
      </c>
      <c r="C110" s="1" t="s">
        <v>7</v>
      </c>
      <c r="D110" s="1" t="s">
        <v>8</v>
      </c>
      <c r="E110" s="3">
        <v>21.5048483</v>
      </c>
      <c r="F110" s="3">
        <v>21.627713</v>
      </c>
      <c r="G110" s="3">
        <v>21.7505777</v>
      </c>
      <c r="H110" s="3">
        <v>21.8734423</v>
      </c>
      <c r="I110" s="3">
        <v>21.996307</v>
      </c>
      <c r="J110" s="3">
        <v>22.1191717</v>
      </c>
      <c r="K110" s="3">
        <v>22.2420363</v>
      </c>
      <c r="L110" s="3">
        <v>22.364901</v>
      </c>
      <c r="M110" s="3">
        <v>22.4877657</v>
      </c>
      <c r="N110" s="3">
        <v>22.6106303</v>
      </c>
      <c r="O110" s="3">
        <v>22.733495</v>
      </c>
      <c r="P110" s="3">
        <v>22.7975676</v>
      </c>
      <c r="Q110" s="3">
        <v>22.8616402</v>
      </c>
      <c r="R110" s="3">
        <v>22.9257128</v>
      </c>
      <c r="S110" s="3">
        <v>22.9897854</v>
      </c>
      <c r="T110" s="3">
        <v>23.053858</v>
      </c>
      <c r="U110" s="3">
        <v>23.1179306</v>
      </c>
      <c r="V110" s="3">
        <v>23.1820032</v>
      </c>
      <c r="W110" s="3">
        <v>23.2460758</v>
      </c>
      <c r="X110" s="3">
        <v>23.3101484</v>
      </c>
      <c r="Y110" s="3">
        <v>23.374221</v>
      </c>
      <c r="Z110" s="3">
        <v>23.4638217</v>
      </c>
      <c r="AA110" s="3">
        <v>23.5534224</v>
      </c>
      <c r="AB110" s="3">
        <v>23.6430232</v>
      </c>
      <c r="AC110" s="3">
        <v>23.7326239</v>
      </c>
      <c r="AD110" s="3">
        <v>23.8222246</v>
      </c>
      <c r="AE110" s="3">
        <v>23.9118253</v>
      </c>
      <c r="AF110" s="3">
        <v>24.0014261</v>
      </c>
      <c r="AG110" s="3">
        <v>24.0910268</v>
      </c>
      <c r="AH110" s="3">
        <v>24.1806275</v>
      </c>
      <c r="AI110" s="3">
        <v>24.2702283</v>
      </c>
      <c r="AJ110" s="4">
        <f t="shared" si="2"/>
        <v>2.76538</v>
      </c>
    </row>
    <row r="111">
      <c r="A111" s="1" t="s">
        <v>225</v>
      </c>
      <c r="B111" s="1" t="s">
        <v>226</v>
      </c>
      <c r="C111" s="1" t="s">
        <v>7</v>
      </c>
      <c r="D111" s="1" t="s">
        <v>8</v>
      </c>
      <c r="E111" s="3">
        <v>6.70111772</v>
      </c>
      <c r="F111" s="3">
        <v>6.9460299</v>
      </c>
      <c r="G111" s="3">
        <v>7.19094208</v>
      </c>
      <c r="H111" s="3">
        <v>7.43585426</v>
      </c>
      <c r="I111" s="3">
        <v>7.68076644</v>
      </c>
      <c r="J111" s="3">
        <v>7.92567862</v>
      </c>
      <c r="K111" s="3">
        <v>8.1705908</v>
      </c>
      <c r="L111" s="3">
        <v>8.41550298</v>
      </c>
      <c r="M111" s="3">
        <v>8.66041515</v>
      </c>
      <c r="N111" s="3">
        <v>8.90532733</v>
      </c>
      <c r="O111" s="3">
        <v>9.15023951</v>
      </c>
      <c r="P111" s="3">
        <v>9.2809116</v>
      </c>
      <c r="Q111" s="3">
        <v>9.41158368</v>
      </c>
      <c r="R111" s="3">
        <v>9.54225577</v>
      </c>
      <c r="S111" s="3">
        <v>9.67292786</v>
      </c>
      <c r="T111" s="3">
        <v>9.80359994</v>
      </c>
      <c r="U111" s="3">
        <v>9.93427203</v>
      </c>
      <c r="V111" s="3">
        <v>10.0649441</v>
      </c>
      <c r="W111" s="3">
        <v>10.1956162</v>
      </c>
      <c r="X111" s="3">
        <v>10.3262883</v>
      </c>
      <c r="Y111" s="3">
        <v>10.4569604</v>
      </c>
      <c r="Z111" s="3">
        <v>10.5565104</v>
      </c>
      <c r="AA111" s="3">
        <v>10.6560604</v>
      </c>
      <c r="AB111" s="3">
        <v>10.7556104</v>
      </c>
      <c r="AC111" s="3">
        <v>10.8551604</v>
      </c>
      <c r="AD111" s="3">
        <v>10.9547104</v>
      </c>
      <c r="AE111" s="3">
        <v>11.0661925</v>
      </c>
      <c r="AF111" s="3">
        <v>11.1775294</v>
      </c>
      <c r="AG111" s="3">
        <v>11.235593</v>
      </c>
      <c r="AH111" s="3">
        <v>11.2936566</v>
      </c>
      <c r="AI111" s="3">
        <v>11.3517201</v>
      </c>
      <c r="AJ111" s="4">
        <f t="shared" si="2"/>
        <v>4.65060238</v>
      </c>
    </row>
    <row r="112">
      <c r="A112" s="1" t="s">
        <v>227</v>
      </c>
      <c r="B112" s="1" t="s">
        <v>228</v>
      </c>
      <c r="C112" s="1" t="s">
        <v>7</v>
      </c>
      <c r="D112" s="1" t="s">
        <v>8</v>
      </c>
      <c r="E112" s="3">
        <v>5.57237408</v>
      </c>
      <c r="F112" s="3">
        <v>5.58769862</v>
      </c>
      <c r="G112" s="3">
        <v>5.60302316</v>
      </c>
      <c r="H112" s="3">
        <v>5.6183477</v>
      </c>
      <c r="I112" s="3">
        <v>5.63367224</v>
      </c>
      <c r="J112" s="3">
        <v>5.64899678</v>
      </c>
      <c r="K112" s="3">
        <v>5.66432132</v>
      </c>
      <c r="L112" s="3">
        <v>5.67964587</v>
      </c>
      <c r="M112" s="3">
        <v>5.69497041</v>
      </c>
      <c r="N112" s="3">
        <v>5.71029495</v>
      </c>
      <c r="O112" s="3">
        <v>5.72561949</v>
      </c>
      <c r="P112" s="3">
        <v>5.80950662</v>
      </c>
      <c r="Q112" s="3">
        <v>5.89339375</v>
      </c>
      <c r="R112" s="3">
        <v>5.97728088</v>
      </c>
      <c r="S112" s="3">
        <v>6.06116801</v>
      </c>
      <c r="T112" s="3">
        <v>6.14505513</v>
      </c>
      <c r="U112" s="3">
        <v>6.22894226</v>
      </c>
      <c r="V112" s="3">
        <v>6.31282939</v>
      </c>
      <c r="W112" s="3">
        <v>6.39671652</v>
      </c>
      <c r="X112" s="3">
        <v>6.48060365</v>
      </c>
      <c r="Y112" s="3">
        <v>6.56449078</v>
      </c>
      <c r="Z112" s="3">
        <v>6.56449078</v>
      </c>
      <c r="AA112" s="3">
        <v>6.56449078</v>
      </c>
      <c r="AB112" s="3">
        <v>6.56449078</v>
      </c>
      <c r="AC112" s="3">
        <v>6.56449078</v>
      </c>
      <c r="AD112" s="3">
        <v>6.56449078</v>
      </c>
      <c r="AE112" s="3">
        <v>6.57069181</v>
      </c>
      <c r="AF112" s="3">
        <v>6.57591665</v>
      </c>
      <c r="AG112" s="3">
        <v>6.58601022</v>
      </c>
      <c r="AH112" s="3">
        <v>6.59610378</v>
      </c>
      <c r="AI112" s="3">
        <v>6.60126108</v>
      </c>
      <c r="AJ112" s="4">
        <f t="shared" si="2"/>
        <v>1.028887</v>
      </c>
    </row>
    <row r="113">
      <c r="A113" s="1" t="s">
        <v>229</v>
      </c>
      <c r="B113" s="1" t="s">
        <v>230</v>
      </c>
      <c r="C113" s="1" t="s">
        <v>7</v>
      </c>
      <c r="D113" s="1" t="s">
        <v>8</v>
      </c>
      <c r="E113" s="3">
        <v>1.83826051</v>
      </c>
      <c r="F113" s="3">
        <v>1.84146146</v>
      </c>
      <c r="G113" s="3">
        <v>1.84466241</v>
      </c>
      <c r="H113" s="3">
        <v>1.84786337</v>
      </c>
      <c r="I113" s="3">
        <v>1.85106432</v>
      </c>
      <c r="J113" s="3">
        <v>1.85426527</v>
      </c>
      <c r="K113" s="3">
        <v>1.85746622</v>
      </c>
      <c r="L113" s="3">
        <v>1.86066717</v>
      </c>
      <c r="M113" s="3">
        <v>1.86386812</v>
      </c>
      <c r="N113" s="3">
        <v>1.86706907</v>
      </c>
      <c r="O113" s="3">
        <v>1.87027002</v>
      </c>
      <c r="P113" s="3">
        <v>1.8718705</v>
      </c>
      <c r="Q113" s="3">
        <v>1.87347097</v>
      </c>
      <c r="R113" s="3">
        <v>1.87507145</v>
      </c>
      <c r="S113" s="3">
        <v>1.87667193</v>
      </c>
      <c r="T113" s="3">
        <v>1.8782724</v>
      </c>
      <c r="U113" s="3">
        <v>1.87987288</v>
      </c>
      <c r="V113" s="3">
        <v>1.88147335</v>
      </c>
      <c r="W113" s="3">
        <v>1.88307383</v>
      </c>
      <c r="X113" s="3">
        <v>1.89790938</v>
      </c>
      <c r="Y113" s="3">
        <v>1.89952109</v>
      </c>
      <c r="Z113" s="3">
        <v>1.89952109</v>
      </c>
      <c r="AA113" s="3">
        <v>1.89952109</v>
      </c>
      <c r="AB113" s="3">
        <v>1.90036118</v>
      </c>
      <c r="AC113" s="3">
        <v>1.90036118</v>
      </c>
      <c r="AD113" s="3">
        <v>1.90036118</v>
      </c>
      <c r="AE113" s="3">
        <v>1.90036118</v>
      </c>
      <c r="AF113" s="3">
        <v>1.90036118</v>
      </c>
      <c r="AG113" s="3">
        <v>1.90036118</v>
      </c>
      <c r="AH113" s="3">
        <v>1.90036118</v>
      </c>
      <c r="AI113" s="3">
        <v>1.90036118</v>
      </c>
      <c r="AJ113" s="4">
        <f t="shared" si="2"/>
        <v>0.06210067</v>
      </c>
    </row>
    <row r="114">
      <c r="A114" s="1" t="s">
        <v>231</v>
      </c>
      <c r="B114" s="1" t="s">
        <v>232</v>
      </c>
      <c r="C114" s="1" t="s">
        <v>7</v>
      </c>
      <c r="D114" s="1" t="s">
        <v>8</v>
      </c>
      <c r="E114" s="3">
        <v>0.17027431</v>
      </c>
      <c r="F114" s="3">
        <v>0.18300249</v>
      </c>
      <c r="G114" s="3">
        <v>0.19573067</v>
      </c>
      <c r="H114" s="3">
        <v>0.20845885</v>
      </c>
      <c r="I114" s="3">
        <v>0.22118703</v>
      </c>
      <c r="J114" s="3">
        <v>0.23391521</v>
      </c>
      <c r="K114" s="3">
        <v>0.24664339</v>
      </c>
      <c r="L114" s="3">
        <v>0.25937157</v>
      </c>
      <c r="M114" s="3">
        <v>0.27209975</v>
      </c>
      <c r="N114" s="3">
        <v>0.28482793</v>
      </c>
      <c r="O114" s="3">
        <v>0.29755611</v>
      </c>
      <c r="P114" s="3">
        <v>0.3123591</v>
      </c>
      <c r="Q114" s="3">
        <v>0.32716209</v>
      </c>
      <c r="R114" s="3">
        <v>0.34196509</v>
      </c>
      <c r="S114" s="3">
        <v>0.35676808</v>
      </c>
      <c r="T114" s="3">
        <v>0.37157107</v>
      </c>
      <c r="U114" s="3">
        <v>0.38637406</v>
      </c>
      <c r="V114" s="3">
        <v>0.40117706</v>
      </c>
      <c r="W114" s="3">
        <v>0.41598005</v>
      </c>
      <c r="X114" s="3">
        <v>0.43078304</v>
      </c>
      <c r="Y114" s="3">
        <v>0.44558603</v>
      </c>
      <c r="Z114" s="3">
        <v>0.45254863</v>
      </c>
      <c r="AA114" s="3">
        <v>0.45951122</v>
      </c>
      <c r="AB114" s="3">
        <v>0.46647382</v>
      </c>
      <c r="AC114" s="3">
        <v>0.47343641</v>
      </c>
      <c r="AD114" s="3">
        <v>0.480399</v>
      </c>
      <c r="AE114" s="3">
        <v>0.48538653</v>
      </c>
      <c r="AF114" s="3">
        <v>0.49256858</v>
      </c>
      <c r="AG114" s="3">
        <v>0.49628087</v>
      </c>
      <c r="AH114" s="3">
        <v>0.50272736</v>
      </c>
      <c r="AI114" s="3">
        <v>0.50927303</v>
      </c>
      <c r="AJ114" s="4">
        <f t="shared" si="2"/>
        <v>0.33899872</v>
      </c>
    </row>
    <row r="115">
      <c r="A115" s="1" t="s">
        <v>233</v>
      </c>
      <c r="B115" s="1" t="s">
        <v>234</v>
      </c>
      <c r="C115" s="1" t="s">
        <v>7</v>
      </c>
      <c r="D115" s="1" t="s">
        <v>8</v>
      </c>
      <c r="E115" s="3">
        <v>6.09981516</v>
      </c>
      <c r="F115" s="3">
        <v>6.19685767</v>
      </c>
      <c r="G115" s="3">
        <v>6.29390018</v>
      </c>
      <c r="H115" s="3">
        <v>6.3909427</v>
      </c>
      <c r="I115" s="3">
        <v>6.48798521</v>
      </c>
      <c r="J115" s="3">
        <v>6.58502773</v>
      </c>
      <c r="K115" s="3">
        <v>6.68207024</v>
      </c>
      <c r="L115" s="3">
        <v>6.77911275</v>
      </c>
      <c r="M115" s="3">
        <v>6.87615527</v>
      </c>
      <c r="N115" s="3">
        <v>6.97319778</v>
      </c>
      <c r="O115" s="3">
        <v>7.0702403</v>
      </c>
      <c r="P115" s="3">
        <v>7.07486137</v>
      </c>
      <c r="Q115" s="3">
        <v>7.07948244</v>
      </c>
      <c r="R115" s="3">
        <v>7.08410351</v>
      </c>
      <c r="S115" s="3">
        <v>7.08872458</v>
      </c>
      <c r="T115" s="3">
        <v>7.09334566</v>
      </c>
      <c r="U115" s="3">
        <v>7.09796673</v>
      </c>
      <c r="V115" s="3">
        <v>7.1025878</v>
      </c>
      <c r="W115" s="3">
        <v>7.10720887</v>
      </c>
      <c r="X115" s="3">
        <v>7.11182994</v>
      </c>
      <c r="Y115" s="3">
        <v>7.11645102</v>
      </c>
      <c r="Z115" s="3">
        <v>7.2181146</v>
      </c>
      <c r="AA115" s="3">
        <v>7.31977819</v>
      </c>
      <c r="AB115" s="3">
        <v>7.42144177</v>
      </c>
      <c r="AC115" s="3">
        <v>7.52310536</v>
      </c>
      <c r="AD115" s="3">
        <v>7.62476895</v>
      </c>
      <c r="AE115" s="3">
        <v>6.46950092</v>
      </c>
      <c r="AF115" s="3">
        <v>6.46950092</v>
      </c>
      <c r="AG115" s="3">
        <v>6.46950092</v>
      </c>
      <c r="AH115" s="3">
        <v>6.46950092</v>
      </c>
      <c r="AI115" s="3">
        <v>6.46950092</v>
      </c>
      <c r="AJ115" s="4">
        <f t="shared" si="2"/>
        <v>0.36968576</v>
      </c>
    </row>
    <row r="116">
      <c r="A116" s="1" t="s">
        <v>235</v>
      </c>
      <c r="B116" s="1" t="s">
        <v>236</v>
      </c>
      <c r="C116" s="1" t="s">
        <v>7</v>
      </c>
      <c r="D116" s="1" t="s">
        <v>8</v>
      </c>
      <c r="E116" s="3">
        <v>25.805821</v>
      </c>
      <c r="F116" s="3">
        <v>26.0708578</v>
      </c>
      <c r="G116" s="3">
        <v>26.3358947</v>
      </c>
      <c r="H116" s="3">
        <v>26.6009316</v>
      </c>
      <c r="I116" s="3">
        <v>26.8659685</v>
      </c>
      <c r="J116" s="3">
        <v>27.1310054</v>
      </c>
      <c r="K116" s="3">
        <v>27.3960423</v>
      </c>
      <c r="L116" s="3">
        <v>27.6610792</v>
      </c>
      <c r="M116" s="3">
        <v>27.9261161</v>
      </c>
      <c r="N116" s="3">
        <v>28.191153</v>
      </c>
      <c r="O116" s="3">
        <v>28.4561899</v>
      </c>
      <c r="P116" s="3">
        <v>28.6801843</v>
      </c>
      <c r="Q116" s="3">
        <v>28.9041787</v>
      </c>
      <c r="R116" s="3">
        <v>29.1252023</v>
      </c>
      <c r="S116" s="3">
        <v>29.3491739</v>
      </c>
      <c r="T116" s="3">
        <v>29.5731454</v>
      </c>
      <c r="U116" s="3">
        <v>29.797117</v>
      </c>
      <c r="V116" s="3">
        <v>30.0210886</v>
      </c>
      <c r="W116" s="3">
        <v>30.2450602</v>
      </c>
      <c r="X116" s="3">
        <v>30.4690318</v>
      </c>
      <c r="Y116" s="3">
        <v>30.6930033</v>
      </c>
      <c r="Z116" s="3">
        <v>30.8759366</v>
      </c>
      <c r="AA116" s="3">
        <v>31.0588699</v>
      </c>
      <c r="AB116" s="3">
        <v>31.2418032</v>
      </c>
      <c r="AC116" s="3">
        <v>31.4247365</v>
      </c>
      <c r="AD116" s="3">
        <v>31.6076698</v>
      </c>
      <c r="AE116" s="3">
        <v>31.7906099</v>
      </c>
      <c r="AF116" s="3">
        <v>31.97355</v>
      </c>
      <c r="AG116" s="3">
        <v>31.7687502</v>
      </c>
      <c r="AH116" s="3">
        <v>31.9494844</v>
      </c>
      <c r="AI116" s="3">
        <v>32.1302187</v>
      </c>
      <c r="AJ116" s="4">
        <f t="shared" si="2"/>
        <v>6.3243977</v>
      </c>
    </row>
    <row r="117">
      <c r="A117" s="1" t="s">
        <v>237</v>
      </c>
      <c r="B117" s="1" t="s">
        <v>238</v>
      </c>
      <c r="C117" s="1" t="s">
        <v>7</v>
      </c>
      <c r="D117" s="1" t="s">
        <v>8</v>
      </c>
      <c r="E117" s="3">
        <v>48.132964</v>
      </c>
      <c r="F117" s="3">
        <v>48.1303786</v>
      </c>
      <c r="G117" s="3">
        <v>48.1277932</v>
      </c>
      <c r="H117" s="3">
        <v>48.1252078</v>
      </c>
      <c r="I117" s="3">
        <v>48.1226223</v>
      </c>
      <c r="J117" s="3">
        <v>48.1200369</v>
      </c>
      <c r="K117" s="3">
        <v>48.1174515</v>
      </c>
      <c r="L117" s="3">
        <v>48.1148661</v>
      </c>
      <c r="M117" s="3">
        <v>48.1122807</v>
      </c>
      <c r="N117" s="3">
        <v>48.1096953</v>
      </c>
      <c r="O117" s="3">
        <v>48.1071099</v>
      </c>
      <c r="P117" s="3">
        <v>48.4529086</v>
      </c>
      <c r="Q117" s="3">
        <v>48.7987073</v>
      </c>
      <c r="R117" s="3">
        <v>49.144506</v>
      </c>
      <c r="S117" s="3">
        <v>49.4903047</v>
      </c>
      <c r="T117" s="3">
        <v>49.8361034</v>
      </c>
      <c r="U117" s="3">
        <v>50.1819021</v>
      </c>
      <c r="V117" s="3">
        <v>50.5277008</v>
      </c>
      <c r="W117" s="3">
        <v>50.8734995</v>
      </c>
      <c r="X117" s="3">
        <v>51.2192982</v>
      </c>
      <c r="Y117" s="3">
        <v>51.565097</v>
      </c>
      <c r="Z117" s="3">
        <v>51.9161588</v>
      </c>
      <c r="AA117" s="3">
        <v>52.2672207</v>
      </c>
      <c r="AB117" s="3">
        <v>52.6182825</v>
      </c>
      <c r="AC117" s="3">
        <v>52.9693444</v>
      </c>
      <c r="AD117" s="3">
        <v>53.3204063</v>
      </c>
      <c r="AE117" s="3">
        <v>53.6786704</v>
      </c>
      <c r="AF117" s="3">
        <v>54.0378578</v>
      </c>
      <c r="AG117" s="3">
        <v>54.3970452</v>
      </c>
      <c r="AH117" s="3">
        <v>54.7553093</v>
      </c>
      <c r="AI117" s="3">
        <v>55.1144968</v>
      </c>
      <c r="AJ117" s="4">
        <f t="shared" si="2"/>
        <v>6.9815328</v>
      </c>
    </row>
    <row r="118">
      <c r="A118" s="1" t="s">
        <v>239</v>
      </c>
      <c r="B118" s="1" t="s">
        <v>240</v>
      </c>
      <c r="C118" s="1" t="s">
        <v>7</v>
      </c>
      <c r="D118" s="1" t="s">
        <v>8</v>
      </c>
      <c r="E118" s="3">
        <v>1.10494107</v>
      </c>
      <c r="F118" s="3">
        <v>1.10494107</v>
      </c>
      <c r="G118" s="3">
        <v>1.10494107</v>
      </c>
      <c r="H118" s="3">
        <v>1.10494107</v>
      </c>
      <c r="I118" s="3">
        <v>1.10494107</v>
      </c>
      <c r="J118" s="3">
        <v>1.10494107</v>
      </c>
      <c r="K118" s="3">
        <v>1.10494107</v>
      </c>
      <c r="L118" s="3">
        <v>1.10494107</v>
      </c>
      <c r="M118" s="3">
        <v>1.10494107</v>
      </c>
      <c r="N118" s="3">
        <v>1.10494107</v>
      </c>
      <c r="O118" s="3">
        <v>1.10494107</v>
      </c>
      <c r="P118" s="3">
        <v>1.10494107</v>
      </c>
      <c r="Q118" s="3">
        <v>1.10494107</v>
      </c>
      <c r="R118" s="3">
        <v>1.10494107</v>
      </c>
      <c r="S118" s="3">
        <v>1.10494107</v>
      </c>
      <c r="T118" s="3">
        <v>1.10494107</v>
      </c>
      <c r="U118" s="3">
        <v>1.10494107</v>
      </c>
      <c r="V118" s="3">
        <v>1.10494107</v>
      </c>
      <c r="W118" s="3">
        <v>1.10494107</v>
      </c>
      <c r="X118" s="3">
        <v>1.09822032</v>
      </c>
      <c r="Y118" s="3">
        <v>1.09822032</v>
      </c>
      <c r="Z118" s="3">
        <v>1.09822032</v>
      </c>
      <c r="AA118" s="3">
        <v>1.09822032</v>
      </c>
      <c r="AB118" s="3">
        <v>1.09822032</v>
      </c>
      <c r="AC118" s="3">
        <v>1.09822032</v>
      </c>
      <c r="AD118" s="3">
        <v>1.09822032</v>
      </c>
      <c r="AE118" s="3">
        <v>1.09822032</v>
      </c>
      <c r="AF118" s="3">
        <v>1.09822032</v>
      </c>
      <c r="AG118" s="3">
        <v>1.09822032</v>
      </c>
      <c r="AH118" s="3">
        <v>1.09822032</v>
      </c>
      <c r="AI118" s="3">
        <v>1.09822032</v>
      </c>
      <c r="AJ118" s="4">
        <f t="shared" si="2"/>
        <v>-0.00672075</v>
      </c>
    </row>
    <row r="119">
      <c r="A119" s="1" t="s">
        <v>241</v>
      </c>
      <c r="B119" s="1" t="s">
        <v>242</v>
      </c>
      <c r="C119" s="1" t="s">
        <v>7</v>
      </c>
      <c r="D119" s="1" t="s">
        <v>8</v>
      </c>
      <c r="E119" s="3">
        <v>68.4311574</v>
      </c>
      <c r="F119" s="3">
        <v>68.4108612</v>
      </c>
      <c r="G119" s="3">
        <v>68.390565</v>
      </c>
      <c r="H119" s="3">
        <v>68.3702688</v>
      </c>
      <c r="I119" s="3">
        <v>68.3499726</v>
      </c>
      <c r="J119" s="3">
        <v>68.3296764</v>
      </c>
      <c r="K119" s="3">
        <v>68.3281207</v>
      </c>
      <c r="L119" s="3">
        <v>68.3078189</v>
      </c>
      <c r="M119" s="3">
        <v>68.2875171</v>
      </c>
      <c r="N119" s="3">
        <v>68.2672154</v>
      </c>
      <c r="O119" s="3">
        <v>68.2469136</v>
      </c>
      <c r="P119" s="3">
        <v>68.2716049</v>
      </c>
      <c r="Q119" s="3">
        <v>68.2962963</v>
      </c>
      <c r="R119" s="3">
        <v>68.3209877</v>
      </c>
      <c r="S119" s="3">
        <v>68.345679</v>
      </c>
      <c r="T119" s="3">
        <v>68.3703704</v>
      </c>
      <c r="U119" s="3">
        <v>68.3950617</v>
      </c>
      <c r="V119" s="3">
        <v>68.4197531</v>
      </c>
      <c r="W119" s="3">
        <v>68.4444444</v>
      </c>
      <c r="X119" s="3">
        <v>68.4691358</v>
      </c>
      <c r="Y119" s="3">
        <v>68.4938272</v>
      </c>
      <c r="Z119" s="3">
        <v>68.4817558</v>
      </c>
      <c r="AA119" s="3">
        <v>68.4696845</v>
      </c>
      <c r="AB119" s="3">
        <v>68.4576132</v>
      </c>
      <c r="AC119" s="3">
        <v>68.4455418</v>
      </c>
      <c r="AD119" s="3">
        <v>68.4334705</v>
      </c>
      <c r="AE119" s="3">
        <v>68.4224966</v>
      </c>
      <c r="AF119" s="3">
        <v>68.4087791</v>
      </c>
      <c r="AG119" s="3">
        <v>68.4087791</v>
      </c>
      <c r="AH119" s="3">
        <v>68.4087791</v>
      </c>
      <c r="AI119" s="3">
        <v>68.4087791</v>
      </c>
      <c r="AJ119" s="4">
        <f t="shared" si="2"/>
        <v>-0.0223783</v>
      </c>
    </row>
    <row r="120">
      <c r="A120" s="1" t="s">
        <v>243</v>
      </c>
      <c r="B120" s="1" t="s">
        <v>244</v>
      </c>
      <c r="C120" s="1" t="s">
        <v>7</v>
      </c>
      <c r="D120" s="1" t="s">
        <v>8</v>
      </c>
      <c r="E120" s="3">
        <v>1.26754825</v>
      </c>
      <c r="F120" s="3">
        <v>1.26754825</v>
      </c>
      <c r="G120" s="3">
        <v>1.17093788</v>
      </c>
      <c r="H120" s="3">
        <v>1.17074086</v>
      </c>
      <c r="I120" s="3">
        <v>1.17054384</v>
      </c>
      <c r="J120" s="3">
        <v>1.17034682</v>
      </c>
      <c r="K120" s="3">
        <v>1.17014979</v>
      </c>
      <c r="L120" s="3">
        <v>1.16995277</v>
      </c>
      <c r="M120" s="3">
        <v>1.16975575</v>
      </c>
      <c r="N120" s="3">
        <v>1.16955873</v>
      </c>
      <c r="O120" s="3">
        <v>1.16936171</v>
      </c>
      <c r="P120" s="3">
        <v>1.16659303</v>
      </c>
      <c r="Q120" s="3">
        <v>1.16382431</v>
      </c>
      <c r="R120" s="3">
        <v>1.16105564</v>
      </c>
      <c r="S120" s="3">
        <v>1.15828696</v>
      </c>
      <c r="T120" s="3">
        <v>1.15551828</v>
      </c>
      <c r="U120" s="3">
        <v>1.15274956</v>
      </c>
      <c r="V120" s="3">
        <v>1.14998089</v>
      </c>
      <c r="W120" s="3">
        <v>1.14721221</v>
      </c>
      <c r="X120" s="3">
        <v>1.14444349</v>
      </c>
      <c r="Y120" s="3">
        <v>1.14167482</v>
      </c>
      <c r="Z120" s="3">
        <v>1.15843794</v>
      </c>
      <c r="AA120" s="3">
        <v>1.17520102</v>
      </c>
      <c r="AB120" s="3">
        <v>1.19196411</v>
      </c>
      <c r="AC120" s="3">
        <v>1.20872723</v>
      </c>
      <c r="AD120" s="3">
        <v>1.22549031</v>
      </c>
      <c r="AE120" s="3">
        <v>1.23632626</v>
      </c>
      <c r="AF120" s="3">
        <v>1.2471608</v>
      </c>
      <c r="AG120" s="3">
        <v>1.25799207</v>
      </c>
      <c r="AH120" s="3">
        <v>1.26882246</v>
      </c>
      <c r="AI120" s="3">
        <v>1.27965329</v>
      </c>
      <c r="AJ120" s="4">
        <f t="shared" si="2"/>
        <v>0.01210504</v>
      </c>
    </row>
    <row r="121">
      <c r="A121" s="1" t="s">
        <v>245</v>
      </c>
      <c r="B121" s="1" t="s">
        <v>246</v>
      </c>
      <c r="C121" s="1" t="s">
        <v>7</v>
      </c>
      <c r="D121" s="1" t="s">
        <v>8</v>
      </c>
      <c r="E121" s="3">
        <v>6.77959729</v>
      </c>
      <c r="F121" s="3">
        <v>6.79763327</v>
      </c>
      <c r="G121" s="3">
        <v>6.81566926</v>
      </c>
      <c r="H121" s="3">
        <v>6.83370524</v>
      </c>
      <c r="I121" s="3">
        <v>6.85174122</v>
      </c>
      <c r="J121" s="3">
        <v>6.86977721</v>
      </c>
      <c r="K121" s="3">
        <v>6.88781319</v>
      </c>
      <c r="L121" s="3">
        <v>6.90584918</v>
      </c>
      <c r="M121" s="3">
        <v>6.92388516</v>
      </c>
      <c r="N121" s="3">
        <v>6.94192114</v>
      </c>
      <c r="O121" s="3">
        <v>6.95995713</v>
      </c>
      <c r="P121" s="3">
        <v>6.89936571</v>
      </c>
      <c r="Q121" s="3">
        <v>6.83877429</v>
      </c>
      <c r="R121" s="3">
        <v>6.77818287</v>
      </c>
      <c r="S121" s="3">
        <v>6.71759145</v>
      </c>
      <c r="T121" s="3">
        <v>6.65700004</v>
      </c>
      <c r="U121" s="3">
        <v>6.59640862</v>
      </c>
      <c r="V121" s="3">
        <v>6.5358172</v>
      </c>
      <c r="W121" s="3">
        <v>6.47522578</v>
      </c>
      <c r="X121" s="3">
        <v>6.41463436</v>
      </c>
      <c r="Y121" s="3">
        <v>6.35404294</v>
      </c>
      <c r="Z121" s="3">
        <v>6.32103525</v>
      </c>
      <c r="AA121" s="3">
        <v>6.28802755</v>
      </c>
      <c r="AB121" s="3">
        <v>6.25501985</v>
      </c>
      <c r="AC121" s="3">
        <v>6.22201216</v>
      </c>
      <c r="AD121" s="3">
        <v>6.18900446</v>
      </c>
      <c r="AE121" s="3">
        <v>6.24094247</v>
      </c>
      <c r="AF121" s="3">
        <v>6.29288049</v>
      </c>
      <c r="AG121" s="3">
        <v>6.3448185</v>
      </c>
      <c r="AH121" s="3">
        <v>6.3448185</v>
      </c>
      <c r="AI121" s="3">
        <v>6.3448185</v>
      </c>
      <c r="AJ121" s="4">
        <f t="shared" si="2"/>
        <v>-0.43477879</v>
      </c>
    </row>
    <row r="122">
      <c r="A122" s="1" t="s">
        <v>247</v>
      </c>
      <c r="B122" s="1" t="s">
        <v>248</v>
      </c>
      <c r="C122" s="1" t="s">
        <v>7</v>
      </c>
      <c r="D122" s="1" t="s">
        <v>8</v>
      </c>
      <c r="E122" s="3">
        <v>4.35870699</v>
      </c>
      <c r="F122" s="3">
        <v>4.35870699</v>
      </c>
      <c r="G122" s="3">
        <v>5.97141814</v>
      </c>
      <c r="H122" s="3">
        <v>5.99460792</v>
      </c>
      <c r="I122" s="3">
        <v>6.01779718</v>
      </c>
      <c r="J122" s="3">
        <v>6.04098697</v>
      </c>
      <c r="K122" s="3">
        <v>6.06417623</v>
      </c>
      <c r="L122" s="3">
        <v>6.08736548</v>
      </c>
      <c r="M122" s="3">
        <v>6.11055527</v>
      </c>
      <c r="N122" s="3">
        <v>6.13374505</v>
      </c>
      <c r="O122" s="3">
        <v>6.15693431</v>
      </c>
      <c r="P122" s="3">
        <v>6.18236705</v>
      </c>
      <c r="Q122" s="3">
        <v>6.20779979</v>
      </c>
      <c r="R122" s="3">
        <v>6.23323253</v>
      </c>
      <c r="S122" s="3">
        <v>6.25866528</v>
      </c>
      <c r="T122" s="3">
        <v>6.28409802</v>
      </c>
      <c r="U122" s="3">
        <v>6.30953076</v>
      </c>
      <c r="V122" s="3">
        <v>6.3349635</v>
      </c>
      <c r="W122" s="3">
        <v>6.36039625</v>
      </c>
      <c r="X122" s="3">
        <v>6.38582899</v>
      </c>
      <c r="Y122" s="3">
        <v>6.41126173</v>
      </c>
      <c r="Z122" s="3">
        <v>6.43433785</v>
      </c>
      <c r="AA122" s="3">
        <v>6.45741397</v>
      </c>
      <c r="AB122" s="3">
        <v>6.48049009</v>
      </c>
      <c r="AC122" s="3">
        <v>6.50356621</v>
      </c>
      <c r="AD122" s="3">
        <v>6.52664234</v>
      </c>
      <c r="AE122" s="3">
        <v>6.54973931</v>
      </c>
      <c r="AF122" s="3">
        <v>6.57280615</v>
      </c>
      <c r="AG122" s="3">
        <v>6.66788321</v>
      </c>
      <c r="AH122" s="3">
        <v>6.76298227</v>
      </c>
      <c r="AI122" s="3">
        <v>6.85808133</v>
      </c>
      <c r="AJ122" s="4">
        <f t="shared" si="2"/>
        <v>2.49937434</v>
      </c>
    </row>
    <row r="123">
      <c r="A123" s="1" t="s">
        <v>249</v>
      </c>
      <c r="B123" s="1" t="s">
        <v>250</v>
      </c>
      <c r="C123" s="1" t="s">
        <v>7</v>
      </c>
      <c r="D123" s="1" t="s">
        <v>8</v>
      </c>
      <c r="E123" s="3">
        <v>62.3430206</v>
      </c>
      <c r="F123" s="3">
        <v>62.2162418</v>
      </c>
      <c r="G123" s="3">
        <v>62.089463</v>
      </c>
      <c r="H123" s="3">
        <v>61.9626841</v>
      </c>
      <c r="I123" s="3">
        <v>61.8359053</v>
      </c>
      <c r="J123" s="3">
        <v>61.7091264</v>
      </c>
      <c r="K123" s="3">
        <v>61.5823476</v>
      </c>
      <c r="L123" s="3">
        <v>61.4555688</v>
      </c>
      <c r="M123" s="3">
        <v>61.3287899</v>
      </c>
      <c r="N123" s="3">
        <v>61.2020111</v>
      </c>
      <c r="O123" s="3">
        <v>61.0752323</v>
      </c>
      <c r="P123" s="3">
        <v>60.966593</v>
      </c>
      <c r="Q123" s="3">
        <v>60.8579538</v>
      </c>
      <c r="R123" s="3">
        <v>60.7493145</v>
      </c>
      <c r="S123" s="3">
        <v>60.6406753</v>
      </c>
      <c r="T123" s="3">
        <v>60.532036</v>
      </c>
      <c r="U123" s="3">
        <v>60.4233968</v>
      </c>
      <c r="V123" s="3">
        <v>60.3147575</v>
      </c>
      <c r="W123" s="3">
        <v>60.2061183</v>
      </c>
      <c r="X123" s="3">
        <v>60.097479</v>
      </c>
      <c r="Y123" s="3">
        <v>59.9888398</v>
      </c>
      <c r="Z123" s="3">
        <v>58.0146612</v>
      </c>
      <c r="AA123" s="3">
        <v>56.0404827</v>
      </c>
      <c r="AB123" s="3">
        <v>54.0663041</v>
      </c>
      <c r="AC123" s="3">
        <v>52.0921255</v>
      </c>
      <c r="AD123" s="3">
        <v>50.117947</v>
      </c>
      <c r="AE123" s="3">
        <v>49.2359506</v>
      </c>
      <c r="AF123" s="3">
        <v>48.3539542</v>
      </c>
      <c r="AG123" s="3">
        <v>47.4719579</v>
      </c>
      <c r="AH123" s="3">
        <v>46.5899615</v>
      </c>
      <c r="AI123" s="3">
        <v>45.7079651</v>
      </c>
      <c r="AJ123" s="4">
        <f t="shared" si="2"/>
        <v>-16.6350555</v>
      </c>
    </row>
    <row r="124">
      <c r="A124" s="1" t="s">
        <v>251</v>
      </c>
      <c r="B124" s="1" t="s">
        <v>252</v>
      </c>
      <c r="C124" s="1" t="s">
        <v>7</v>
      </c>
      <c r="D124" s="1" t="s">
        <v>8</v>
      </c>
      <c r="E124" s="3">
        <v>1.45679012</v>
      </c>
      <c r="F124" s="3">
        <v>1.45679012</v>
      </c>
      <c r="G124" s="3">
        <v>1.45679012</v>
      </c>
      <c r="H124" s="3">
        <v>1.45679012</v>
      </c>
      <c r="I124" s="3">
        <v>1.45679012</v>
      </c>
      <c r="J124" s="3">
        <v>1.45679012</v>
      </c>
      <c r="K124" s="3">
        <v>1.45679012</v>
      </c>
      <c r="L124" s="3">
        <v>1.45679012</v>
      </c>
      <c r="M124" s="3">
        <v>1.45679012</v>
      </c>
      <c r="N124" s="3">
        <v>1.45679012</v>
      </c>
      <c r="O124" s="3">
        <v>1.45679012</v>
      </c>
      <c r="P124" s="3">
        <v>1.45679012</v>
      </c>
      <c r="Q124" s="3">
        <v>1.45679012</v>
      </c>
      <c r="R124" s="3">
        <v>1.45679012</v>
      </c>
      <c r="S124" s="3">
        <v>1.45679012</v>
      </c>
      <c r="T124" s="3">
        <v>1.45679012</v>
      </c>
      <c r="U124" s="3">
        <v>1.45679012</v>
      </c>
      <c r="V124" s="3">
        <v>1.45679012</v>
      </c>
      <c r="W124" s="3">
        <v>1.45679012</v>
      </c>
      <c r="X124" s="3">
        <v>1.45679012</v>
      </c>
      <c r="Y124" s="3">
        <v>1.45679012</v>
      </c>
      <c r="Z124" s="3">
        <v>1.45679012</v>
      </c>
      <c r="AA124" s="3">
        <v>1.45679012</v>
      </c>
      <c r="AB124" s="3">
        <v>1.45679012</v>
      </c>
      <c r="AC124" s="3">
        <v>1.45679012</v>
      </c>
      <c r="AD124" s="3">
        <v>1.45679012</v>
      </c>
      <c r="AE124" s="3">
        <v>1.45679012</v>
      </c>
      <c r="AF124" s="3">
        <v>1.45679012</v>
      </c>
      <c r="AG124" s="3">
        <v>1.45679012</v>
      </c>
      <c r="AH124" s="3">
        <v>1.45679012</v>
      </c>
      <c r="AI124" s="3">
        <v>1.45679012</v>
      </c>
      <c r="AJ124" s="4">
        <f t="shared" si="2"/>
        <v>0</v>
      </c>
    </row>
    <row r="125">
      <c r="A125" s="1" t="s">
        <v>253</v>
      </c>
      <c r="B125" s="1" t="s">
        <v>254</v>
      </c>
      <c r="C125" s="1" t="s">
        <v>7</v>
      </c>
      <c r="D125" s="1" t="s">
        <v>8</v>
      </c>
      <c r="E125" s="3">
        <v>42.3076923</v>
      </c>
      <c r="F125" s="3">
        <v>42.3076923</v>
      </c>
      <c r="G125" s="3">
        <v>42.3076923</v>
      </c>
      <c r="H125" s="3">
        <v>42.3076923</v>
      </c>
      <c r="I125" s="3">
        <v>42.3076923</v>
      </c>
      <c r="J125" s="3">
        <v>42.3076923</v>
      </c>
      <c r="K125" s="3">
        <v>42.3076923</v>
      </c>
      <c r="L125" s="3">
        <v>42.3076923</v>
      </c>
      <c r="M125" s="3">
        <v>42.3076923</v>
      </c>
      <c r="N125" s="3">
        <v>42.3076923</v>
      </c>
      <c r="O125" s="3">
        <v>42.3076923</v>
      </c>
      <c r="P125" s="3">
        <v>42.3076923</v>
      </c>
      <c r="Q125" s="3">
        <v>42.3076923</v>
      </c>
      <c r="R125" s="3">
        <v>42.3076923</v>
      </c>
      <c r="S125" s="3">
        <v>42.3076923</v>
      </c>
      <c r="T125" s="3">
        <v>42.3076923</v>
      </c>
      <c r="U125" s="3">
        <v>42.3076923</v>
      </c>
      <c r="V125" s="3">
        <v>42.3076923</v>
      </c>
      <c r="W125" s="3">
        <v>42.3076923</v>
      </c>
      <c r="X125" s="3">
        <v>42.3076923</v>
      </c>
      <c r="Y125" s="3">
        <v>42.3076923</v>
      </c>
      <c r="Z125" s="3">
        <v>42.3076923</v>
      </c>
      <c r="AA125" s="3">
        <v>42.3076923</v>
      </c>
      <c r="AB125" s="3">
        <v>42.3076923</v>
      </c>
      <c r="AC125" s="3">
        <v>42.3076923</v>
      </c>
      <c r="AD125" s="3">
        <v>42.3076923</v>
      </c>
      <c r="AE125" s="3">
        <v>42.3076923</v>
      </c>
      <c r="AF125" s="3">
        <v>42.3076923</v>
      </c>
      <c r="AG125" s="3">
        <v>42.3076923</v>
      </c>
      <c r="AH125" s="3">
        <v>42.3076923</v>
      </c>
      <c r="AI125" s="3">
        <v>42.3076923</v>
      </c>
      <c r="AJ125" s="4">
        <f t="shared" si="2"/>
        <v>0</v>
      </c>
    </row>
    <row r="126">
      <c r="A126" s="1" t="s">
        <v>255</v>
      </c>
      <c r="B126" s="1" t="s">
        <v>256</v>
      </c>
      <c r="C126" s="1" t="s">
        <v>7</v>
      </c>
      <c r="D126" s="1" t="s">
        <v>8</v>
      </c>
      <c r="E126" s="3">
        <v>67.9141613</v>
      </c>
      <c r="F126" s="3">
        <v>67.8364089</v>
      </c>
      <c r="G126" s="3">
        <v>67.7586564</v>
      </c>
      <c r="H126" s="3">
        <v>67.680904</v>
      </c>
      <c r="I126" s="3">
        <v>67.6031516</v>
      </c>
      <c r="J126" s="3">
        <v>67.5253991</v>
      </c>
      <c r="K126" s="3">
        <v>67.4476467</v>
      </c>
      <c r="L126" s="3">
        <v>67.3698943</v>
      </c>
      <c r="M126" s="3">
        <v>67.2921418</v>
      </c>
      <c r="N126" s="3">
        <v>67.2143894</v>
      </c>
      <c r="O126" s="3">
        <v>67.1366369</v>
      </c>
      <c r="P126" s="3">
        <v>66.8503204</v>
      </c>
      <c r="Q126" s="3">
        <v>66.7238351</v>
      </c>
      <c r="R126" s="3">
        <v>66.625</v>
      </c>
      <c r="S126" s="3">
        <v>66.5193142</v>
      </c>
      <c r="T126" s="3">
        <v>66.4068147</v>
      </c>
      <c r="U126" s="3">
        <v>66.2943848</v>
      </c>
      <c r="V126" s="3">
        <v>66.175196</v>
      </c>
      <c r="W126" s="3">
        <v>66.0356738</v>
      </c>
      <c r="X126" s="3">
        <v>65.8963528</v>
      </c>
      <c r="Y126" s="3">
        <v>65.7098765</v>
      </c>
      <c r="Z126" s="3">
        <v>65.6137463</v>
      </c>
      <c r="AA126" s="3">
        <v>65.4300689</v>
      </c>
      <c r="AB126" s="3">
        <v>65.2495227</v>
      </c>
      <c r="AC126" s="3">
        <v>65.1442061</v>
      </c>
      <c r="AD126" s="3">
        <v>65.0315563</v>
      </c>
      <c r="AE126" s="3">
        <v>64.8791146</v>
      </c>
      <c r="AF126" s="3">
        <v>64.7830992</v>
      </c>
      <c r="AG126" s="3">
        <v>64.673913</v>
      </c>
      <c r="AH126" s="3">
        <v>64.57137</v>
      </c>
      <c r="AI126" s="3">
        <v>64.4688269</v>
      </c>
      <c r="AJ126" s="4">
        <f t="shared" si="2"/>
        <v>-3.4453344</v>
      </c>
    </row>
    <row r="127">
      <c r="A127" s="1" t="s">
        <v>257</v>
      </c>
      <c r="B127" s="1" t="s">
        <v>258</v>
      </c>
      <c r="C127" s="1" t="s">
        <v>7</v>
      </c>
      <c r="D127" s="1" t="s">
        <v>8</v>
      </c>
      <c r="E127" s="3">
        <v>0.19360269</v>
      </c>
      <c r="F127" s="3">
        <v>0.20145903</v>
      </c>
      <c r="G127" s="3">
        <v>0.20931538</v>
      </c>
      <c r="H127" s="3">
        <v>0.21717172</v>
      </c>
      <c r="I127" s="3">
        <v>0.22502806</v>
      </c>
      <c r="J127" s="3">
        <v>0.2328844</v>
      </c>
      <c r="K127" s="3">
        <v>0.24074074</v>
      </c>
      <c r="L127" s="3">
        <v>0.24859708</v>
      </c>
      <c r="M127" s="3">
        <v>0.25645342</v>
      </c>
      <c r="N127" s="3">
        <v>0.26430976</v>
      </c>
      <c r="O127" s="3">
        <v>0.27216611</v>
      </c>
      <c r="P127" s="3">
        <v>0.28002245</v>
      </c>
      <c r="Q127" s="3">
        <v>0.28787879</v>
      </c>
      <c r="R127" s="3">
        <v>0.29573513</v>
      </c>
      <c r="S127" s="3">
        <v>0.30359147</v>
      </c>
      <c r="T127" s="3">
        <v>0.31144781</v>
      </c>
      <c r="U127" s="3">
        <v>0.31930415</v>
      </c>
      <c r="V127" s="3">
        <v>0.32716049</v>
      </c>
      <c r="W127" s="3">
        <v>0.33501684</v>
      </c>
      <c r="X127" s="3">
        <v>0.34287318</v>
      </c>
      <c r="Y127" s="3">
        <v>0.35072952</v>
      </c>
      <c r="Z127" s="3">
        <v>0.35072952</v>
      </c>
      <c r="AA127" s="3">
        <v>0.35072952</v>
      </c>
      <c r="AB127" s="3">
        <v>0.35072952</v>
      </c>
      <c r="AC127" s="3">
        <v>0.35072952</v>
      </c>
      <c r="AD127" s="3">
        <v>0.35072952</v>
      </c>
      <c r="AE127" s="3">
        <v>0.35072952</v>
      </c>
      <c r="AF127" s="3">
        <v>0.35072952</v>
      </c>
      <c r="AG127" s="3">
        <v>0.35072952</v>
      </c>
      <c r="AH127" s="3">
        <v>0.35072952</v>
      </c>
      <c r="AI127" s="3">
        <v>0.35072952</v>
      </c>
      <c r="AJ127" s="4">
        <f t="shared" si="2"/>
        <v>0.15712683</v>
      </c>
    </row>
    <row r="128">
      <c r="A128" s="1" t="s">
        <v>259</v>
      </c>
      <c r="B128" s="1" t="s">
        <v>260</v>
      </c>
      <c r="C128" s="1" t="s">
        <v>7</v>
      </c>
      <c r="D128" s="1" t="s">
        <v>8</v>
      </c>
      <c r="E128" s="3">
        <v>54.855804</v>
      </c>
      <c r="F128" s="3">
        <v>54.5659113</v>
      </c>
      <c r="G128" s="3">
        <v>54.2760187</v>
      </c>
      <c r="H128" s="3">
        <v>53.9861261</v>
      </c>
      <c r="I128" s="3">
        <v>53.6962335</v>
      </c>
      <c r="J128" s="3">
        <v>53.4063409</v>
      </c>
      <c r="K128" s="3">
        <v>53.1164483</v>
      </c>
      <c r="L128" s="3">
        <v>52.8265557</v>
      </c>
      <c r="M128" s="3">
        <v>52.6188084</v>
      </c>
      <c r="N128" s="3">
        <v>52.3284626</v>
      </c>
      <c r="O128" s="3">
        <v>52.0381167</v>
      </c>
      <c r="P128" s="3">
        <v>51.7362089</v>
      </c>
      <c r="Q128" s="3">
        <v>51.4371534</v>
      </c>
      <c r="R128" s="3">
        <v>51.1352008</v>
      </c>
      <c r="S128" s="3">
        <v>50.8332485</v>
      </c>
      <c r="T128" s="3">
        <v>50.5312411</v>
      </c>
      <c r="U128" s="3">
        <v>50.2293451</v>
      </c>
      <c r="V128" s="3">
        <v>49.9273938</v>
      </c>
      <c r="W128" s="3">
        <v>49.6254701</v>
      </c>
      <c r="X128" s="3">
        <v>49.3235465</v>
      </c>
      <c r="Y128" s="3">
        <v>49.0216228</v>
      </c>
      <c r="Z128" s="3">
        <v>48.8590841</v>
      </c>
      <c r="AA128" s="3">
        <v>48.698256</v>
      </c>
      <c r="AB128" s="3">
        <v>48.5433276</v>
      </c>
      <c r="AC128" s="3">
        <v>48.3830198</v>
      </c>
      <c r="AD128" s="3">
        <v>48.2213806</v>
      </c>
      <c r="AE128" s="3">
        <v>48.0578331</v>
      </c>
      <c r="AF128" s="3">
        <v>47.8668234</v>
      </c>
      <c r="AG128" s="3">
        <v>47.7363989</v>
      </c>
      <c r="AH128" s="3">
        <v>47.5946306</v>
      </c>
      <c r="AI128" s="3">
        <v>47.4581064</v>
      </c>
      <c r="AJ128" s="4">
        <f t="shared" si="2"/>
        <v>-7.3976976</v>
      </c>
    </row>
    <row r="129">
      <c r="A129" s="1" t="s">
        <v>261</v>
      </c>
      <c r="B129" s="1" t="s">
        <v>262</v>
      </c>
      <c r="C129" s="1" t="s">
        <v>7</v>
      </c>
      <c r="D129" s="1" t="s">
        <v>8</v>
      </c>
      <c r="E129" s="3">
        <v>77.3093588</v>
      </c>
      <c r="F129" s="3">
        <v>77.1282496</v>
      </c>
      <c r="G129" s="3">
        <v>76.9471404</v>
      </c>
      <c r="H129" s="3">
        <v>76.7660312</v>
      </c>
      <c r="I129" s="3">
        <v>76.584922</v>
      </c>
      <c r="J129" s="3">
        <v>76.4038128</v>
      </c>
      <c r="K129" s="3">
        <v>76.2227036</v>
      </c>
      <c r="L129" s="3">
        <v>76.0415945</v>
      </c>
      <c r="M129" s="3">
        <v>75.8604853</v>
      </c>
      <c r="N129" s="3">
        <v>75.6793761</v>
      </c>
      <c r="O129" s="3">
        <v>75.4982669</v>
      </c>
      <c r="P129" s="3">
        <v>75.2883449</v>
      </c>
      <c r="Q129" s="3">
        <v>75.0784229</v>
      </c>
      <c r="R129" s="3">
        <v>74.8685009</v>
      </c>
      <c r="S129" s="3">
        <v>74.6585789</v>
      </c>
      <c r="T129" s="3">
        <v>74.4486568</v>
      </c>
      <c r="U129" s="3">
        <v>74.2387348</v>
      </c>
      <c r="V129" s="3">
        <v>74.0288128</v>
      </c>
      <c r="W129" s="3">
        <v>73.8188908</v>
      </c>
      <c r="X129" s="3">
        <v>73.6089688</v>
      </c>
      <c r="Y129" s="3">
        <v>73.3990468</v>
      </c>
      <c r="Z129" s="3">
        <v>73.2495667</v>
      </c>
      <c r="AA129" s="3">
        <v>73.1000867</v>
      </c>
      <c r="AB129" s="3">
        <v>72.9506066</v>
      </c>
      <c r="AC129" s="3">
        <v>72.8011265</v>
      </c>
      <c r="AD129" s="3">
        <v>72.6516464</v>
      </c>
      <c r="AE129" s="3">
        <v>72.5021664</v>
      </c>
      <c r="AF129" s="3">
        <v>72.3526863</v>
      </c>
      <c r="AG129" s="3">
        <v>72.2032062</v>
      </c>
      <c r="AH129" s="3">
        <v>72.0537262</v>
      </c>
      <c r="AI129" s="3">
        <v>71.9042461</v>
      </c>
      <c r="AJ129" s="4">
        <f t="shared" si="2"/>
        <v>-5.4051127</v>
      </c>
    </row>
    <row r="130">
      <c r="A130" s="1" t="s">
        <v>263</v>
      </c>
      <c r="B130" s="1" t="s">
        <v>264</v>
      </c>
      <c r="C130" s="1" t="s">
        <v>7</v>
      </c>
      <c r="D130" s="1" t="s">
        <v>8</v>
      </c>
      <c r="E130" s="3">
        <v>13.655914</v>
      </c>
      <c r="F130" s="3">
        <v>13.6410557</v>
      </c>
      <c r="G130" s="3">
        <v>13.6261975</v>
      </c>
      <c r="H130" s="3">
        <v>13.6113392</v>
      </c>
      <c r="I130" s="3">
        <v>13.5964809</v>
      </c>
      <c r="J130" s="3">
        <v>13.5816227</v>
      </c>
      <c r="K130" s="3">
        <v>13.5667644</v>
      </c>
      <c r="L130" s="3">
        <v>13.5519062</v>
      </c>
      <c r="M130" s="3">
        <v>13.5370479</v>
      </c>
      <c r="N130" s="3">
        <v>13.5221896</v>
      </c>
      <c r="O130" s="3">
        <v>13.5073314</v>
      </c>
      <c r="P130" s="3">
        <v>13.499218</v>
      </c>
      <c r="Q130" s="3">
        <v>13.4911046</v>
      </c>
      <c r="R130" s="3">
        <v>13.4829912</v>
      </c>
      <c r="S130" s="3">
        <v>13.4748778</v>
      </c>
      <c r="T130" s="3">
        <v>13.4667644</v>
      </c>
      <c r="U130" s="3">
        <v>13.458651</v>
      </c>
      <c r="V130" s="3">
        <v>13.4505376</v>
      </c>
      <c r="W130" s="3">
        <v>13.4424242</v>
      </c>
      <c r="X130" s="3">
        <v>13.4343109</v>
      </c>
      <c r="Y130" s="3">
        <v>13.4261975</v>
      </c>
      <c r="Z130" s="3">
        <v>13.4844575</v>
      </c>
      <c r="AA130" s="3">
        <v>13.5427175</v>
      </c>
      <c r="AB130" s="3">
        <v>13.6009775</v>
      </c>
      <c r="AC130" s="3">
        <v>13.6592375</v>
      </c>
      <c r="AD130" s="3">
        <v>13.7174976</v>
      </c>
      <c r="AE130" s="3">
        <v>13.7761486</v>
      </c>
      <c r="AF130" s="3">
        <v>13.8347996</v>
      </c>
      <c r="AG130" s="3">
        <v>13.8934506</v>
      </c>
      <c r="AH130" s="3">
        <v>13.9521017</v>
      </c>
      <c r="AI130" s="3">
        <v>14.0107527</v>
      </c>
      <c r="AJ130" s="4">
        <f t="shared" si="2"/>
        <v>0.3548387</v>
      </c>
    </row>
    <row r="131">
      <c r="A131" s="1" t="s">
        <v>265</v>
      </c>
      <c r="B131" s="1" t="s">
        <v>266</v>
      </c>
      <c r="C131" s="1" t="s">
        <v>7</v>
      </c>
      <c r="D131" s="1" t="s">
        <v>8</v>
      </c>
      <c r="E131" s="3">
        <v>88.5095515</v>
      </c>
      <c r="F131" s="3">
        <v>88.1953904</v>
      </c>
      <c r="G131" s="3">
        <v>87.8812292</v>
      </c>
      <c r="H131" s="3">
        <v>87.5670681</v>
      </c>
      <c r="I131" s="3">
        <v>87.252907</v>
      </c>
      <c r="J131" s="3">
        <v>86.9387458</v>
      </c>
      <c r="K131" s="3">
        <v>86.6245847</v>
      </c>
      <c r="L131" s="3">
        <v>86.3104236</v>
      </c>
      <c r="M131" s="3">
        <v>85.9962625</v>
      </c>
      <c r="N131" s="3">
        <v>85.6821013</v>
      </c>
      <c r="O131" s="3">
        <v>85.3679402</v>
      </c>
      <c r="P131" s="3">
        <v>85.0537791</v>
      </c>
      <c r="Q131" s="3">
        <v>84.7396179</v>
      </c>
      <c r="R131" s="3">
        <v>84.4254568</v>
      </c>
      <c r="S131" s="3">
        <v>84.1112957</v>
      </c>
      <c r="T131" s="3">
        <v>83.7971346</v>
      </c>
      <c r="U131" s="3">
        <v>83.4829734</v>
      </c>
      <c r="V131" s="3">
        <v>83.1688123</v>
      </c>
      <c r="W131" s="3">
        <v>82.8546512</v>
      </c>
      <c r="X131" s="3">
        <v>82.54049</v>
      </c>
      <c r="Y131" s="3">
        <v>82.2263289</v>
      </c>
      <c r="Z131" s="3">
        <v>81.9121678</v>
      </c>
      <c r="AA131" s="3">
        <v>81.5980066</v>
      </c>
      <c r="AB131" s="3">
        <v>81.2838455</v>
      </c>
      <c r="AC131" s="3">
        <v>80.9696844</v>
      </c>
      <c r="AD131" s="3">
        <v>80.6555233</v>
      </c>
      <c r="AE131" s="3">
        <v>80.3413621</v>
      </c>
      <c r="AF131" s="3">
        <v>80.027201</v>
      </c>
      <c r="AG131" s="3">
        <v>79.7130399</v>
      </c>
      <c r="AH131" s="3">
        <v>79.3988787</v>
      </c>
      <c r="AI131" s="3">
        <v>79.0847176</v>
      </c>
      <c r="AJ131" s="4">
        <f t="shared" si="2"/>
        <v>-9.4248339</v>
      </c>
    </row>
    <row r="132">
      <c r="A132" s="1" t="s">
        <v>267</v>
      </c>
      <c r="B132" s="1" t="s">
        <v>268</v>
      </c>
      <c r="C132" s="1" t="s">
        <v>7</v>
      </c>
      <c r="D132" s="1" t="s">
        <v>8</v>
      </c>
      <c r="E132" s="3">
        <v>0.12332769</v>
      </c>
      <c r="F132" s="3">
        <v>0.12332769</v>
      </c>
      <c r="G132" s="3">
        <v>0.12332769</v>
      </c>
      <c r="H132" s="3">
        <v>0.12332769</v>
      </c>
      <c r="I132" s="3">
        <v>0.12332769</v>
      </c>
      <c r="J132" s="3">
        <v>0.12332769</v>
      </c>
      <c r="K132" s="3">
        <v>0.12332769</v>
      </c>
      <c r="L132" s="3">
        <v>0.12332769</v>
      </c>
      <c r="M132" s="3">
        <v>0.12332769</v>
      </c>
      <c r="N132" s="3">
        <v>0.12332769</v>
      </c>
      <c r="O132" s="3">
        <v>0.12332769</v>
      </c>
      <c r="P132" s="3">
        <v>0.12332769</v>
      </c>
      <c r="Q132" s="3">
        <v>0.12332769</v>
      </c>
      <c r="R132" s="3">
        <v>0.12332769</v>
      </c>
      <c r="S132" s="3">
        <v>0.12332769</v>
      </c>
      <c r="T132" s="3">
        <v>0.12332769</v>
      </c>
      <c r="U132" s="3">
        <v>0.12332769</v>
      </c>
      <c r="V132" s="3">
        <v>0.12332769</v>
      </c>
      <c r="W132" s="3">
        <v>0.12332769</v>
      </c>
      <c r="X132" s="3">
        <v>0.12332769</v>
      </c>
      <c r="Y132" s="3">
        <v>0.12332769</v>
      </c>
      <c r="Z132" s="3">
        <v>0.12332769</v>
      </c>
      <c r="AA132" s="3">
        <v>0.12332769</v>
      </c>
      <c r="AB132" s="3">
        <v>0.12332769</v>
      </c>
      <c r="AC132" s="3">
        <v>0.12332769</v>
      </c>
      <c r="AD132" s="3">
        <v>0.12332769</v>
      </c>
      <c r="AE132" s="3">
        <v>0.12332769</v>
      </c>
      <c r="AF132" s="3">
        <v>0.12332769</v>
      </c>
      <c r="AG132" s="3">
        <v>0.12332769</v>
      </c>
      <c r="AH132" s="3">
        <v>0.12332769</v>
      </c>
      <c r="AI132" s="3">
        <v>0.12332769</v>
      </c>
      <c r="AJ132" s="4">
        <f t="shared" si="2"/>
        <v>0</v>
      </c>
    </row>
    <row r="133">
      <c r="A133" s="1" t="s">
        <v>269</v>
      </c>
      <c r="B133" s="1" t="s">
        <v>270</v>
      </c>
      <c r="C133" s="1" t="s">
        <v>7</v>
      </c>
      <c r="D133" s="1" t="s">
        <v>8</v>
      </c>
      <c r="E133" s="3">
        <v>34.8688525</v>
      </c>
      <c r="F133" s="3">
        <v>34.8262295</v>
      </c>
      <c r="G133" s="3">
        <v>34.7836066</v>
      </c>
      <c r="H133" s="3">
        <v>34.7409836</v>
      </c>
      <c r="I133" s="3">
        <v>34.6983607</v>
      </c>
      <c r="J133" s="3">
        <v>34.6557377</v>
      </c>
      <c r="K133" s="3">
        <v>34.6131148</v>
      </c>
      <c r="L133" s="3">
        <v>34.5704918</v>
      </c>
      <c r="M133" s="3">
        <v>34.5278689</v>
      </c>
      <c r="N133" s="3">
        <v>34.4852459</v>
      </c>
      <c r="O133" s="3">
        <v>34.442623</v>
      </c>
      <c r="P133" s="3">
        <v>34.4032787</v>
      </c>
      <c r="Q133" s="3">
        <v>34.3639344</v>
      </c>
      <c r="R133" s="3">
        <v>34.3245902</v>
      </c>
      <c r="S133" s="3">
        <v>34.2852459</v>
      </c>
      <c r="T133" s="3">
        <v>34.2459016</v>
      </c>
      <c r="U133" s="3">
        <v>34.2065574</v>
      </c>
      <c r="V133" s="3">
        <v>34.1672131</v>
      </c>
      <c r="W133" s="3">
        <v>34.1278689</v>
      </c>
      <c r="X133" s="3">
        <v>34.0885246</v>
      </c>
      <c r="Y133" s="3">
        <v>34.0491803</v>
      </c>
      <c r="Z133" s="3">
        <v>34.0491803</v>
      </c>
      <c r="AA133" s="3">
        <v>34.0491803</v>
      </c>
      <c r="AB133" s="3">
        <v>34.0491803</v>
      </c>
      <c r="AC133" s="3">
        <v>34.0491803</v>
      </c>
      <c r="AD133" s="3">
        <v>34.0491803</v>
      </c>
      <c r="AE133" s="3">
        <v>34.0491803</v>
      </c>
      <c r="AF133" s="3">
        <v>34.0491803</v>
      </c>
      <c r="AG133" s="3">
        <v>34.0491803</v>
      </c>
      <c r="AH133" s="3">
        <v>34.0491803</v>
      </c>
      <c r="AI133" s="3">
        <v>34.0491803</v>
      </c>
      <c r="AJ133" s="4">
        <f t="shared" si="2"/>
        <v>-0.8196722</v>
      </c>
    </row>
    <row r="134">
      <c r="A134" s="1" t="s">
        <v>271</v>
      </c>
      <c r="B134" s="1" t="s">
        <v>272</v>
      </c>
      <c r="C134" s="1" t="s">
        <v>7</v>
      </c>
      <c r="D134" s="1" t="s">
        <v>8</v>
      </c>
      <c r="E134" s="3">
        <v>53.3095197</v>
      </c>
      <c r="F134" s="3">
        <v>53.0378811</v>
      </c>
      <c r="G134" s="3">
        <v>52.7662425</v>
      </c>
      <c r="H134" s="3">
        <v>52.4946039</v>
      </c>
      <c r="I134" s="3">
        <v>52.2229654</v>
      </c>
      <c r="J134" s="3">
        <v>51.9513268</v>
      </c>
      <c r="K134" s="3">
        <v>51.6796882</v>
      </c>
      <c r="L134" s="3">
        <v>51.4080496</v>
      </c>
      <c r="M134" s="3">
        <v>51.2090757</v>
      </c>
      <c r="N134" s="3">
        <v>50.9370512</v>
      </c>
      <c r="O134" s="3">
        <v>50.6638522</v>
      </c>
      <c r="P134" s="3">
        <v>50.3890514</v>
      </c>
      <c r="Q134" s="3">
        <v>50.1156017</v>
      </c>
      <c r="R134" s="3">
        <v>49.8395878</v>
      </c>
      <c r="S134" s="3">
        <v>49.5635741</v>
      </c>
      <c r="T134" s="3">
        <v>49.2875115</v>
      </c>
      <c r="U134" s="3">
        <v>49.0115476</v>
      </c>
      <c r="V134" s="3">
        <v>48.7355347</v>
      </c>
      <c r="W134" s="3">
        <v>48.4595463</v>
      </c>
      <c r="X134" s="3">
        <v>48.1835579</v>
      </c>
      <c r="Y134" s="3">
        <v>47.9064609</v>
      </c>
      <c r="Z134" s="3">
        <v>47.7611592</v>
      </c>
      <c r="AA134" s="3">
        <v>47.6173665</v>
      </c>
      <c r="AB134" s="3">
        <v>47.4788181</v>
      </c>
      <c r="AC134" s="3">
        <v>47.33549</v>
      </c>
      <c r="AD134" s="3">
        <v>47.1909785</v>
      </c>
      <c r="AE134" s="3">
        <v>47.0428641</v>
      </c>
      <c r="AF134" s="3">
        <v>46.8707156</v>
      </c>
      <c r="AG134" s="3">
        <v>46.7548748</v>
      </c>
      <c r="AH134" s="3">
        <v>46.6299437</v>
      </c>
      <c r="AI134" s="3">
        <v>46.5110125</v>
      </c>
      <c r="AJ134" s="4">
        <f t="shared" si="2"/>
        <v>-6.7985072</v>
      </c>
    </row>
    <row r="135">
      <c r="A135" s="1" t="s">
        <v>273</v>
      </c>
      <c r="B135" s="1" t="s">
        <v>274</v>
      </c>
      <c r="C135" s="1" t="s">
        <v>7</v>
      </c>
      <c r="D135" s="1" t="s">
        <v>8</v>
      </c>
      <c r="E135" s="3">
        <v>33.8299511</v>
      </c>
      <c r="F135" s="3">
        <v>33.6833376</v>
      </c>
      <c r="G135" s="3">
        <v>33.532476</v>
      </c>
      <c r="H135" s="3">
        <v>33.4822587</v>
      </c>
      <c r="I135" s="3">
        <v>33.3456664</v>
      </c>
      <c r="J135" s="3">
        <v>33.1960252</v>
      </c>
      <c r="K135" s="3">
        <v>33.046384</v>
      </c>
      <c r="L135" s="3">
        <v>32.8967428</v>
      </c>
      <c r="M135" s="3">
        <v>32.7471016</v>
      </c>
      <c r="N135" s="3">
        <v>32.5974604</v>
      </c>
      <c r="O135" s="3">
        <v>29.557784</v>
      </c>
      <c r="P135" s="3">
        <v>32.2837723</v>
      </c>
      <c r="Q135" s="3">
        <v>32.1203648</v>
      </c>
      <c r="R135" s="3">
        <v>31.9569572</v>
      </c>
      <c r="S135" s="3">
        <v>31.5670475</v>
      </c>
      <c r="T135" s="3">
        <v>31.4048156</v>
      </c>
      <c r="U135" s="3">
        <v>31.242386</v>
      </c>
      <c r="V135" s="3">
        <v>31.0801037</v>
      </c>
      <c r="W135" s="3">
        <v>30.9182506</v>
      </c>
      <c r="X135" s="3">
        <v>30.7560253</v>
      </c>
      <c r="Y135" s="3">
        <v>27.8523153</v>
      </c>
      <c r="Z135" s="3">
        <v>28.0105981</v>
      </c>
      <c r="AA135" s="3">
        <v>27.818109</v>
      </c>
      <c r="AB135" s="3">
        <v>27.6255173</v>
      </c>
      <c r="AC135" s="3">
        <v>27.43288</v>
      </c>
      <c r="AD135" s="3">
        <v>27.2401334</v>
      </c>
      <c r="AE135" s="3">
        <v>27.0470862</v>
      </c>
      <c r="AF135" s="3">
        <v>26.8584015</v>
      </c>
      <c r="AG135" s="3">
        <v>26.6712904</v>
      </c>
      <c r="AH135" s="3">
        <v>26.4806273</v>
      </c>
      <c r="AI135" s="3">
        <v>26.2919122</v>
      </c>
      <c r="AJ135" s="4">
        <f t="shared" si="2"/>
        <v>-7.5380389</v>
      </c>
    </row>
    <row r="136">
      <c r="A136" s="1" t="s">
        <v>275</v>
      </c>
      <c r="B136" s="1" t="s">
        <v>276</v>
      </c>
      <c r="C136" s="1" t="s">
        <v>7</v>
      </c>
      <c r="D136" s="1" t="s">
        <v>8</v>
      </c>
      <c r="E136" s="3">
        <v>26.564751</v>
      </c>
      <c r="F136" s="3">
        <v>26.4446017</v>
      </c>
      <c r="G136" s="3">
        <v>26.3183511</v>
      </c>
      <c r="H136" s="3">
        <v>26.2781755</v>
      </c>
      <c r="I136" s="3">
        <v>26.1539673</v>
      </c>
      <c r="J136" s="3">
        <v>26.0297592</v>
      </c>
      <c r="K136" s="3">
        <v>25.9055511</v>
      </c>
      <c r="L136" s="3">
        <v>25.781343</v>
      </c>
      <c r="M136" s="3">
        <v>25.6571349</v>
      </c>
      <c r="N136" s="3">
        <v>25.5329268</v>
      </c>
      <c r="O136" s="3">
        <v>22.6279011</v>
      </c>
      <c r="P136" s="3">
        <v>25.2893816</v>
      </c>
      <c r="Q136" s="3">
        <v>25.1700446</v>
      </c>
      <c r="R136" s="3">
        <v>25.0510932</v>
      </c>
      <c r="S136" s="3">
        <v>24.6733789</v>
      </c>
      <c r="T136" s="3">
        <v>24.5551716</v>
      </c>
      <c r="U136" s="3">
        <v>24.4369591</v>
      </c>
      <c r="V136" s="3">
        <v>24.3188912</v>
      </c>
      <c r="W136" s="3">
        <v>24.2008196</v>
      </c>
      <c r="X136" s="3">
        <v>24.0827202</v>
      </c>
      <c r="Y136" s="3">
        <v>21.3297853</v>
      </c>
      <c r="Z136" s="3">
        <v>21.6708684</v>
      </c>
      <c r="AA136" s="3">
        <v>21.5336366</v>
      </c>
      <c r="AB136" s="3">
        <v>21.3963995</v>
      </c>
      <c r="AC136" s="3">
        <v>21.259215</v>
      </c>
      <c r="AD136" s="3">
        <v>21.1219152</v>
      </c>
      <c r="AE136" s="3">
        <v>20.9773321</v>
      </c>
      <c r="AF136" s="3">
        <v>20.8381134</v>
      </c>
      <c r="AG136" s="3">
        <v>20.7016172</v>
      </c>
      <c r="AH136" s="3">
        <v>20.5602625</v>
      </c>
      <c r="AI136" s="3">
        <v>20.4215645</v>
      </c>
      <c r="AJ136" s="4">
        <f t="shared" si="2"/>
        <v>-6.1431865</v>
      </c>
    </row>
    <row r="137">
      <c r="A137" s="1" t="s">
        <v>277</v>
      </c>
      <c r="B137" s="1" t="s">
        <v>278</v>
      </c>
      <c r="C137" s="1" t="s">
        <v>7</v>
      </c>
      <c r="D137" s="1" t="s">
        <v>8</v>
      </c>
      <c r="E137" s="3">
        <v>40.625</v>
      </c>
      <c r="F137" s="3">
        <v>40.75</v>
      </c>
      <c r="G137" s="3">
        <v>40.875</v>
      </c>
      <c r="H137" s="3">
        <v>41.0</v>
      </c>
      <c r="I137" s="3">
        <v>41.125</v>
      </c>
      <c r="J137" s="3">
        <v>41.25</v>
      </c>
      <c r="K137" s="3">
        <v>41.375</v>
      </c>
      <c r="L137" s="3">
        <v>41.5</v>
      </c>
      <c r="M137" s="3">
        <v>41.625</v>
      </c>
      <c r="N137" s="3">
        <v>41.75</v>
      </c>
      <c r="O137" s="3">
        <v>41.875</v>
      </c>
      <c r="P137" s="3">
        <v>41.874375</v>
      </c>
      <c r="Q137" s="3">
        <v>41.87375</v>
      </c>
      <c r="R137" s="3">
        <v>41.87375</v>
      </c>
      <c r="S137" s="3">
        <v>41.873125</v>
      </c>
      <c r="T137" s="3">
        <v>41.8725</v>
      </c>
      <c r="U137" s="3">
        <v>41.871875</v>
      </c>
      <c r="V137" s="3">
        <v>41.87125</v>
      </c>
      <c r="W137" s="3">
        <v>41.87125</v>
      </c>
      <c r="X137" s="3">
        <v>41.870625</v>
      </c>
      <c r="Y137" s="3">
        <v>41.87</v>
      </c>
      <c r="Z137" s="3">
        <v>41.87125</v>
      </c>
      <c r="AA137" s="3">
        <v>41.871875</v>
      </c>
      <c r="AB137" s="3">
        <v>41.873125</v>
      </c>
      <c r="AC137" s="3">
        <v>41.87375</v>
      </c>
      <c r="AD137" s="3">
        <v>41.875</v>
      </c>
      <c r="AE137" s="3">
        <v>41.875</v>
      </c>
      <c r="AF137" s="3">
        <v>41.875</v>
      </c>
      <c r="AG137" s="3">
        <v>41.875</v>
      </c>
      <c r="AH137" s="3">
        <v>41.875</v>
      </c>
      <c r="AI137" s="3">
        <v>41.875</v>
      </c>
      <c r="AJ137" s="4">
        <f t="shared" si="2"/>
        <v>1.25</v>
      </c>
    </row>
    <row r="138">
      <c r="A138" s="1" t="s">
        <v>279</v>
      </c>
      <c r="B138" s="1" t="s">
        <v>280</v>
      </c>
      <c r="C138" s="1" t="s">
        <v>7</v>
      </c>
      <c r="D138" s="1" t="s">
        <v>8</v>
      </c>
      <c r="E138" s="3">
        <v>37.4793494</v>
      </c>
      <c r="F138" s="3">
        <v>37.1860788</v>
      </c>
      <c r="G138" s="3">
        <v>36.8928082</v>
      </c>
      <c r="H138" s="3">
        <v>36.5995376</v>
      </c>
      <c r="I138" s="3">
        <v>36.3062669</v>
      </c>
      <c r="J138" s="3">
        <v>36.0129963</v>
      </c>
      <c r="K138" s="3">
        <v>35.7197257</v>
      </c>
      <c r="L138" s="3">
        <v>35.4264551</v>
      </c>
      <c r="M138" s="3">
        <v>35.1331845</v>
      </c>
      <c r="N138" s="3">
        <v>34.8399139</v>
      </c>
      <c r="O138" s="3">
        <v>34.5466433</v>
      </c>
      <c r="P138" s="3">
        <v>34.4464998</v>
      </c>
      <c r="Q138" s="3">
        <v>34.3463562</v>
      </c>
      <c r="R138" s="3">
        <v>34.2462127</v>
      </c>
      <c r="S138" s="3">
        <v>34.1460692</v>
      </c>
      <c r="T138" s="3">
        <v>34.0459257</v>
      </c>
      <c r="U138" s="3">
        <v>33.9457822</v>
      </c>
      <c r="V138" s="3">
        <v>33.8456387</v>
      </c>
      <c r="W138" s="3">
        <v>33.7454951</v>
      </c>
      <c r="X138" s="3">
        <v>33.6453516</v>
      </c>
      <c r="Y138" s="3">
        <v>33.5452081</v>
      </c>
      <c r="Z138" s="3">
        <v>33.6255781</v>
      </c>
      <c r="AA138" s="3">
        <v>33.705948</v>
      </c>
      <c r="AB138" s="3">
        <v>33.786318</v>
      </c>
      <c r="AC138" s="3">
        <v>33.8666879</v>
      </c>
      <c r="AD138" s="3">
        <v>34.3951659</v>
      </c>
      <c r="AE138" s="3">
        <v>34.34411</v>
      </c>
      <c r="AF138" s="3">
        <v>34.2930541</v>
      </c>
      <c r="AG138" s="3">
        <v>34.2580499</v>
      </c>
      <c r="AH138" s="3">
        <v>34.2069701</v>
      </c>
      <c r="AI138" s="3">
        <v>34.1558903</v>
      </c>
      <c r="AJ138" s="4">
        <f t="shared" si="2"/>
        <v>-3.3234591</v>
      </c>
    </row>
    <row r="139">
      <c r="A139" s="1" t="s">
        <v>281</v>
      </c>
      <c r="B139" s="1" t="s">
        <v>282</v>
      </c>
      <c r="C139" s="1" t="s">
        <v>7</v>
      </c>
      <c r="D139" s="1" t="s">
        <v>8</v>
      </c>
      <c r="E139" s="3">
        <v>29.3908837</v>
      </c>
      <c r="F139" s="3">
        <v>29.4455748</v>
      </c>
      <c r="G139" s="3">
        <v>29.3068008</v>
      </c>
      <c r="H139" s="3">
        <v>29.1729503</v>
      </c>
      <c r="I139" s="3">
        <v>29.046973</v>
      </c>
      <c r="J139" s="3">
        <v>28.9130862</v>
      </c>
      <c r="K139" s="3">
        <v>28.7791994</v>
      </c>
      <c r="L139" s="3">
        <v>28.6453125</v>
      </c>
      <c r="M139" s="3">
        <v>28.5114257</v>
      </c>
      <c r="N139" s="3">
        <v>28.3775389</v>
      </c>
      <c r="O139" s="3">
        <v>28.2666796</v>
      </c>
      <c r="P139" s="3">
        <v>28.1802871</v>
      </c>
      <c r="Q139" s="3">
        <v>28.1019785</v>
      </c>
      <c r="R139" s="3">
        <v>28.0235892</v>
      </c>
      <c r="S139" s="3">
        <v>27.9466463</v>
      </c>
      <c r="T139" s="3">
        <v>27.8677451</v>
      </c>
      <c r="U139" s="3">
        <v>27.7887232</v>
      </c>
      <c r="V139" s="3">
        <v>27.7097779</v>
      </c>
      <c r="W139" s="3">
        <v>27.6310926</v>
      </c>
      <c r="X139" s="3">
        <v>27.5521792</v>
      </c>
      <c r="Y139" s="3">
        <v>27.4733286</v>
      </c>
      <c r="Z139" s="3">
        <v>27.3522209</v>
      </c>
      <c r="AA139" s="3">
        <v>27.2313254</v>
      </c>
      <c r="AB139" s="3">
        <v>27.1103542</v>
      </c>
      <c r="AC139" s="3">
        <v>26.9905819</v>
      </c>
      <c r="AD139" s="3">
        <v>26.8505486</v>
      </c>
      <c r="AE139" s="3">
        <v>26.7152054</v>
      </c>
      <c r="AF139" s="3">
        <v>26.5788796</v>
      </c>
      <c r="AG139" s="3">
        <v>26.4708469</v>
      </c>
      <c r="AH139" s="3">
        <v>26.3633517</v>
      </c>
      <c r="AI139" s="3">
        <v>26.2563373</v>
      </c>
      <c r="AJ139" s="4">
        <f t="shared" si="2"/>
        <v>-3.1345464</v>
      </c>
    </row>
    <row r="140">
      <c r="A140" s="1" t="s">
        <v>283</v>
      </c>
      <c r="B140" s="1" t="s">
        <v>284</v>
      </c>
      <c r="C140" s="1" t="s">
        <v>7</v>
      </c>
      <c r="D140" s="1" t="s">
        <v>8</v>
      </c>
      <c r="E140" s="3">
        <v>34.329817</v>
      </c>
      <c r="F140" s="3">
        <v>34.2946643</v>
      </c>
      <c r="G140" s="3">
        <v>34.202704</v>
      </c>
      <c r="H140" s="3">
        <v>34.1357643</v>
      </c>
      <c r="I140" s="3">
        <v>34.0517734</v>
      </c>
      <c r="J140" s="3">
        <v>33.9644923</v>
      </c>
      <c r="K140" s="3">
        <v>33.8762688</v>
      </c>
      <c r="L140" s="3">
        <v>33.7876419</v>
      </c>
      <c r="M140" s="3">
        <v>33.7088157</v>
      </c>
      <c r="N140" s="3">
        <v>33.6179113</v>
      </c>
      <c r="O140" s="3">
        <v>32.8855419</v>
      </c>
      <c r="P140" s="3">
        <v>33.4753501</v>
      </c>
      <c r="Q140" s="3">
        <v>33.4140564</v>
      </c>
      <c r="R140" s="3">
        <v>33.3519639</v>
      </c>
      <c r="S140" s="3">
        <v>33.2432265</v>
      </c>
      <c r="T140" s="3">
        <v>33.1809849</v>
      </c>
      <c r="U140" s="3">
        <v>33.1228372</v>
      </c>
      <c r="V140" s="3">
        <v>33.0612355</v>
      </c>
      <c r="W140" s="3">
        <v>32.9999189</v>
      </c>
      <c r="X140" s="3">
        <v>32.9391074</v>
      </c>
      <c r="Y140" s="3">
        <v>32.2231935</v>
      </c>
      <c r="Z140" s="3">
        <v>32.2380977</v>
      </c>
      <c r="AA140" s="3">
        <v>32.1773467</v>
      </c>
      <c r="AB140" s="3">
        <v>32.1173341</v>
      </c>
      <c r="AC140" s="3">
        <v>32.0569365</v>
      </c>
      <c r="AD140" s="3">
        <v>31.9898299</v>
      </c>
      <c r="AE140" s="3">
        <v>31.9215148</v>
      </c>
      <c r="AF140" s="3">
        <v>31.8502497</v>
      </c>
      <c r="AG140" s="3">
        <v>31.7968832</v>
      </c>
      <c r="AH140" s="3">
        <v>31.740476</v>
      </c>
      <c r="AI140" s="3">
        <v>31.6854317</v>
      </c>
      <c r="AJ140" s="4">
        <f t="shared" si="2"/>
        <v>-2.6443853</v>
      </c>
    </row>
    <row r="141">
      <c r="A141" s="1" t="s">
        <v>285</v>
      </c>
      <c r="B141" s="1" t="s">
        <v>286</v>
      </c>
      <c r="C141" s="1" t="s">
        <v>7</v>
      </c>
      <c r="D141" s="1" t="s">
        <v>8</v>
      </c>
      <c r="E141" s="3">
        <v>1.1370224</v>
      </c>
      <c r="F141" s="3">
        <v>1.1370224</v>
      </c>
      <c r="G141" s="3">
        <v>1.1370224</v>
      </c>
      <c r="H141" s="3">
        <v>1.1370224</v>
      </c>
      <c r="I141" s="3">
        <v>1.1370224</v>
      </c>
      <c r="J141" s="3">
        <v>1.1370224</v>
      </c>
      <c r="K141" s="3">
        <v>1.1370224</v>
      </c>
      <c r="L141" s="3">
        <v>1.1370224</v>
      </c>
      <c r="M141" s="3">
        <v>1.1370224</v>
      </c>
      <c r="N141" s="3">
        <v>1.1370224</v>
      </c>
      <c r="O141" s="3">
        <v>1.1370224</v>
      </c>
      <c r="P141" s="3">
        <v>1.1370224</v>
      </c>
      <c r="Q141" s="3">
        <v>1.1370224</v>
      </c>
      <c r="R141" s="3">
        <v>1.1370224</v>
      </c>
      <c r="S141" s="3">
        <v>1.1370224</v>
      </c>
      <c r="T141" s="3">
        <v>1.1370224</v>
      </c>
      <c r="U141" s="3">
        <v>1.1370224</v>
      </c>
      <c r="V141" s="3">
        <v>1.1370224</v>
      </c>
      <c r="W141" s="3">
        <v>1.1370224</v>
      </c>
      <c r="X141" s="3">
        <v>1.1370224</v>
      </c>
      <c r="Y141" s="3">
        <v>1.1370224</v>
      </c>
      <c r="Z141" s="3">
        <v>1.1370224</v>
      </c>
      <c r="AA141" s="3">
        <v>1.1370224</v>
      </c>
      <c r="AB141" s="3">
        <v>1.1370224</v>
      </c>
      <c r="AC141" s="3">
        <v>1.1370224</v>
      </c>
      <c r="AD141" s="3">
        <v>1.1370224</v>
      </c>
      <c r="AE141" s="3">
        <v>1.1370224</v>
      </c>
      <c r="AF141" s="3">
        <v>1.1370224</v>
      </c>
      <c r="AG141" s="3">
        <v>1.1370224</v>
      </c>
      <c r="AH141" s="3">
        <v>1.1370224</v>
      </c>
      <c r="AI141" s="3">
        <v>1.1370224</v>
      </c>
      <c r="AJ141" s="4">
        <f t="shared" si="2"/>
        <v>0</v>
      </c>
    </row>
    <row r="142">
      <c r="A142" s="1" t="s">
        <v>287</v>
      </c>
      <c r="B142" s="1" t="s">
        <v>288</v>
      </c>
      <c r="C142" s="1" t="s">
        <v>7</v>
      </c>
      <c r="D142" s="1" t="s">
        <v>8</v>
      </c>
      <c r="E142" s="3">
        <v>39.8716038</v>
      </c>
      <c r="F142" s="3">
        <v>39.8309535</v>
      </c>
      <c r="G142" s="3">
        <v>39.795947</v>
      </c>
      <c r="H142" s="3">
        <v>39.7594474</v>
      </c>
      <c r="I142" s="3">
        <v>39.7243827</v>
      </c>
      <c r="J142" s="3">
        <v>39.6876363</v>
      </c>
      <c r="K142" s="3">
        <v>39.6486343</v>
      </c>
      <c r="L142" s="3">
        <v>39.6086631</v>
      </c>
      <c r="M142" s="3">
        <v>39.5670197</v>
      </c>
      <c r="N142" s="3">
        <v>39.521615</v>
      </c>
      <c r="O142" s="3">
        <v>39.5010631</v>
      </c>
      <c r="P142" s="3">
        <v>39.4844508</v>
      </c>
      <c r="Q142" s="3">
        <v>39.4665888</v>
      </c>
      <c r="R142" s="3">
        <v>39.4491788</v>
      </c>
      <c r="S142" s="3">
        <v>39.4310719</v>
      </c>
      <c r="T142" s="3">
        <v>39.4132071</v>
      </c>
      <c r="U142" s="3">
        <v>39.4044748</v>
      </c>
      <c r="V142" s="3">
        <v>39.3880125</v>
      </c>
      <c r="W142" s="3">
        <v>39.3720661</v>
      </c>
      <c r="X142" s="3">
        <v>39.355252</v>
      </c>
      <c r="Y142" s="3">
        <v>39.338486</v>
      </c>
      <c r="Z142" s="3">
        <v>39.3579153</v>
      </c>
      <c r="AA142" s="3">
        <v>39.3775207</v>
      </c>
      <c r="AB142" s="3">
        <v>39.3959932</v>
      </c>
      <c r="AC142" s="3">
        <v>39.4155754</v>
      </c>
      <c r="AD142" s="3">
        <v>39.4324897</v>
      </c>
      <c r="AE142" s="3">
        <v>39.4497944</v>
      </c>
      <c r="AF142" s="3">
        <v>39.45093</v>
      </c>
      <c r="AG142" s="3">
        <v>39.4698584</v>
      </c>
      <c r="AH142" s="3">
        <v>39.4843448</v>
      </c>
      <c r="AI142" s="3">
        <v>39.5004966</v>
      </c>
      <c r="AJ142" s="4">
        <f t="shared" si="2"/>
        <v>-0.3711072</v>
      </c>
    </row>
    <row r="143">
      <c r="A143" s="1" t="s">
        <v>289</v>
      </c>
      <c r="B143" s="1" t="s">
        <v>290</v>
      </c>
      <c r="C143" s="1" t="s">
        <v>7</v>
      </c>
      <c r="D143" s="1" t="s">
        <v>8</v>
      </c>
      <c r="E143" s="3">
        <v>31.0306318</v>
      </c>
      <c r="F143" s="3">
        <v>31.0306318</v>
      </c>
      <c r="G143" s="3">
        <v>31.2699426</v>
      </c>
      <c r="H143" s="3">
        <v>31.389598</v>
      </c>
      <c r="I143" s="3">
        <v>31.5092534</v>
      </c>
      <c r="J143" s="3">
        <v>31.6289087</v>
      </c>
      <c r="K143" s="3">
        <v>31.7485641</v>
      </c>
      <c r="L143" s="3">
        <v>31.8682195</v>
      </c>
      <c r="M143" s="3">
        <v>31.9878749</v>
      </c>
      <c r="N143" s="3">
        <v>32.1075303</v>
      </c>
      <c r="O143" s="3">
        <v>32.2271857</v>
      </c>
      <c r="P143" s="3">
        <v>32.4664965</v>
      </c>
      <c r="Q143" s="3">
        <v>32.7058073</v>
      </c>
      <c r="R143" s="3">
        <v>32.9451181</v>
      </c>
      <c r="S143" s="3">
        <v>33.1844288</v>
      </c>
      <c r="T143" s="3">
        <v>33.4237396</v>
      </c>
      <c r="U143" s="3">
        <v>33.6630504</v>
      </c>
      <c r="V143" s="3">
        <v>33.9023612</v>
      </c>
      <c r="W143" s="3">
        <v>34.1443957</v>
      </c>
      <c r="X143" s="3">
        <v>34.3837256</v>
      </c>
      <c r="Y143" s="3">
        <v>34.6230554</v>
      </c>
      <c r="Z143" s="3">
        <v>34.6778568</v>
      </c>
      <c r="AA143" s="3">
        <v>34.7321058</v>
      </c>
      <c r="AB143" s="3">
        <v>34.7857998</v>
      </c>
      <c r="AC143" s="3">
        <v>34.8539505</v>
      </c>
      <c r="AD143" s="3">
        <v>34.9082203</v>
      </c>
      <c r="AE143" s="3">
        <v>34.9605696</v>
      </c>
      <c r="AF143" s="3">
        <v>35.0569116</v>
      </c>
      <c r="AG143" s="3">
        <v>35.0950024</v>
      </c>
      <c r="AH143" s="3">
        <v>35.126936</v>
      </c>
      <c r="AI143" s="3">
        <v>35.1429028</v>
      </c>
      <c r="AJ143" s="4">
        <f t="shared" si="2"/>
        <v>4.112271</v>
      </c>
    </row>
    <row r="144">
      <c r="A144" s="1" t="s">
        <v>291</v>
      </c>
      <c r="B144" s="1" t="s">
        <v>292</v>
      </c>
      <c r="C144" s="1" t="s">
        <v>7</v>
      </c>
      <c r="D144" s="1" t="s">
        <v>8</v>
      </c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3">
        <v>35.6790123</v>
      </c>
      <c r="P144" s="3">
        <v>35.7613169</v>
      </c>
      <c r="Q144" s="3">
        <v>35.8436214</v>
      </c>
      <c r="R144" s="3">
        <v>35.9259259</v>
      </c>
      <c r="S144" s="3">
        <v>36.0082305</v>
      </c>
      <c r="T144" s="3">
        <v>36.090535</v>
      </c>
      <c r="U144" s="3">
        <v>36.1728395</v>
      </c>
      <c r="V144" s="3">
        <v>36.255144</v>
      </c>
      <c r="W144" s="3">
        <v>36.3374486</v>
      </c>
      <c r="X144" s="3">
        <v>36.4197531</v>
      </c>
      <c r="Y144" s="3">
        <v>36.5020576</v>
      </c>
      <c r="Z144" s="3">
        <v>36.5020576</v>
      </c>
      <c r="AA144" s="3">
        <v>36.5020576</v>
      </c>
      <c r="AB144" s="3">
        <v>36.5020576</v>
      </c>
      <c r="AC144" s="3">
        <v>36.5020576</v>
      </c>
      <c r="AD144" s="3">
        <v>36.5020576</v>
      </c>
      <c r="AE144" s="3">
        <v>36.5020576</v>
      </c>
      <c r="AF144" s="3">
        <v>36.5020576</v>
      </c>
      <c r="AG144" s="3">
        <v>36.5020576</v>
      </c>
      <c r="AH144" s="3">
        <v>36.5020576</v>
      </c>
      <c r="AI144" s="3">
        <v>36.5020576</v>
      </c>
      <c r="AJ144" s="4">
        <f>AI144-O144</f>
        <v>0.8230453</v>
      </c>
    </row>
    <row r="145">
      <c r="A145" s="1" t="s">
        <v>293</v>
      </c>
      <c r="B145" s="1" t="s">
        <v>294</v>
      </c>
      <c r="C145" s="1" t="s">
        <v>7</v>
      </c>
      <c r="D145" s="1" t="s">
        <v>8</v>
      </c>
      <c r="E145" s="3">
        <v>51.0161425</v>
      </c>
      <c r="F145" s="3">
        <v>51.0161425</v>
      </c>
      <c r="G145" s="3">
        <v>51.2348061</v>
      </c>
      <c r="H145" s="3">
        <v>51.3441379</v>
      </c>
      <c r="I145" s="3">
        <v>51.4534697</v>
      </c>
      <c r="J145" s="3">
        <v>51.5628015</v>
      </c>
      <c r="K145" s="3">
        <v>51.6721333</v>
      </c>
      <c r="L145" s="3">
        <v>51.781465</v>
      </c>
      <c r="M145" s="3">
        <v>51.8907968</v>
      </c>
      <c r="N145" s="3">
        <v>52.0001286</v>
      </c>
      <c r="O145" s="3">
        <v>52.1094604</v>
      </c>
      <c r="P145" s="3">
        <v>52.3202778</v>
      </c>
      <c r="Q145" s="3">
        <v>52.5310952</v>
      </c>
      <c r="R145" s="3">
        <v>52.7419127</v>
      </c>
      <c r="S145" s="3">
        <v>52.9527301</v>
      </c>
      <c r="T145" s="3">
        <v>53.1635475</v>
      </c>
      <c r="U145" s="3">
        <v>53.3743649</v>
      </c>
      <c r="V145" s="3">
        <v>53.5851823</v>
      </c>
      <c r="W145" s="3">
        <v>53.7959997</v>
      </c>
      <c r="X145" s="3">
        <v>54.0207141</v>
      </c>
      <c r="Y145" s="3">
        <v>54.1793059</v>
      </c>
      <c r="Z145" s="3">
        <v>54.2762701</v>
      </c>
      <c r="AA145" s="3">
        <v>54.3558701</v>
      </c>
      <c r="AB145" s="3">
        <v>54.4092619</v>
      </c>
      <c r="AC145" s="3">
        <v>54.5152237</v>
      </c>
      <c r="AD145" s="3">
        <v>54.5861902</v>
      </c>
      <c r="AE145" s="3">
        <v>54.6572762</v>
      </c>
      <c r="AF145" s="3">
        <v>54.7283851</v>
      </c>
      <c r="AG145" s="3">
        <v>54.8083427</v>
      </c>
      <c r="AH145" s="3">
        <v>54.8706716</v>
      </c>
      <c r="AI145" s="3">
        <v>54.9330005</v>
      </c>
      <c r="AJ145" s="4">
        <f t="shared" ref="AJ145:AJ152" si="3">AI145-E145</f>
        <v>3.916858</v>
      </c>
    </row>
    <row r="146">
      <c r="A146" s="1" t="s">
        <v>295</v>
      </c>
      <c r="B146" s="1" t="s">
        <v>296</v>
      </c>
      <c r="C146" s="1" t="s">
        <v>7</v>
      </c>
      <c r="D146" s="1" t="s">
        <v>8</v>
      </c>
      <c r="E146" s="3">
        <v>18.3823529</v>
      </c>
      <c r="F146" s="3">
        <v>18.3823529</v>
      </c>
      <c r="G146" s="3">
        <v>18.3823529</v>
      </c>
      <c r="H146" s="3">
        <v>18.3823529</v>
      </c>
      <c r="I146" s="3">
        <v>18.3823529</v>
      </c>
      <c r="J146" s="3">
        <v>18.3823529</v>
      </c>
      <c r="K146" s="3">
        <v>18.3823529</v>
      </c>
      <c r="L146" s="3">
        <v>18.3823529</v>
      </c>
      <c r="M146" s="3">
        <v>18.3823529</v>
      </c>
      <c r="N146" s="3">
        <v>18.3823529</v>
      </c>
      <c r="O146" s="3">
        <v>22.7941176</v>
      </c>
      <c r="P146" s="3">
        <v>18.3823529</v>
      </c>
      <c r="Q146" s="3">
        <v>18.3823529</v>
      </c>
      <c r="R146" s="3">
        <v>18.3823529</v>
      </c>
      <c r="S146" s="3">
        <v>18.3823529</v>
      </c>
      <c r="T146" s="3">
        <v>18.3823529</v>
      </c>
      <c r="U146" s="3">
        <v>18.3823529</v>
      </c>
      <c r="V146" s="3">
        <v>18.3823529</v>
      </c>
      <c r="W146" s="3">
        <v>18.3823529</v>
      </c>
      <c r="X146" s="3">
        <v>18.3823529</v>
      </c>
      <c r="Y146" s="3">
        <v>22.7941176</v>
      </c>
      <c r="Z146" s="3">
        <v>24.8</v>
      </c>
      <c r="AA146" s="3">
        <v>24.8</v>
      </c>
      <c r="AB146" s="3">
        <v>24.8</v>
      </c>
      <c r="AC146" s="3">
        <v>24.8</v>
      </c>
      <c r="AD146" s="3">
        <v>24.8</v>
      </c>
      <c r="AE146" s="3">
        <v>24.8</v>
      </c>
      <c r="AF146" s="3">
        <v>24.8</v>
      </c>
      <c r="AG146" s="3">
        <v>24.8</v>
      </c>
      <c r="AH146" s="3">
        <v>24.8</v>
      </c>
      <c r="AI146" s="3">
        <v>24.8</v>
      </c>
      <c r="AJ146" s="4">
        <f t="shared" si="3"/>
        <v>6.4176471</v>
      </c>
    </row>
    <row r="147">
      <c r="A147" s="1" t="s">
        <v>297</v>
      </c>
      <c r="B147" s="1" t="s">
        <v>298</v>
      </c>
      <c r="C147" s="1" t="s">
        <v>7</v>
      </c>
      <c r="D147" s="1" t="s">
        <v>8</v>
      </c>
      <c r="E147" s="3">
        <v>12.2905893</v>
      </c>
      <c r="F147" s="3">
        <v>12.2953507</v>
      </c>
      <c r="G147" s="3">
        <v>12.300112</v>
      </c>
      <c r="H147" s="3">
        <v>12.3048734</v>
      </c>
      <c r="I147" s="3">
        <v>12.3096348</v>
      </c>
      <c r="J147" s="3">
        <v>12.3143961</v>
      </c>
      <c r="K147" s="3">
        <v>12.3191575</v>
      </c>
      <c r="L147" s="3">
        <v>12.3239189</v>
      </c>
      <c r="M147" s="3">
        <v>12.3286803</v>
      </c>
      <c r="N147" s="3">
        <v>12.3334416</v>
      </c>
      <c r="O147" s="3">
        <v>12.338203</v>
      </c>
      <c r="P147" s="3">
        <v>12.3758526</v>
      </c>
      <c r="Q147" s="3">
        <v>12.4135021</v>
      </c>
      <c r="R147" s="3">
        <v>12.4511517</v>
      </c>
      <c r="S147" s="3">
        <v>12.4888013</v>
      </c>
      <c r="T147" s="3">
        <v>12.5264508</v>
      </c>
      <c r="U147" s="3">
        <v>12.5641004</v>
      </c>
      <c r="V147" s="3">
        <v>12.6017499</v>
      </c>
      <c r="W147" s="3">
        <v>12.6393995</v>
      </c>
      <c r="X147" s="3">
        <v>12.6770491</v>
      </c>
      <c r="Y147" s="3">
        <v>12.7146986</v>
      </c>
      <c r="Z147" s="3">
        <v>12.7192337</v>
      </c>
      <c r="AA147" s="3">
        <v>12.7237688</v>
      </c>
      <c r="AB147" s="3">
        <v>12.7283038</v>
      </c>
      <c r="AC147" s="3">
        <v>12.7328389</v>
      </c>
      <c r="AD147" s="3">
        <v>12.737374</v>
      </c>
      <c r="AE147" s="3">
        <v>12.7712077</v>
      </c>
      <c r="AF147" s="3">
        <v>12.7976473</v>
      </c>
      <c r="AG147" s="3">
        <v>12.8200538</v>
      </c>
      <c r="AH147" s="3">
        <v>12.8435806</v>
      </c>
      <c r="AI147" s="3">
        <v>12.8668833</v>
      </c>
      <c r="AJ147" s="4">
        <f t="shared" si="3"/>
        <v>0.576294</v>
      </c>
    </row>
    <row r="148">
      <c r="A148" s="1" t="s">
        <v>299</v>
      </c>
      <c r="B148" s="1" t="s">
        <v>300</v>
      </c>
      <c r="C148" s="1" t="s">
        <v>7</v>
      </c>
      <c r="D148" s="1" t="s">
        <v>8</v>
      </c>
      <c r="E148" s="3">
        <v>9.70489808</v>
      </c>
      <c r="F148" s="3">
        <v>9.70489808</v>
      </c>
      <c r="G148" s="3">
        <v>10.0152114</v>
      </c>
      <c r="H148" s="3">
        <v>10.0485584</v>
      </c>
      <c r="I148" s="3">
        <v>10.1092896</v>
      </c>
      <c r="J148" s="3">
        <v>10.1700577</v>
      </c>
      <c r="K148" s="3">
        <v>10.2277558</v>
      </c>
      <c r="L148" s="3">
        <v>10.2885784</v>
      </c>
      <c r="M148" s="3">
        <v>10.3494379</v>
      </c>
      <c r="N148" s="3">
        <v>10.4103343</v>
      </c>
      <c r="O148" s="3">
        <v>10.4744526</v>
      </c>
      <c r="P148" s="3">
        <v>10.5659976</v>
      </c>
      <c r="Q148" s="3">
        <v>10.6575426</v>
      </c>
      <c r="R148" s="3">
        <v>10.7523578</v>
      </c>
      <c r="S148" s="3">
        <v>10.8406326</v>
      </c>
      <c r="T148" s="3">
        <v>10.9288538</v>
      </c>
      <c r="U148" s="3">
        <v>11.0203709</v>
      </c>
      <c r="V148" s="3">
        <v>11.1118881</v>
      </c>
      <c r="W148" s="3">
        <v>11.2034053</v>
      </c>
      <c r="X148" s="3">
        <v>11.2949225</v>
      </c>
      <c r="Y148" s="3">
        <v>11.4003044</v>
      </c>
      <c r="Z148" s="3">
        <v>11.4727549</v>
      </c>
      <c r="AA148" s="3">
        <v>11.541692</v>
      </c>
      <c r="AB148" s="3">
        <v>11.607056</v>
      </c>
      <c r="AC148" s="3">
        <v>11.6794404</v>
      </c>
      <c r="AD148" s="3">
        <v>11.7518248</v>
      </c>
      <c r="AE148" s="3">
        <v>11.7548662</v>
      </c>
      <c r="AF148" s="3">
        <v>11.7512922</v>
      </c>
      <c r="AG148" s="3">
        <v>11.7529717</v>
      </c>
      <c r="AH148" s="3">
        <v>11.7529717</v>
      </c>
      <c r="AI148" s="3">
        <v>11.7529717</v>
      </c>
      <c r="AJ148" s="4">
        <f t="shared" si="3"/>
        <v>2.04807362</v>
      </c>
    </row>
    <row r="149">
      <c r="A149" s="1" t="s">
        <v>301</v>
      </c>
      <c r="B149" s="1" t="s">
        <v>302</v>
      </c>
      <c r="C149" s="1" t="s">
        <v>7</v>
      </c>
      <c r="D149" s="1" t="s">
        <v>8</v>
      </c>
      <c r="E149" s="3">
        <v>23.5468755</v>
      </c>
      <c r="F149" s="3">
        <v>23.4329057</v>
      </c>
      <c r="G149" s="3">
        <v>23.3189359</v>
      </c>
      <c r="H149" s="3">
        <v>23.2049661</v>
      </c>
      <c r="I149" s="3">
        <v>23.0909963</v>
      </c>
      <c r="J149" s="3">
        <v>22.9770265</v>
      </c>
      <c r="K149" s="3">
        <v>22.8630567</v>
      </c>
      <c r="L149" s="3">
        <v>22.7490869</v>
      </c>
      <c r="M149" s="3">
        <v>22.6351171</v>
      </c>
      <c r="N149" s="3">
        <v>22.5211473</v>
      </c>
      <c r="O149" s="3">
        <v>22.4071775</v>
      </c>
      <c r="P149" s="3">
        <v>22.3265829</v>
      </c>
      <c r="Q149" s="3">
        <v>22.2459882</v>
      </c>
      <c r="R149" s="3">
        <v>22.1653936</v>
      </c>
      <c r="S149" s="3">
        <v>22.084799</v>
      </c>
      <c r="T149" s="3">
        <v>22.0042044</v>
      </c>
      <c r="U149" s="3">
        <v>21.9236097</v>
      </c>
      <c r="V149" s="3">
        <v>21.8430151</v>
      </c>
      <c r="W149" s="3">
        <v>21.7624205</v>
      </c>
      <c r="X149" s="3">
        <v>21.6818258</v>
      </c>
      <c r="Y149" s="3">
        <v>21.6012312</v>
      </c>
      <c r="Z149" s="3">
        <v>21.5690441</v>
      </c>
      <c r="AA149" s="3">
        <v>21.5463247</v>
      </c>
      <c r="AB149" s="3">
        <v>21.5234204</v>
      </c>
      <c r="AC149" s="3">
        <v>21.5007013</v>
      </c>
      <c r="AD149" s="3">
        <v>21.4779821</v>
      </c>
      <c r="AE149" s="3">
        <v>21.4552767</v>
      </c>
      <c r="AF149" s="3">
        <v>21.4325541</v>
      </c>
      <c r="AG149" s="3">
        <v>21.4098316</v>
      </c>
      <c r="AH149" s="3">
        <v>21.3871262</v>
      </c>
      <c r="AI149" s="3">
        <v>21.3644036</v>
      </c>
      <c r="AJ149" s="4">
        <f t="shared" si="3"/>
        <v>-2.1824719</v>
      </c>
    </row>
    <row r="150">
      <c r="A150" s="1" t="s">
        <v>303</v>
      </c>
      <c r="B150" s="1" t="s">
        <v>304</v>
      </c>
      <c r="C150" s="1" t="s">
        <v>7</v>
      </c>
      <c r="D150" s="1" t="s">
        <v>8</v>
      </c>
      <c r="E150" s="3">
        <v>2.73333333</v>
      </c>
      <c r="F150" s="3">
        <v>2.73333333</v>
      </c>
      <c r="G150" s="3">
        <v>2.73333333</v>
      </c>
      <c r="H150" s="3">
        <v>2.73333333</v>
      </c>
      <c r="I150" s="3">
        <v>2.73333333</v>
      </c>
      <c r="J150" s="3">
        <v>2.73333333</v>
      </c>
      <c r="K150" s="3">
        <v>2.73333333</v>
      </c>
      <c r="L150" s="3">
        <v>2.73333333</v>
      </c>
      <c r="M150" s="3">
        <v>2.73333333</v>
      </c>
      <c r="N150" s="3">
        <v>2.73333333</v>
      </c>
      <c r="O150" s="3">
        <v>2.73333333</v>
      </c>
      <c r="P150" s="3">
        <v>2.73333333</v>
      </c>
      <c r="Q150" s="3">
        <v>2.73333333</v>
      </c>
      <c r="R150" s="3">
        <v>2.73333333</v>
      </c>
      <c r="S150" s="3">
        <v>2.73333333</v>
      </c>
      <c r="T150" s="3">
        <v>2.73333333</v>
      </c>
      <c r="U150" s="3">
        <v>2.73333333</v>
      </c>
      <c r="V150" s="3">
        <v>2.73333333</v>
      </c>
      <c r="W150" s="3">
        <v>2.73333333</v>
      </c>
      <c r="X150" s="3">
        <v>2.73333333</v>
      </c>
      <c r="Y150" s="3">
        <v>2.73333333</v>
      </c>
      <c r="Z150" s="3">
        <v>2.73333333</v>
      </c>
      <c r="AA150" s="3">
        <v>2.73333333</v>
      </c>
      <c r="AB150" s="3">
        <v>2.73333333</v>
      </c>
      <c r="AC150" s="3">
        <v>2.73333333</v>
      </c>
      <c r="AD150" s="3">
        <v>2.73333333</v>
      </c>
      <c r="AE150" s="3">
        <v>2.73333333</v>
      </c>
      <c r="AF150" s="3">
        <v>2.73333333</v>
      </c>
      <c r="AG150" s="3">
        <v>2.73333333</v>
      </c>
      <c r="AH150" s="3">
        <v>2.73333333</v>
      </c>
      <c r="AI150" s="3">
        <v>2.73333333</v>
      </c>
      <c r="AJ150" s="4">
        <f t="shared" si="3"/>
        <v>0</v>
      </c>
    </row>
    <row r="151">
      <c r="A151" s="1" t="s">
        <v>305</v>
      </c>
      <c r="B151" s="1" t="s">
        <v>306</v>
      </c>
      <c r="C151" s="1" t="s">
        <v>7</v>
      </c>
      <c r="D151" s="1" t="s">
        <v>8</v>
      </c>
      <c r="E151" s="3">
        <v>1.8235077</v>
      </c>
      <c r="F151" s="3">
        <v>1.82690674</v>
      </c>
      <c r="G151" s="3">
        <v>1.83030251</v>
      </c>
      <c r="H151" s="3">
        <v>1.83370153</v>
      </c>
      <c r="I151" s="3">
        <v>1.83710055</v>
      </c>
      <c r="J151" s="3">
        <v>1.84049959</v>
      </c>
      <c r="K151" s="3">
        <v>1.84389861</v>
      </c>
      <c r="L151" s="3">
        <v>1.84729764</v>
      </c>
      <c r="M151" s="3">
        <v>1.85069666</v>
      </c>
      <c r="N151" s="3">
        <v>1.85409569</v>
      </c>
      <c r="O151" s="3">
        <v>1.85749471</v>
      </c>
      <c r="P151" s="3">
        <v>1.87509765</v>
      </c>
      <c r="Q151" s="3">
        <v>1.89270059</v>
      </c>
      <c r="R151" s="3">
        <v>1.91033327</v>
      </c>
      <c r="S151" s="3">
        <v>1.92793821</v>
      </c>
      <c r="T151" s="3">
        <v>1.94553971</v>
      </c>
      <c r="U151" s="3">
        <v>1.96313066</v>
      </c>
      <c r="V151" s="3">
        <v>1.98072848</v>
      </c>
      <c r="W151" s="3">
        <v>1.99832801</v>
      </c>
      <c r="X151" s="3">
        <v>2.01638014</v>
      </c>
      <c r="Y151" s="3">
        <v>2.03405633</v>
      </c>
      <c r="Z151" s="3">
        <v>2.03545799</v>
      </c>
      <c r="AA151" s="3">
        <v>2.03692952</v>
      </c>
      <c r="AB151" s="3">
        <v>2.03843646</v>
      </c>
      <c r="AC151" s="3">
        <v>2.03993018</v>
      </c>
      <c r="AD151" s="3">
        <v>2.04148727</v>
      </c>
      <c r="AE151" s="3">
        <v>2.04137482</v>
      </c>
      <c r="AF151" s="3">
        <v>2.04221307</v>
      </c>
      <c r="AG151" s="3">
        <v>2.04359946</v>
      </c>
      <c r="AH151" s="3">
        <v>2.04698972</v>
      </c>
      <c r="AI151" s="3">
        <v>2.04975627</v>
      </c>
      <c r="AJ151" s="4">
        <f t="shared" si="3"/>
        <v>0.22624857</v>
      </c>
    </row>
    <row r="152">
      <c r="A152" s="1" t="s">
        <v>307</v>
      </c>
      <c r="B152" s="1" t="s">
        <v>308</v>
      </c>
      <c r="C152" s="1" t="s">
        <v>7</v>
      </c>
      <c r="D152" s="1" t="s">
        <v>8</v>
      </c>
      <c r="E152" s="3">
        <v>36.3135111</v>
      </c>
      <c r="F152" s="3">
        <v>36.1998097</v>
      </c>
      <c r="G152" s="3">
        <v>36.0861082</v>
      </c>
      <c r="H152" s="3">
        <v>35.9724067</v>
      </c>
      <c r="I152" s="3">
        <v>35.8587052</v>
      </c>
      <c r="J152" s="3">
        <v>35.7450037</v>
      </c>
      <c r="K152" s="3">
        <v>35.6313022</v>
      </c>
      <c r="L152" s="3">
        <v>35.5176008</v>
      </c>
      <c r="M152" s="3">
        <v>35.4038993</v>
      </c>
      <c r="N152" s="3">
        <v>35.2901978</v>
      </c>
      <c r="O152" s="3">
        <v>35.1764963</v>
      </c>
      <c r="P152" s="3">
        <v>35.1025212</v>
      </c>
      <c r="Q152" s="3">
        <v>35.028546</v>
      </c>
      <c r="R152" s="3">
        <v>34.9545708</v>
      </c>
      <c r="S152" s="3">
        <v>34.8805957</v>
      </c>
      <c r="T152" s="3">
        <v>34.8066205</v>
      </c>
      <c r="U152" s="3">
        <v>34.7326454</v>
      </c>
      <c r="V152" s="3">
        <v>34.6586702</v>
      </c>
      <c r="W152" s="3">
        <v>34.5846951</v>
      </c>
      <c r="X152" s="3">
        <v>34.5107199</v>
      </c>
      <c r="Y152" s="3">
        <v>34.4367448</v>
      </c>
      <c r="Z152" s="3">
        <v>34.373739</v>
      </c>
      <c r="AA152" s="3">
        <v>34.3107333</v>
      </c>
      <c r="AB152" s="3">
        <v>34.2477276</v>
      </c>
      <c r="AC152" s="3">
        <v>34.1847218</v>
      </c>
      <c r="AD152" s="3">
        <v>34.1217161</v>
      </c>
      <c r="AE152" s="3">
        <v>34.0559942</v>
      </c>
      <c r="AF152" s="3">
        <v>33.9902672</v>
      </c>
      <c r="AG152" s="3">
        <v>33.9245402</v>
      </c>
      <c r="AH152" s="3">
        <v>33.8588184</v>
      </c>
      <c r="AI152" s="3">
        <v>33.7930914</v>
      </c>
      <c r="AJ152" s="4">
        <f t="shared" si="3"/>
        <v>-2.5204197</v>
      </c>
    </row>
    <row r="153">
      <c r="A153" s="1" t="s">
        <v>309</v>
      </c>
      <c r="B153" s="1" t="s">
        <v>310</v>
      </c>
      <c r="C153" s="1" t="s">
        <v>7</v>
      </c>
      <c r="D153" s="1" t="s">
        <v>8</v>
      </c>
      <c r="E153" s="5"/>
      <c r="F153" s="3">
        <v>52.2222222</v>
      </c>
      <c r="G153" s="3">
        <v>52.2222222</v>
      </c>
      <c r="H153" s="3">
        <v>52.2222222</v>
      </c>
      <c r="I153" s="3">
        <v>52.2222222</v>
      </c>
      <c r="J153" s="3">
        <v>52.2222222</v>
      </c>
      <c r="K153" s="3">
        <v>52.2222222</v>
      </c>
      <c r="L153" s="3">
        <v>52.2222222</v>
      </c>
      <c r="M153" s="3">
        <v>52.2222222</v>
      </c>
      <c r="N153" s="3">
        <v>52.2222222</v>
      </c>
      <c r="O153" s="3">
        <v>52.2222222</v>
      </c>
      <c r="P153" s="3">
        <v>52.2222222</v>
      </c>
      <c r="Q153" s="3">
        <v>52.2222222</v>
      </c>
      <c r="R153" s="3">
        <v>52.2222222</v>
      </c>
      <c r="S153" s="3">
        <v>52.2222222</v>
      </c>
      <c r="T153" s="3">
        <v>52.2222222</v>
      </c>
      <c r="U153" s="3">
        <v>52.2222222</v>
      </c>
      <c r="V153" s="3">
        <v>52.2222222</v>
      </c>
      <c r="W153" s="3">
        <v>52.2222222</v>
      </c>
      <c r="X153" s="3">
        <v>52.2222222</v>
      </c>
      <c r="Y153" s="3">
        <v>52.2222222</v>
      </c>
      <c r="Z153" s="3">
        <v>52.2222222</v>
      </c>
      <c r="AA153" s="3">
        <v>52.2222222</v>
      </c>
      <c r="AB153" s="3">
        <v>52.2222222</v>
      </c>
      <c r="AC153" s="3">
        <v>52.2222222</v>
      </c>
      <c r="AD153" s="3">
        <v>52.2222222</v>
      </c>
      <c r="AE153" s="3">
        <v>52.2222222</v>
      </c>
      <c r="AF153" s="3">
        <v>52.2222222</v>
      </c>
      <c r="AG153" s="3">
        <v>52.2222222</v>
      </c>
      <c r="AH153" s="3">
        <v>52.2222222</v>
      </c>
      <c r="AI153" s="3">
        <v>52.2222222</v>
      </c>
      <c r="AJ153" s="4">
        <f>AI153-F153</f>
        <v>0</v>
      </c>
    </row>
    <row r="154">
      <c r="A154" s="1" t="s">
        <v>311</v>
      </c>
      <c r="B154" s="1" t="s">
        <v>312</v>
      </c>
      <c r="C154" s="1" t="s">
        <v>7</v>
      </c>
      <c r="D154" s="1" t="s">
        <v>8</v>
      </c>
      <c r="E154" s="3">
        <v>35.5504519</v>
      </c>
      <c r="F154" s="3">
        <v>35.5286449</v>
      </c>
      <c r="G154" s="3">
        <v>35.4420748</v>
      </c>
      <c r="H154" s="3">
        <v>35.3609595</v>
      </c>
      <c r="I154" s="3">
        <v>35.2834219</v>
      </c>
      <c r="J154" s="3">
        <v>35.2019454</v>
      </c>
      <c r="K154" s="3">
        <v>35.1193401</v>
      </c>
      <c r="L154" s="3">
        <v>35.0362513</v>
      </c>
      <c r="M154" s="3">
        <v>34.9649138</v>
      </c>
      <c r="N154" s="3">
        <v>34.8790961</v>
      </c>
      <c r="O154" s="3">
        <v>34.80785</v>
      </c>
      <c r="P154" s="3">
        <v>34.752645</v>
      </c>
      <c r="Q154" s="3">
        <v>34.7004523</v>
      </c>
      <c r="R154" s="3">
        <v>34.647218</v>
      </c>
      <c r="S154" s="3">
        <v>34.5944801</v>
      </c>
      <c r="T154" s="3">
        <v>34.5410678</v>
      </c>
      <c r="U154" s="3">
        <v>34.4924583</v>
      </c>
      <c r="V154" s="3">
        <v>34.4397635</v>
      </c>
      <c r="W154" s="3">
        <v>34.3874135</v>
      </c>
      <c r="X154" s="3">
        <v>34.3356797</v>
      </c>
      <c r="Y154" s="3">
        <v>34.2828563</v>
      </c>
      <c r="Z154" s="3">
        <v>34.2361017</v>
      </c>
      <c r="AA154" s="3">
        <v>34.1898242</v>
      </c>
      <c r="AB154" s="3">
        <v>34.1444819</v>
      </c>
      <c r="AC154" s="3">
        <v>34.0986379</v>
      </c>
      <c r="AD154" s="3">
        <v>34.0443389</v>
      </c>
      <c r="AE154" s="3">
        <v>33.9887062</v>
      </c>
      <c r="AF154" s="3">
        <v>33.9302864</v>
      </c>
      <c r="AG154" s="3">
        <v>33.8926199</v>
      </c>
      <c r="AH154" s="3">
        <v>33.852258</v>
      </c>
      <c r="AI154" s="3">
        <v>33.8130147</v>
      </c>
      <c r="AJ154" s="4">
        <f t="shared" ref="AJ154:AJ161" si="4">AI154-E154</f>
        <v>-1.7374372</v>
      </c>
    </row>
    <row r="155">
      <c r="A155" s="1" t="s">
        <v>313</v>
      </c>
      <c r="B155" s="1" t="s">
        <v>314</v>
      </c>
      <c r="C155" s="1" t="s">
        <v>7</v>
      </c>
      <c r="D155" s="1" t="s">
        <v>8</v>
      </c>
      <c r="E155" s="3">
        <v>35.8631538</v>
      </c>
      <c r="F155" s="3">
        <v>35.8631538</v>
      </c>
      <c r="G155" s="3">
        <v>36.2213921</v>
      </c>
      <c r="H155" s="3">
        <v>36.4005112</v>
      </c>
      <c r="I155" s="3">
        <v>36.5796304</v>
      </c>
      <c r="J155" s="3">
        <v>36.7587495</v>
      </c>
      <c r="K155" s="3">
        <v>36.9378687</v>
      </c>
      <c r="L155" s="3">
        <v>37.1169878</v>
      </c>
      <c r="M155" s="3">
        <v>37.296107</v>
      </c>
      <c r="N155" s="3">
        <v>37.4752261</v>
      </c>
      <c r="O155" s="3">
        <v>37.6543453</v>
      </c>
      <c r="P155" s="3">
        <v>37.6656705</v>
      </c>
      <c r="Q155" s="3">
        <v>37.6769957</v>
      </c>
      <c r="R155" s="3">
        <v>37.6883209</v>
      </c>
      <c r="S155" s="3">
        <v>37.6996461</v>
      </c>
      <c r="T155" s="3">
        <v>37.7109713</v>
      </c>
      <c r="U155" s="3">
        <v>37.7222965</v>
      </c>
      <c r="V155" s="3">
        <v>38.0327388</v>
      </c>
      <c r="W155" s="3">
        <v>38.0441538</v>
      </c>
      <c r="X155" s="3">
        <v>38.0706582</v>
      </c>
      <c r="Y155" s="3">
        <v>38.0820777</v>
      </c>
      <c r="Z155" s="3">
        <v>38.3514671</v>
      </c>
      <c r="AA155" s="3">
        <v>38.6208565</v>
      </c>
      <c r="AB155" s="3">
        <v>38.8902458</v>
      </c>
      <c r="AC155" s="3">
        <v>39.1596352</v>
      </c>
      <c r="AD155" s="3">
        <v>39.4290246</v>
      </c>
      <c r="AE155" s="3">
        <v>39.7172879</v>
      </c>
      <c r="AF155" s="3">
        <v>39.7101507</v>
      </c>
      <c r="AG155" s="3">
        <v>39.7101507</v>
      </c>
      <c r="AH155" s="3">
        <v>39.7101507</v>
      </c>
      <c r="AI155" s="3">
        <v>39.7101507</v>
      </c>
      <c r="AJ155" s="4">
        <f t="shared" si="4"/>
        <v>3.8469969</v>
      </c>
    </row>
    <row r="156">
      <c r="A156" s="1" t="s">
        <v>315</v>
      </c>
      <c r="B156" s="1" t="s">
        <v>316</v>
      </c>
      <c r="C156" s="1" t="s">
        <v>7</v>
      </c>
      <c r="D156" s="1" t="s">
        <v>8</v>
      </c>
      <c r="E156" s="3">
        <v>10.8966636</v>
      </c>
      <c r="F156" s="3">
        <v>10.8966636</v>
      </c>
      <c r="G156" s="3">
        <v>10.8966636</v>
      </c>
      <c r="H156" s="3">
        <v>10.8966636</v>
      </c>
      <c r="I156" s="3">
        <v>10.8966636</v>
      </c>
      <c r="J156" s="3">
        <v>10.8966636</v>
      </c>
      <c r="K156" s="3">
        <v>10.8966636</v>
      </c>
      <c r="L156" s="3">
        <v>10.8966636</v>
      </c>
      <c r="M156" s="3">
        <v>10.8966636</v>
      </c>
      <c r="N156" s="3">
        <v>10.8966636</v>
      </c>
      <c r="O156" s="3">
        <v>10.8966636</v>
      </c>
      <c r="P156" s="3">
        <v>10.8966636</v>
      </c>
      <c r="Q156" s="3">
        <v>10.8966636</v>
      </c>
      <c r="R156" s="3">
        <v>10.8966636</v>
      </c>
      <c r="S156" s="3">
        <v>10.8966636</v>
      </c>
      <c r="T156" s="3">
        <v>10.8966636</v>
      </c>
      <c r="U156" s="3">
        <v>10.8966636</v>
      </c>
      <c r="V156" s="3">
        <v>10.8966636</v>
      </c>
      <c r="W156" s="3">
        <v>10.8966636</v>
      </c>
      <c r="X156" s="3">
        <v>10.8966636</v>
      </c>
      <c r="Y156" s="3">
        <v>10.8966636</v>
      </c>
      <c r="Z156" s="3">
        <v>10.8966636</v>
      </c>
      <c r="AA156" s="3">
        <v>10.8966636</v>
      </c>
      <c r="AB156" s="3">
        <v>10.8966636</v>
      </c>
      <c r="AC156" s="3">
        <v>10.8966636</v>
      </c>
      <c r="AD156" s="3">
        <v>10.8966636</v>
      </c>
      <c r="AE156" s="3">
        <v>10.8966636</v>
      </c>
      <c r="AF156" s="3">
        <v>10.8966636</v>
      </c>
      <c r="AG156" s="3">
        <v>10.8966636</v>
      </c>
      <c r="AH156" s="3">
        <v>10.8966636</v>
      </c>
      <c r="AI156" s="3">
        <v>10.8966636</v>
      </c>
      <c r="AJ156" s="4">
        <f t="shared" si="4"/>
        <v>0</v>
      </c>
    </row>
    <row r="157">
      <c r="A157" s="1" t="s">
        <v>317</v>
      </c>
      <c r="B157" s="1" t="s">
        <v>318</v>
      </c>
      <c r="C157" s="1" t="s">
        <v>7</v>
      </c>
      <c r="D157" s="1" t="s">
        <v>8</v>
      </c>
      <c r="E157" s="3">
        <v>1.09375</v>
      </c>
      <c r="F157" s="3">
        <v>1.09375</v>
      </c>
      <c r="G157" s="3">
        <v>1.09375</v>
      </c>
      <c r="H157" s="3">
        <v>1.09375</v>
      </c>
      <c r="I157" s="3">
        <v>1.09375</v>
      </c>
      <c r="J157" s="3">
        <v>1.09375</v>
      </c>
      <c r="K157" s="3">
        <v>1.09375</v>
      </c>
      <c r="L157" s="3">
        <v>1.09375</v>
      </c>
      <c r="M157" s="3">
        <v>1.09375</v>
      </c>
      <c r="N157" s="3">
        <v>1.09375</v>
      </c>
      <c r="O157" s="3">
        <v>1.09375</v>
      </c>
      <c r="P157" s="3">
        <v>1.09375</v>
      </c>
      <c r="Q157" s="3">
        <v>1.09375</v>
      </c>
      <c r="R157" s="3">
        <v>1.09375</v>
      </c>
      <c r="S157" s="3">
        <v>1.09375</v>
      </c>
      <c r="T157" s="3">
        <v>1.09375</v>
      </c>
      <c r="U157" s="3">
        <v>1.09375</v>
      </c>
      <c r="V157" s="3">
        <v>1.09375</v>
      </c>
      <c r="W157" s="3">
        <v>1.09375</v>
      </c>
      <c r="X157" s="3">
        <v>1.09375</v>
      </c>
      <c r="Y157" s="3">
        <v>1.09375</v>
      </c>
      <c r="Z157" s="3">
        <v>1.09375</v>
      </c>
      <c r="AA157" s="3">
        <v>1.09375</v>
      </c>
      <c r="AB157" s="3">
        <v>1.09375</v>
      </c>
      <c r="AC157" s="3">
        <v>1.09375</v>
      </c>
      <c r="AD157" s="3">
        <v>1.09375</v>
      </c>
      <c r="AE157" s="3">
        <v>1.1875</v>
      </c>
      <c r="AF157" s="3">
        <v>1.3125</v>
      </c>
      <c r="AG157" s="3">
        <v>1.4375</v>
      </c>
      <c r="AH157" s="3">
        <v>1.4375</v>
      </c>
      <c r="AI157" s="3">
        <v>1.4375</v>
      </c>
      <c r="AJ157" s="4">
        <f t="shared" si="4"/>
        <v>0.34375</v>
      </c>
    </row>
    <row r="158">
      <c r="A158" s="1" t="s">
        <v>319</v>
      </c>
      <c r="B158" s="1" t="s">
        <v>320</v>
      </c>
      <c r="C158" s="1" t="s">
        <v>7</v>
      </c>
      <c r="D158" s="1" t="s">
        <v>8</v>
      </c>
      <c r="E158" s="3">
        <v>60.0093032</v>
      </c>
      <c r="F158" s="3">
        <v>59.3436408</v>
      </c>
      <c r="G158" s="3">
        <v>58.6779784</v>
      </c>
      <c r="H158" s="3">
        <v>58.012316</v>
      </c>
      <c r="I158" s="3">
        <v>57.3466536</v>
      </c>
      <c r="J158" s="3">
        <v>56.6809912</v>
      </c>
      <c r="K158" s="3">
        <v>56.0153288</v>
      </c>
      <c r="L158" s="3">
        <v>55.3496664</v>
      </c>
      <c r="M158" s="3">
        <v>54.684004</v>
      </c>
      <c r="N158" s="3">
        <v>54.0183416</v>
      </c>
      <c r="O158" s="3">
        <v>53.3526793</v>
      </c>
      <c r="P158" s="3">
        <v>52.8282875</v>
      </c>
      <c r="Q158" s="3">
        <v>52.3038957</v>
      </c>
      <c r="R158" s="3">
        <v>51.7795039</v>
      </c>
      <c r="S158" s="3">
        <v>51.2645251</v>
      </c>
      <c r="T158" s="3">
        <v>50.7446966</v>
      </c>
      <c r="U158" s="3">
        <v>50.2117067</v>
      </c>
      <c r="V158" s="3">
        <v>49.6834573</v>
      </c>
      <c r="W158" s="3">
        <v>49.1748511</v>
      </c>
      <c r="X158" s="3">
        <v>48.6510194</v>
      </c>
      <c r="Y158" s="3">
        <v>48.1293819</v>
      </c>
      <c r="Z158" s="3">
        <v>47.6837056</v>
      </c>
      <c r="AA158" s="3">
        <v>47.2503652</v>
      </c>
      <c r="AB158" s="3">
        <v>46.8118209</v>
      </c>
      <c r="AC158" s="3">
        <v>46.3682122</v>
      </c>
      <c r="AD158" s="3">
        <v>45.9246034</v>
      </c>
      <c r="AE158" s="3">
        <v>45.4809977</v>
      </c>
      <c r="AF158" s="3">
        <v>45.0573998</v>
      </c>
      <c r="AG158" s="3">
        <v>44.613597</v>
      </c>
      <c r="AH158" s="3">
        <v>44.1697943</v>
      </c>
      <c r="AI158" s="3">
        <v>43.7259915</v>
      </c>
      <c r="AJ158" s="4">
        <f t="shared" si="4"/>
        <v>-16.2833117</v>
      </c>
    </row>
    <row r="159">
      <c r="A159" s="1" t="s">
        <v>321</v>
      </c>
      <c r="B159" s="1" t="s">
        <v>322</v>
      </c>
      <c r="C159" s="1" t="s">
        <v>7</v>
      </c>
      <c r="D159" s="1" t="s">
        <v>8</v>
      </c>
      <c r="E159" s="3">
        <v>2.2108086</v>
      </c>
      <c r="F159" s="3">
        <v>2.2142168</v>
      </c>
      <c r="G159" s="3">
        <v>2.21762501</v>
      </c>
      <c r="H159" s="3">
        <v>2.22103321</v>
      </c>
      <c r="I159" s="3">
        <v>2.22444141</v>
      </c>
      <c r="J159" s="3">
        <v>2.22784963</v>
      </c>
      <c r="K159" s="3">
        <v>2.23125783</v>
      </c>
      <c r="L159" s="3">
        <v>2.23466603</v>
      </c>
      <c r="M159" s="3">
        <v>2.23807423</v>
      </c>
      <c r="N159" s="3">
        <v>2.24148244</v>
      </c>
      <c r="O159" s="3">
        <v>2.24489064</v>
      </c>
      <c r="P159" s="3">
        <v>2.26763177</v>
      </c>
      <c r="Q159" s="3">
        <v>2.29037291</v>
      </c>
      <c r="R159" s="3">
        <v>2.31316373</v>
      </c>
      <c r="S159" s="3">
        <v>2.33591077</v>
      </c>
      <c r="T159" s="3">
        <v>2.35865246</v>
      </c>
      <c r="U159" s="3">
        <v>2.3813753</v>
      </c>
      <c r="V159" s="3">
        <v>2.40411173</v>
      </c>
      <c r="W159" s="3">
        <v>2.42685092</v>
      </c>
      <c r="X159" s="3">
        <v>2.45030163</v>
      </c>
      <c r="Y159" s="3">
        <v>2.47314055</v>
      </c>
      <c r="Z159" s="3">
        <v>2.47470583</v>
      </c>
      <c r="AA159" s="3">
        <v>2.47636137</v>
      </c>
      <c r="AB159" s="3">
        <v>2.47807197</v>
      </c>
      <c r="AC159" s="3">
        <v>2.47972755</v>
      </c>
      <c r="AD159" s="3">
        <v>2.4814951</v>
      </c>
      <c r="AE159" s="3">
        <v>2.4842598</v>
      </c>
      <c r="AF159" s="3">
        <v>2.48535341</v>
      </c>
      <c r="AG159" s="3">
        <v>2.48715874</v>
      </c>
      <c r="AH159" s="3">
        <v>2.49157137</v>
      </c>
      <c r="AI159" s="3">
        <v>2.49516236</v>
      </c>
      <c r="AJ159" s="4">
        <f t="shared" si="4"/>
        <v>0.28435376</v>
      </c>
    </row>
    <row r="160">
      <c r="A160" s="1" t="s">
        <v>323</v>
      </c>
      <c r="B160" s="1" t="s">
        <v>324</v>
      </c>
      <c r="C160" s="1" t="s">
        <v>7</v>
      </c>
      <c r="D160" s="1" t="s">
        <v>8</v>
      </c>
      <c r="E160" s="3">
        <v>46.5427509</v>
      </c>
      <c r="F160" s="3">
        <v>46.5427509</v>
      </c>
      <c r="G160" s="3">
        <v>46.5427509</v>
      </c>
      <c r="H160" s="3">
        <v>46.5427509</v>
      </c>
      <c r="I160" s="3">
        <v>46.5427509</v>
      </c>
      <c r="J160" s="3">
        <v>46.5427509</v>
      </c>
      <c r="K160" s="3">
        <v>46.5427509</v>
      </c>
      <c r="L160" s="3">
        <v>46.5427509</v>
      </c>
      <c r="M160" s="3">
        <v>46.5427509</v>
      </c>
      <c r="N160" s="3">
        <v>46.5427509</v>
      </c>
      <c r="O160" s="3">
        <v>46.5427509</v>
      </c>
      <c r="P160" s="3">
        <v>46.5427509</v>
      </c>
      <c r="Q160" s="3">
        <v>46.5427509</v>
      </c>
      <c r="R160" s="3">
        <v>46.5427509</v>
      </c>
      <c r="S160" s="3">
        <v>46.5427509</v>
      </c>
      <c r="T160" s="3">
        <v>46.5427509</v>
      </c>
      <c r="U160" s="3">
        <v>55.5092937</v>
      </c>
      <c r="V160" s="3">
        <v>57.0037175</v>
      </c>
      <c r="W160" s="3">
        <v>58.4981413</v>
      </c>
      <c r="X160" s="3">
        <v>59.9925651</v>
      </c>
      <c r="Y160" s="3">
        <v>61.4869888</v>
      </c>
      <c r="Z160" s="3">
        <v>61.4869888</v>
      </c>
      <c r="AA160" s="3">
        <v>61.4869888</v>
      </c>
      <c r="AB160" s="3">
        <v>61.4869888</v>
      </c>
      <c r="AC160" s="3">
        <v>61.4869888</v>
      </c>
      <c r="AD160" s="3">
        <v>61.4869888</v>
      </c>
      <c r="AE160" s="3">
        <v>61.4869888</v>
      </c>
      <c r="AF160" s="3">
        <v>61.4869888</v>
      </c>
      <c r="AG160" s="3">
        <v>61.4869888</v>
      </c>
      <c r="AH160" s="3">
        <v>61.4869888</v>
      </c>
      <c r="AI160" s="3">
        <v>61.4869888</v>
      </c>
      <c r="AJ160" s="4">
        <f t="shared" si="4"/>
        <v>14.9442379</v>
      </c>
    </row>
    <row r="161">
      <c r="A161" s="1" t="s">
        <v>325</v>
      </c>
      <c r="B161" s="1" t="s">
        <v>326</v>
      </c>
      <c r="C161" s="1" t="s">
        <v>7</v>
      </c>
      <c r="D161" s="1" t="s">
        <v>8</v>
      </c>
      <c r="E161" s="3">
        <v>9.23813692</v>
      </c>
      <c r="F161" s="3">
        <v>9.23246608</v>
      </c>
      <c r="G161" s="3">
        <v>9.22679523</v>
      </c>
      <c r="H161" s="3">
        <v>9.22112439</v>
      </c>
      <c r="I161" s="3">
        <v>9.21545354</v>
      </c>
      <c r="J161" s="3">
        <v>9.20978269</v>
      </c>
      <c r="K161" s="3">
        <v>9.20411185</v>
      </c>
      <c r="L161" s="3">
        <v>9.198441</v>
      </c>
      <c r="M161" s="3">
        <v>9.19277015</v>
      </c>
      <c r="N161" s="3">
        <v>9.18709931</v>
      </c>
      <c r="O161" s="3">
        <v>9.18142846</v>
      </c>
      <c r="P161" s="3">
        <v>9.176279</v>
      </c>
      <c r="Q161" s="3">
        <v>9.17112953</v>
      </c>
      <c r="R161" s="3">
        <v>9.16598007</v>
      </c>
      <c r="S161" s="3">
        <v>9.16083061</v>
      </c>
      <c r="T161" s="3">
        <v>9.15568115</v>
      </c>
      <c r="U161" s="3">
        <v>9.15053168</v>
      </c>
      <c r="V161" s="3">
        <v>9.14538222</v>
      </c>
      <c r="W161" s="3">
        <v>9.14023276</v>
      </c>
      <c r="X161" s="3">
        <v>9.13508329</v>
      </c>
      <c r="Y161" s="3">
        <v>9.12993383</v>
      </c>
      <c r="Z161" s="3">
        <v>9.12921677</v>
      </c>
      <c r="AA161" s="3">
        <v>9.1284997</v>
      </c>
      <c r="AB161" s="3">
        <v>9.12778264</v>
      </c>
      <c r="AC161" s="3">
        <v>9.12706558</v>
      </c>
      <c r="AD161" s="3">
        <v>9.1046915</v>
      </c>
      <c r="AE161" s="3">
        <v>9.10397871</v>
      </c>
      <c r="AF161" s="3">
        <v>9.10326591</v>
      </c>
      <c r="AG161" s="3">
        <v>9.10255546</v>
      </c>
      <c r="AH161" s="3">
        <v>9.10184267</v>
      </c>
      <c r="AI161" s="3">
        <v>9.10112987</v>
      </c>
      <c r="AJ161" s="4">
        <f t="shared" si="4"/>
        <v>-0.13700705</v>
      </c>
    </row>
    <row r="162">
      <c r="A162" s="1" t="s">
        <v>327</v>
      </c>
      <c r="B162" s="1" t="s">
        <v>328</v>
      </c>
      <c r="C162" s="1" t="s">
        <v>7</v>
      </c>
      <c r="D162" s="1" t="s">
        <v>8</v>
      </c>
      <c r="E162" s="5"/>
      <c r="F162" s="3">
        <v>72.7065217</v>
      </c>
      <c r="G162" s="3">
        <v>72.3478261</v>
      </c>
      <c r="H162" s="3">
        <v>71.9891304</v>
      </c>
      <c r="I162" s="3">
        <v>71.6304348</v>
      </c>
      <c r="J162" s="3">
        <v>71.2717391</v>
      </c>
      <c r="K162" s="3">
        <v>70.9130435</v>
      </c>
      <c r="L162" s="3">
        <v>70.5543478</v>
      </c>
      <c r="M162" s="3">
        <v>70.1956522</v>
      </c>
      <c r="N162" s="3">
        <v>69.8369565</v>
      </c>
      <c r="O162" s="3">
        <v>69.4782609</v>
      </c>
      <c r="P162" s="3">
        <v>69.1217391</v>
      </c>
      <c r="Q162" s="3">
        <v>68.7652174</v>
      </c>
      <c r="R162" s="3">
        <v>68.4086957</v>
      </c>
      <c r="S162" s="3">
        <v>68.0521739</v>
      </c>
      <c r="T162" s="3">
        <v>67.6956522</v>
      </c>
      <c r="U162" s="3">
        <v>67.3391304</v>
      </c>
      <c r="V162" s="3">
        <v>66.9826087</v>
      </c>
      <c r="W162" s="3">
        <v>66.626087</v>
      </c>
      <c r="X162" s="3">
        <v>66.2695652</v>
      </c>
      <c r="Y162" s="3">
        <v>65.9130435</v>
      </c>
      <c r="Z162" s="3">
        <v>65.5521739</v>
      </c>
      <c r="AA162" s="3">
        <v>65.1913043</v>
      </c>
      <c r="AB162" s="3">
        <v>64.8304348</v>
      </c>
      <c r="AC162" s="3">
        <v>64.4695652</v>
      </c>
      <c r="AD162" s="3">
        <v>64.1086957</v>
      </c>
      <c r="AE162" s="3">
        <v>52.9565217</v>
      </c>
      <c r="AF162" s="3">
        <v>52.9565217</v>
      </c>
      <c r="AG162" s="3">
        <v>52.9565217</v>
      </c>
      <c r="AH162" s="3">
        <v>52.9565217</v>
      </c>
      <c r="AI162" s="3">
        <v>52.9565217</v>
      </c>
      <c r="AJ162" s="4">
        <f>AI162-F162</f>
        <v>-19.75</v>
      </c>
    </row>
    <row r="163">
      <c r="A163" s="1" t="s">
        <v>329</v>
      </c>
      <c r="B163" s="1" t="s">
        <v>330</v>
      </c>
      <c r="C163" s="1" t="s">
        <v>7</v>
      </c>
      <c r="D163" s="1" t="s">
        <v>8</v>
      </c>
      <c r="E163" s="3">
        <v>55.1616267</v>
      </c>
      <c r="F163" s="3">
        <v>54.8831354</v>
      </c>
      <c r="G163" s="3">
        <v>54.6046441</v>
      </c>
      <c r="H163" s="3">
        <v>54.3261528</v>
      </c>
      <c r="I163" s="3">
        <v>54.0476614</v>
      </c>
      <c r="J163" s="3">
        <v>53.7691701</v>
      </c>
      <c r="K163" s="3">
        <v>53.4906788</v>
      </c>
      <c r="L163" s="3">
        <v>53.2121875</v>
      </c>
      <c r="M163" s="3">
        <v>52.9336962</v>
      </c>
      <c r="N163" s="3">
        <v>52.6552049</v>
      </c>
      <c r="O163" s="3">
        <v>52.3767135</v>
      </c>
      <c r="P163" s="3">
        <v>52.0949337</v>
      </c>
      <c r="Q163" s="3">
        <v>51.8131539</v>
      </c>
      <c r="R163" s="3">
        <v>51.5313741</v>
      </c>
      <c r="S163" s="3">
        <v>51.2495943</v>
      </c>
      <c r="T163" s="3">
        <v>50.9678145</v>
      </c>
      <c r="U163" s="3">
        <v>50.6860347</v>
      </c>
      <c r="V163" s="3">
        <v>50.4042549</v>
      </c>
      <c r="W163" s="3">
        <v>50.1224751</v>
      </c>
      <c r="X163" s="3">
        <v>49.8406953</v>
      </c>
      <c r="Y163" s="3">
        <v>49.5589155</v>
      </c>
      <c r="Z163" s="3">
        <v>49.2964114</v>
      </c>
      <c r="AA163" s="3">
        <v>49.0339073</v>
      </c>
      <c r="AB163" s="3">
        <v>48.7714031</v>
      </c>
      <c r="AC163" s="3">
        <v>48.508899</v>
      </c>
      <c r="AD163" s="3">
        <v>48.2463949</v>
      </c>
      <c r="AE163" s="3">
        <v>47.8500089</v>
      </c>
      <c r="AF163" s="3">
        <v>47.5680968</v>
      </c>
      <c r="AG163" s="3">
        <v>47.3361072</v>
      </c>
      <c r="AH163" s="3">
        <v>47.0079478</v>
      </c>
      <c r="AI163" s="3">
        <v>46.7251965</v>
      </c>
      <c r="AJ163" s="4">
        <f t="shared" ref="AJ163:AJ184" si="5">AI163-E163</f>
        <v>-8.4364302</v>
      </c>
    </row>
    <row r="164">
      <c r="A164" s="1" t="s">
        <v>331</v>
      </c>
      <c r="B164" s="1" t="s">
        <v>332</v>
      </c>
      <c r="C164" s="1" t="s">
        <v>7</v>
      </c>
      <c r="D164" s="1" t="s">
        <v>8</v>
      </c>
      <c r="E164" s="3">
        <v>0.46186087</v>
      </c>
      <c r="F164" s="3">
        <v>0.4565829</v>
      </c>
      <c r="G164" s="3">
        <v>0.45130494</v>
      </c>
      <c r="H164" s="3">
        <v>0.44602697</v>
      </c>
      <c r="I164" s="3">
        <v>0.44074901</v>
      </c>
      <c r="J164" s="3">
        <v>0.43547104</v>
      </c>
      <c r="K164" s="3">
        <v>0.43019307</v>
      </c>
      <c r="L164" s="3">
        <v>0.42491511</v>
      </c>
      <c r="M164" s="3">
        <v>0.41963714</v>
      </c>
      <c r="N164" s="3">
        <v>0.41435917</v>
      </c>
      <c r="O164" s="3">
        <v>0.40908121</v>
      </c>
      <c r="P164" s="3">
        <v>0.40380324</v>
      </c>
      <c r="Q164" s="3">
        <v>0.39852527</v>
      </c>
      <c r="R164" s="3">
        <v>0.39324731</v>
      </c>
      <c r="S164" s="3">
        <v>0.38796934</v>
      </c>
      <c r="T164" s="3">
        <v>0.38269137</v>
      </c>
      <c r="U164" s="3">
        <v>0.37741341</v>
      </c>
      <c r="V164" s="3">
        <v>0.37213544</v>
      </c>
      <c r="W164" s="3">
        <v>0.36685748</v>
      </c>
      <c r="X164" s="3">
        <v>0.36157951</v>
      </c>
      <c r="Y164" s="3">
        <v>0.35630154</v>
      </c>
      <c r="Z164" s="3">
        <v>0.35102358</v>
      </c>
      <c r="AA164" s="3">
        <v>0.34574561</v>
      </c>
      <c r="AB164" s="3">
        <v>0.34046764</v>
      </c>
      <c r="AC164" s="3">
        <v>0.33518968</v>
      </c>
      <c r="AD164" s="3">
        <v>0.32991171</v>
      </c>
      <c r="AE164" s="3">
        <v>0.32463374</v>
      </c>
      <c r="AF164" s="3">
        <v>0.31939459</v>
      </c>
      <c r="AG164" s="3">
        <v>0.31405841</v>
      </c>
      <c r="AH164" s="3">
        <v>0.30881925</v>
      </c>
      <c r="AI164" s="3">
        <v>0.30348307</v>
      </c>
      <c r="AJ164" s="4">
        <f t="shared" si="5"/>
        <v>-0.1583778</v>
      </c>
    </row>
    <row r="165">
      <c r="A165" s="1" t="s">
        <v>333</v>
      </c>
      <c r="B165" s="1" t="s">
        <v>334</v>
      </c>
      <c r="C165" s="1" t="s">
        <v>7</v>
      </c>
      <c r="D165" s="1" t="s">
        <v>8</v>
      </c>
      <c r="E165" s="3">
        <v>20.2315271</v>
      </c>
      <c r="F165" s="3">
        <v>20.2738916</v>
      </c>
      <c r="G165" s="3">
        <v>20.3162562</v>
      </c>
      <c r="H165" s="3">
        <v>20.3586207</v>
      </c>
      <c r="I165" s="3">
        <v>20.4009852</v>
      </c>
      <c r="J165" s="3">
        <v>20.4433498</v>
      </c>
      <c r="K165" s="3">
        <v>20.4857143</v>
      </c>
      <c r="L165" s="3">
        <v>20.5280788</v>
      </c>
      <c r="M165" s="3">
        <v>20.5704433</v>
      </c>
      <c r="N165" s="3">
        <v>20.6128079</v>
      </c>
      <c r="O165" s="3">
        <v>20.6551724</v>
      </c>
      <c r="P165" s="3">
        <v>20.4807882</v>
      </c>
      <c r="Q165" s="3">
        <v>20.3064039</v>
      </c>
      <c r="R165" s="3">
        <v>20.1320197</v>
      </c>
      <c r="S165" s="3">
        <v>19.9576355</v>
      </c>
      <c r="T165" s="3">
        <v>19.7832512</v>
      </c>
      <c r="U165" s="3">
        <v>19.608867</v>
      </c>
      <c r="V165" s="3">
        <v>19.4344828</v>
      </c>
      <c r="W165" s="3">
        <v>19.2600985</v>
      </c>
      <c r="X165" s="3">
        <v>19.0857143</v>
      </c>
      <c r="Y165" s="3">
        <v>18.91133</v>
      </c>
      <c r="Z165" s="3">
        <v>18.9024631</v>
      </c>
      <c r="AA165" s="3">
        <v>18.8935961</v>
      </c>
      <c r="AB165" s="3">
        <v>18.8847291</v>
      </c>
      <c r="AC165" s="3">
        <v>18.8758621</v>
      </c>
      <c r="AD165" s="3">
        <v>18.8669951</v>
      </c>
      <c r="AE165" s="3">
        <v>18.862069</v>
      </c>
      <c r="AF165" s="3">
        <v>19.0394089</v>
      </c>
      <c r="AG165" s="3">
        <v>19.0591133</v>
      </c>
      <c r="AH165" s="3">
        <v>19.0788177</v>
      </c>
      <c r="AI165" s="3">
        <v>19.0985222</v>
      </c>
      <c r="AJ165" s="4">
        <f t="shared" si="5"/>
        <v>-1.1330049</v>
      </c>
    </row>
    <row r="166">
      <c r="A166" s="1" t="s">
        <v>335</v>
      </c>
      <c r="B166" s="1" t="s">
        <v>336</v>
      </c>
      <c r="C166" s="1" t="s">
        <v>7</v>
      </c>
      <c r="D166" s="1" t="s">
        <v>8</v>
      </c>
      <c r="E166" s="3">
        <v>37.1414934</v>
      </c>
      <c r="F166" s="3">
        <v>36.6960119</v>
      </c>
      <c r="G166" s="3">
        <v>36.2505303</v>
      </c>
      <c r="H166" s="3">
        <v>35.8050488</v>
      </c>
      <c r="I166" s="3">
        <v>35.3595672</v>
      </c>
      <c r="J166" s="3">
        <v>34.9140857</v>
      </c>
      <c r="K166" s="3">
        <v>34.4686042</v>
      </c>
      <c r="L166" s="3">
        <v>34.0231226</v>
      </c>
      <c r="M166" s="3">
        <v>33.5776411</v>
      </c>
      <c r="N166" s="3">
        <v>33.1321595</v>
      </c>
      <c r="O166" s="3">
        <v>32.686678</v>
      </c>
      <c r="P166" s="3">
        <v>32.2411964</v>
      </c>
      <c r="Q166" s="3">
        <v>31.7957149</v>
      </c>
      <c r="R166" s="3">
        <v>31.3502333</v>
      </c>
      <c r="S166" s="3">
        <v>30.9047518</v>
      </c>
      <c r="T166" s="3">
        <v>30.4592703</v>
      </c>
      <c r="U166" s="3">
        <v>30.0137887</v>
      </c>
      <c r="V166" s="3">
        <v>29.5683072</v>
      </c>
      <c r="W166" s="3">
        <v>29.1228256</v>
      </c>
      <c r="X166" s="3">
        <v>28.6773441</v>
      </c>
      <c r="Y166" s="3">
        <v>28.2318625</v>
      </c>
      <c r="Z166" s="3">
        <v>27.786381</v>
      </c>
      <c r="AA166" s="3">
        <v>27.3408994</v>
      </c>
      <c r="AB166" s="3">
        <v>26.8954179</v>
      </c>
      <c r="AC166" s="3">
        <v>26.4499364</v>
      </c>
      <c r="AD166" s="3">
        <v>26.0044548</v>
      </c>
      <c r="AE166" s="3">
        <v>25.5589733</v>
      </c>
      <c r="AF166" s="3">
        <v>25.1134917</v>
      </c>
      <c r="AG166" s="3">
        <v>24.6680102</v>
      </c>
      <c r="AH166" s="3">
        <v>24.2225286</v>
      </c>
      <c r="AI166" s="3">
        <v>23.7770471</v>
      </c>
      <c r="AJ166" s="4">
        <f t="shared" si="5"/>
        <v>-13.3644463</v>
      </c>
    </row>
    <row r="167">
      <c r="A167" s="1" t="s">
        <v>337</v>
      </c>
      <c r="B167" s="1" t="s">
        <v>338</v>
      </c>
      <c r="C167" s="1" t="s">
        <v>7</v>
      </c>
      <c r="D167" s="1" t="s">
        <v>8</v>
      </c>
      <c r="E167" s="3">
        <v>62.7560493</v>
      </c>
      <c r="F167" s="3">
        <v>62.4738548</v>
      </c>
      <c r="G167" s="3">
        <v>62.1916603</v>
      </c>
      <c r="H167" s="3">
        <v>61.9094658</v>
      </c>
      <c r="I167" s="3">
        <v>61.6272713</v>
      </c>
      <c r="J167" s="3">
        <v>61.3450769</v>
      </c>
      <c r="K167" s="3">
        <v>61.0628824</v>
      </c>
      <c r="L167" s="3">
        <v>60.7806879</v>
      </c>
      <c r="M167" s="3">
        <v>60.4984934</v>
      </c>
      <c r="N167" s="3">
        <v>60.2162989</v>
      </c>
      <c r="O167" s="3">
        <v>59.9341044</v>
      </c>
      <c r="P167" s="3">
        <v>59.7077462</v>
      </c>
      <c r="Q167" s="3">
        <v>59.4813879</v>
      </c>
      <c r="R167" s="3">
        <v>59.2550297</v>
      </c>
      <c r="S167" s="3">
        <v>59.0286714</v>
      </c>
      <c r="T167" s="3">
        <v>58.8023132</v>
      </c>
      <c r="U167" s="3">
        <v>58.575955</v>
      </c>
      <c r="V167" s="3">
        <v>58.3495967</v>
      </c>
      <c r="W167" s="3">
        <v>58.1232385</v>
      </c>
      <c r="X167" s="3">
        <v>57.8968802</v>
      </c>
      <c r="Y167" s="3">
        <v>57.670522</v>
      </c>
      <c r="Z167" s="3">
        <v>57.9849764</v>
      </c>
      <c r="AA167" s="3">
        <v>58.2994308</v>
      </c>
      <c r="AB167" s="3">
        <v>58.6138853</v>
      </c>
      <c r="AC167" s="3">
        <v>58.9283397</v>
      </c>
      <c r="AD167" s="3">
        <v>59.2427941</v>
      </c>
      <c r="AE167" s="3">
        <v>58.7875209</v>
      </c>
      <c r="AF167" s="3">
        <v>58.6348805</v>
      </c>
      <c r="AG167" s="3">
        <v>58.4822401</v>
      </c>
      <c r="AH167" s="3">
        <v>58.3295998</v>
      </c>
      <c r="AI167" s="3">
        <v>58.1769594</v>
      </c>
      <c r="AJ167" s="4">
        <f t="shared" si="5"/>
        <v>-4.5790899</v>
      </c>
    </row>
    <row r="168">
      <c r="A168" s="1" t="s">
        <v>339</v>
      </c>
      <c r="B168" s="1" t="s">
        <v>340</v>
      </c>
      <c r="C168" s="1" t="s">
        <v>7</v>
      </c>
      <c r="D168" s="1" t="s">
        <v>8</v>
      </c>
      <c r="E168" s="3">
        <v>35.9027943</v>
      </c>
      <c r="F168" s="3">
        <v>35.9061877</v>
      </c>
      <c r="G168" s="3">
        <v>35.9095811</v>
      </c>
      <c r="H168" s="3">
        <v>35.9129745</v>
      </c>
      <c r="I168" s="3">
        <v>35.9163679</v>
      </c>
      <c r="J168" s="3">
        <v>35.9197613</v>
      </c>
      <c r="K168" s="3">
        <v>35.9231547</v>
      </c>
      <c r="L168" s="3">
        <v>35.9265481</v>
      </c>
      <c r="M168" s="3">
        <v>35.9299415</v>
      </c>
      <c r="N168" s="3">
        <v>35.9333349</v>
      </c>
      <c r="O168" s="3">
        <v>35.9308603</v>
      </c>
      <c r="P168" s="3">
        <v>35.9568111</v>
      </c>
      <c r="Q168" s="3">
        <v>35.9827618</v>
      </c>
      <c r="R168" s="3">
        <v>36.0087126</v>
      </c>
      <c r="S168" s="3">
        <v>36.0346633</v>
      </c>
      <c r="T168" s="3">
        <v>36.0606141</v>
      </c>
      <c r="U168" s="3">
        <v>36.0865649</v>
      </c>
      <c r="V168" s="3">
        <v>36.1125156</v>
      </c>
      <c r="W168" s="3">
        <v>36.1673962</v>
      </c>
      <c r="X168" s="3">
        <v>36.1933677</v>
      </c>
      <c r="Y168" s="3">
        <v>36.2193393</v>
      </c>
      <c r="Z168" s="3">
        <v>36.2322415</v>
      </c>
      <c r="AA168" s="3">
        <v>36.2451438</v>
      </c>
      <c r="AB168" s="3">
        <v>36.2580461</v>
      </c>
      <c r="AC168" s="3">
        <v>36.2709484</v>
      </c>
      <c r="AD168" s="3">
        <v>36.2838507</v>
      </c>
      <c r="AE168" s="3">
        <v>36.2816606</v>
      </c>
      <c r="AF168" s="3">
        <v>36.2630558</v>
      </c>
      <c r="AG168" s="3">
        <v>36.2610141</v>
      </c>
      <c r="AH168" s="3">
        <v>36.258972</v>
      </c>
      <c r="AI168" s="3">
        <v>36.2569304</v>
      </c>
      <c r="AJ168" s="4">
        <f t="shared" si="5"/>
        <v>0.3541361</v>
      </c>
    </row>
    <row r="169">
      <c r="A169" s="1" t="s">
        <v>341</v>
      </c>
      <c r="B169" s="1" t="s">
        <v>342</v>
      </c>
      <c r="C169" s="1" t="s">
        <v>7</v>
      </c>
      <c r="D169" s="1" t="s">
        <v>8</v>
      </c>
      <c r="E169" s="3">
        <v>10.6513744</v>
      </c>
      <c r="F169" s="3">
        <v>10.5651246</v>
      </c>
      <c r="G169" s="3">
        <v>10.4788748</v>
      </c>
      <c r="H169" s="3">
        <v>10.392625</v>
      </c>
      <c r="I169" s="3">
        <v>10.3063752</v>
      </c>
      <c r="J169" s="3">
        <v>10.2201254</v>
      </c>
      <c r="K169" s="3">
        <v>10.1338755</v>
      </c>
      <c r="L169" s="3">
        <v>10.0476257</v>
      </c>
      <c r="M169" s="3">
        <v>9.96137594</v>
      </c>
      <c r="N169" s="3">
        <v>9.87512614</v>
      </c>
      <c r="O169" s="3">
        <v>9.78887634</v>
      </c>
      <c r="P169" s="3">
        <v>9.70262556</v>
      </c>
      <c r="Q169" s="3">
        <v>9.61637479</v>
      </c>
      <c r="R169" s="3">
        <v>9.53012401</v>
      </c>
      <c r="S169" s="3">
        <v>9.44387324</v>
      </c>
      <c r="T169" s="3">
        <v>9.35762247</v>
      </c>
      <c r="U169" s="3">
        <v>9.27137169</v>
      </c>
      <c r="V169" s="3">
        <v>9.18512092</v>
      </c>
      <c r="W169" s="3">
        <v>9.09887014</v>
      </c>
      <c r="X169" s="3">
        <v>9.01261937</v>
      </c>
      <c r="Y169" s="3">
        <v>8.92636859</v>
      </c>
      <c r="Z169" s="3">
        <v>8.84011952</v>
      </c>
      <c r="AA169" s="3">
        <v>8.75387045</v>
      </c>
      <c r="AB169" s="3">
        <v>8.66762137</v>
      </c>
      <c r="AC169" s="3">
        <v>8.5813723</v>
      </c>
      <c r="AD169" s="3">
        <v>8.49512323</v>
      </c>
      <c r="AE169" s="3">
        <v>8.40887172</v>
      </c>
      <c r="AF169" s="3">
        <v>8.32262022</v>
      </c>
      <c r="AG169" s="3">
        <v>8.23636872</v>
      </c>
      <c r="AH169" s="3">
        <v>8.15011721</v>
      </c>
      <c r="AI169" s="3">
        <v>8.06386571</v>
      </c>
      <c r="AJ169" s="4">
        <f t="shared" si="5"/>
        <v>-2.58750869</v>
      </c>
    </row>
    <row r="170">
      <c r="A170" s="1" t="s">
        <v>343</v>
      </c>
      <c r="B170" s="1" t="s">
        <v>344</v>
      </c>
      <c r="C170" s="1" t="s">
        <v>7</v>
      </c>
      <c r="D170" s="1" t="s">
        <v>8</v>
      </c>
      <c r="E170" s="3">
        <v>45.4666302</v>
      </c>
      <c r="F170" s="3">
        <v>45.5033917</v>
      </c>
      <c r="G170" s="3">
        <v>45.5401532</v>
      </c>
      <c r="H170" s="3">
        <v>45.5769147</v>
      </c>
      <c r="I170" s="3">
        <v>45.6136761</v>
      </c>
      <c r="J170" s="3">
        <v>45.6504376</v>
      </c>
      <c r="K170" s="3">
        <v>45.6871991</v>
      </c>
      <c r="L170" s="3">
        <v>45.7239606</v>
      </c>
      <c r="M170" s="3">
        <v>45.7607221</v>
      </c>
      <c r="N170" s="3">
        <v>45.7974836</v>
      </c>
      <c r="O170" s="3">
        <v>45.8342451</v>
      </c>
      <c r="P170" s="3">
        <v>45.8406455</v>
      </c>
      <c r="Q170" s="3">
        <v>45.847046</v>
      </c>
      <c r="R170" s="3">
        <v>45.8534464</v>
      </c>
      <c r="S170" s="3">
        <v>45.8598468</v>
      </c>
      <c r="T170" s="3">
        <v>45.8662473</v>
      </c>
      <c r="U170" s="3">
        <v>45.8726477</v>
      </c>
      <c r="V170" s="3">
        <v>45.8790481</v>
      </c>
      <c r="W170" s="3">
        <v>45.8854486</v>
      </c>
      <c r="X170" s="3">
        <v>45.891849</v>
      </c>
      <c r="Y170" s="3">
        <v>45.8982495</v>
      </c>
      <c r="Z170" s="3">
        <v>45.892779</v>
      </c>
      <c r="AA170" s="3">
        <v>45.8873085</v>
      </c>
      <c r="AB170" s="3">
        <v>45.8818381</v>
      </c>
      <c r="AC170" s="3">
        <v>45.8763676</v>
      </c>
      <c r="AD170" s="3">
        <v>45.8708972</v>
      </c>
      <c r="AE170" s="3">
        <v>45.8654267</v>
      </c>
      <c r="AF170" s="3">
        <v>45.8599562</v>
      </c>
      <c r="AG170" s="3">
        <v>45.8544858</v>
      </c>
      <c r="AH170" s="3">
        <v>45.8490153</v>
      </c>
      <c r="AI170" s="3">
        <v>45.8435449</v>
      </c>
      <c r="AJ170" s="4">
        <f t="shared" si="5"/>
        <v>0.3769147</v>
      </c>
    </row>
    <row r="171">
      <c r="A171" s="1" t="s">
        <v>345</v>
      </c>
      <c r="B171" s="1" t="s">
        <v>346</v>
      </c>
      <c r="C171" s="1" t="s">
        <v>7</v>
      </c>
      <c r="D171" s="1" t="s">
        <v>8</v>
      </c>
      <c r="E171" s="3">
        <v>1.53548591</v>
      </c>
      <c r="F171" s="3">
        <v>1.48678456</v>
      </c>
      <c r="G171" s="3">
        <v>1.43808321</v>
      </c>
      <c r="H171" s="3">
        <v>1.38938186</v>
      </c>
      <c r="I171" s="3">
        <v>1.34068051</v>
      </c>
      <c r="J171" s="3">
        <v>1.29197916</v>
      </c>
      <c r="K171" s="3">
        <v>1.24327781</v>
      </c>
      <c r="L171" s="3">
        <v>1.19457646</v>
      </c>
      <c r="M171" s="3">
        <v>1.14587511</v>
      </c>
      <c r="N171" s="3">
        <v>1.09717376</v>
      </c>
      <c r="O171" s="3">
        <v>1.04847241</v>
      </c>
      <c r="P171" s="3">
        <v>1.0386674</v>
      </c>
      <c r="Q171" s="3">
        <v>1.0288624</v>
      </c>
      <c r="R171" s="3">
        <v>1.01905739</v>
      </c>
      <c r="S171" s="3">
        <v>1.00925239</v>
      </c>
      <c r="T171" s="3">
        <v>0.99944738</v>
      </c>
      <c r="U171" s="3">
        <v>0.98964238</v>
      </c>
      <c r="V171" s="3">
        <v>0.97983737</v>
      </c>
      <c r="W171" s="3">
        <v>0.97003237</v>
      </c>
      <c r="X171" s="3">
        <v>0.96022736</v>
      </c>
      <c r="Y171" s="3">
        <v>0.95042236</v>
      </c>
      <c r="Z171" s="3">
        <v>0.94061735</v>
      </c>
      <c r="AA171" s="3">
        <v>0.93081235</v>
      </c>
      <c r="AB171" s="3">
        <v>0.92100734</v>
      </c>
      <c r="AC171" s="3">
        <v>0.91120234</v>
      </c>
      <c r="AD171" s="3">
        <v>0.90139733</v>
      </c>
      <c r="AE171" s="3">
        <v>0.89159233</v>
      </c>
      <c r="AF171" s="3">
        <v>0.88178732</v>
      </c>
      <c r="AG171" s="3">
        <v>0.87198232</v>
      </c>
      <c r="AH171" s="3">
        <v>0.86217731</v>
      </c>
      <c r="AI171" s="3">
        <v>0.85237231</v>
      </c>
      <c r="AJ171" s="4">
        <f t="shared" si="5"/>
        <v>-0.6831136</v>
      </c>
    </row>
    <row r="172">
      <c r="A172" s="1" t="s">
        <v>347</v>
      </c>
      <c r="B172" s="1" t="s">
        <v>348</v>
      </c>
      <c r="C172" s="1" t="s">
        <v>7</v>
      </c>
      <c r="D172" s="1" t="s">
        <v>8</v>
      </c>
      <c r="E172" s="3">
        <v>29.1249053</v>
      </c>
      <c r="F172" s="3">
        <v>28.945601</v>
      </c>
      <c r="G172" s="3">
        <v>28.7662967</v>
      </c>
      <c r="H172" s="3">
        <v>28.5869923</v>
      </c>
      <c r="I172" s="3">
        <v>28.407688</v>
      </c>
      <c r="J172" s="3">
        <v>28.2283837</v>
      </c>
      <c r="K172" s="3">
        <v>28.0490794</v>
      </c>
      <c r="L172" s="3">
        <v>27.869775</v>
      </c>
      <c r="M172" s="3">
        <v>27.6904707</v>
      </c>
      <c r="N172" s="3">
        <v>27.5111664</v>
      </c>
      <c r="O172" s="3">
        <v>27.3318621</v>
      </c>
      <c r="P172" s="3">
        <v>27.1525566</v>
      </c>
      <c r="Q172" s="3">
        <v>26.9732512</v>
      </c>
      <c r="R172" s="3">
        <v>26.7939458</v>
      </c>
      <c r="S172" s="3">
        <v>26.6146404</v>
      </c>
      <c r="T172" s="3">
        <v>26.4353349</v>
      </c>
      <c r="U172" s="3">
        <v>26.2560295</v>
      </c>
      <c r="V172" s="3">
        <v>26.0767241</v>
      </c>
      <c r="W172" s="3">
        <v>25.8974187</v>
      </c>
      <c r="X172" s="3">
        <v>25.7181132</v>
      </c>
      <c r="Y172" s="3">
        <v>25.5388078</v>
      </c>
      <c r="Z172" s="3">
        <v>25.3595024</v>
      </c>
      <c r="AA172" s="3">
        <v>25.180197</v>
      </c>
      <c r="AB172" s="3">
        <v>25.0008916</v>
      </c>
      <c r="AC172" s="3">
        <v>24.8215861</v>
      </c>
      <c r="AD172" s="3">
        <v>24.6422807</v>
      </c>
      <c r="AE172" s="3">
        <v>24.4629796</v>
      </c>
      <c r="AF172" s="3">
        <v>24.283683</v>
      </c>
      <c r="AG172" s="3">
        <v>24.1043842</v>
      </c>
      <c r="AH172" s="3">
        <v>23.9250854</v>
      </c>
      <c r="AI172" s="3">
        <v>23.7457865</v>
      </c>
      <c r="AJ172" s="4">
        <f t="shared" si="5"/>
        <v>-5.3791188</v>
      </c>
    </row>
    <row r="173">
      <c r="A173" s="1" t="s">
        <v>349</v>
      </c>
      <c r="B173" s="1" t="s">
        <v>350</v>
      </c>
      <c r="C173" s="1" t="s">
        <v>7</v>
      </c>
      <c r="D173" s="1" t="s">
        <v>8</v>
      </c>
      <c r="E173" s="3">
        <v>53.1769985</v>
      </c>
      <c r="F173" s="3">
        <v>52.3460196</v>
      </c>
      <c r="G173" s="3">
        <v>51.5150407</v>
      </c>
      <c r="H173" s="3">
        <v>50.6840618</v>
      </c>
      <c r="I173" s="3">
        <v>49.8530829</v>
      </c>
      <c r="J173" s="3">
        <v>49.022104</v>
      </c>
      <c r="K173" s="3">
        <v>48.1911251</v>
      </c>
      <c r="L173" s="3">
        <v>47.3601463</v>
      </c>
      <c r="M173" s="3">
        <v>46.5291674</v>
      </c>
      <c r="N173" s="3">
        <v>45.6981885</v>
      </c>
      <c r="O173" s="3">
        <v>44.8672096</v>
      </c>
      <c r="P173" s="3">
        <v>43.8607529</v>
      </c>
      <c r="Q173" s="3">
        <v>42.8542962</v>
      </c>
      <c r="R173" s="3">
        <v>41.8478395</v>
      </c>
      <c r="S173" s="3">
        <v>40.8413827</v>
      </c>
      <c r="T173" s="3">
        <v>39.834926</v>
      </c>
      <c r="U173" s="3">
        <v>38.8284693</v>
      </c>
      <c r="V173" s="3">
        <v>37.8220126</v>
      </c>
      <c r="W173" s="3">
        <v>36.8155559</v>
      </c>
      <c r="X173" s="3">
        <v>35.8090992</v>
      </c>
      <c r="Y173" s="3">
        <v>34.8026425</v>
      </c>
      <c r="Z173" s="3">
        <v>34.3362639</v>
      </c>
      <c r="AA173" s="3">
        <v>33.8698853</v>
      </c>
      <c r="AB173" s="3">
        <v>33.4035067</v>
      </c>
      <c r="AC173" s="3">
        <v>32.9371281</v>
      </c>
      <c r="AD173" s="3">
        <v>32.4707495</v>
      </c>
      <c r="AE173" s="3">
        <v>31.6397706</v>
      </c>
      <c r="AF173" s="3">
        <v>30.8087918</v>
      </c>
      <c r="AG173" s="3">
        <v>29.9778129</v>
      </c>
      <c r="AH173" s="3">
        <v>29.146834</v>
      </c>
      <c r="AI173" s="3">
        <v>28.3158551</v>
      </c>
      <c r="AJ173" s="4">
        <f t="shared" si="5"/>
        <v>-24.8611434</v>
      </c>
    </row>
    <row r="174">
      <c r="A174" s="1" t="s">
        <v>351</v>
      </c>
      <c r="B174" s="1" t="s">
        <v>352</v>
      </c>
      <c r="C174" s="1" t="s">
        <v>7</v>
      </c>
      <c r="D174" s="1" t="s">
        <v>8</v>
      </c>
      <c r="E174" s="3">
        <v>10.2289692</v>
      </c>
      <c r="F174" s="3">
        <v>10.2709419</v>
      </c>
      <c r="G174" s="3">
        <v>10.3129147</v>
      </c>
      <c r="H174" s="3">
        <v>10.3548874</v>
      </c>
      <c r="I174" s="3">
        <v>10.3968602</v>
      </c>
      <c r="J174" s="3">
        <v>10.4388329</v>
      </c>
      <c r="K174" s="3">
        <v>10.4808057</v>
      </c>
      <c r="L174" s="3">
        <v>10.5227784</v>
      </c>
      <c r="M174" s="3">
        <v>10.5647512</v>
      </c>
      <c r="N174" s="3">
        <v>10.6067239</v>
      </c>
      <c r="O174" s="3">
        <v>10.6486967</v>
      </c>
      <c r="P174" s="3">
        <v>10.6901066</v>
      </c>
      <c r="Q174" s="3">
        <v>10.7315166</v>
      </c>
      <c r="R174" s="3">
        <v>10.7729265</v>
      </c>
      <c r="S174" s="3">
        <v>10.8143365</v>
      </c>
      <c r="T174" s="3">
        <v>10.8557464</v>
      </c>
      <c r="U174" s="3">
        <v>10.8971564</v>
      </c>
      <c r="V174" s="3">
        <v>10.9385664</v>
      </c>
      <c r="W174" s="3">
        <v>10.9799763</v>
      </c>
      <c r="X174" s="3">
        <v>11.0311889</v>
      </c>
      <c r="Y174" s="3">
        <v>11.0726356</v>
      </c>
      <c r="Z174" s="3">
        <v>11.0246145</v>
      </c>
      <c r="AA174" s="3">
        <v>10.9733096</v>
      </c>
      <c r="AB174" s="3">
        <v>10.9317305</v>
      </c>
      <c r="AC174" s="3">
        <v>10.8803799</v>
      </c>
      <c r="AD174" s="3">
        <v>10.8354618</v>
      </c>
      <c r="AE174" s="3">
        <v>10.8630829</v>
      </c>
      <c r="AF174" s="3">
        <v>10.8910009</v>
      </c>
      <c r="AG174" s="3">
        <v>10.9186219</v>
      </c>
      <c r="AH174" s="3">
        <v>10.9465399</v>
      </c>
      <c r="AI174" s="3">
        <v>10.974161</v>
      </c>
      <c r="AJ174" s="4">
        <f t="shared" si="5"/>
        <v>0.7451918</v>
      </c>
    </row>
    <row r="175">
      <c r="A175" s="1" t="s">
        <v>353</v>
      </c>
      <c r="B175" s="1" t="s">
        <v>354</v>
      </c>
      <c r="C175" s="1" t="s">
        <v>7</v>
      </c>
      <c r="D175" s="1" t="s">
        <v>8</v>
      </c>
      <c r="E175" s="3">
        <v>33.2161514</v>
      </c>
      <c r="F175" s="3">
        <v>33.2109494</v>
      </c>
      <c r="G175" s="3">
        <v>33.2057474</v>
      </c>
      <c r="H175" s="3">
        <v>33.2005454</v>
      </c>
      <c r="I175" s="3">
        <v>33.1953434</v>
      </c>
      <c r="J175" s="3">
        <v>33.1901414</v>
      </c>
      <c r="K175" s="3">
        <v>33.1849394</v>
      </c>
      <c r="L175" s="3">
        <v>33.1797374</v>
      </c>
      <c r="M175" s="3">
        <v>33.1745354</v>
      </c>
      <c r="N175" s="3">
        <v>33.1693334</v>
      </c>
      <c r="O175" s="3">
        <v>33.1641314</v>
      </c>
      <c r="P175" s="3">
        <v>33.1611197</v>
      </c>
      <c r="Q175" s="3">
        <v>33.158108</v>
      </c>
      <c r="R175" s="3">
        <v>33.1550963</v>
      </c>
      <c r="S175" s="3">
        <v>33.1520846</v>
      </c>
      <c r="T175" s="3">
        <v>33.1490729</v>
      </c>
      <c r="U175" s="3">
        <v>33.1460613</v>
      </c>
      <c r="V175" s="3">
        <v>33.1430496</v>
      </c>
      <c r="W175" s="3">
        <v>33.1400379</v>
      </c>
      <c r="X175" s="3">
        <v>33.1370262</v>
      </c>
      <c r="Y175" s="3">
        <v>33.1340145</v>
      </c>
      <c r="Z175" s="3">
        <v>33.1553701</v>
      </c>
      <c r="AA175" s="3">
        <v>33.1767257</v>
      </c>
      <c r="AB175" s="3">
        <v>33.2090866</v>
      </c>
      <c r="AC175" s="3">
        <v>33.2318109</v>
      </c>
      <c r="AD175" s="3">
        <v>33.245644</v>
      </c>
      <c r="AE175" s="3">
        <v>33.2710997</v>
      </c>
      <c r="AF175" s="3">
        <v>33.2945373</v>
      </c>
      <c r="AG175" s="3">
        <v>33.3172787</v>
      </c>
      <c r="AH175" s="3">
        <v>33.3386423</v>
      </c>
      <c r="AI175" s="3">
        <v>33.3600058</v>
      </c>
      <c r="AJ175" s="4">
        <f t="shared" si="5"/>
        <v>0.1438544</v>
      </c>
    </row>
    <row r="176">
      <c r="A176" s="1" t="s">
        <v>355</v>
      </c>
      <c r="B176" s="1" t="s">
        <v>356</v>
      </c>
      <c r="C176" s="1" t="s">
        <v>7</v>
      </c>
      <c r="D176" s="1" t="s">
        <v>8</v>
      </c>
      <c r="E176" s="3">
        <v>39.6643357</v>
      </c>
      <c r="F176" s="3">
        <v>39.7403916</v>
      </c>
      <c r="G176" s="3">
        <v>39.8164476</v>
      </c>
      <c r="H176" s="3">
        <v>39.8925035</v>
      </c>
      <c r="I176" s="3">
        <v>39.9685594</v>
      </c>
      <c r="J176" s="3">
        <v>40.0446154</v>
      </c>
      <c r="K176" s="3">
        <v>40.1206713</v>
      </c>
      <c r="L176" s="3">
        <v>40.1967273</v>
      </c>
      <c r="M176" s="3">
        <v>40.2727832</v>
      </c>
      <c r="N176" s="3">
        <v>40.3488392</v>
      </c>
      <c r="O176" s="3">
        <v>41.6516219</v>
      </c>
      <c r="P176" s="3">
        <v>40.4526474</v>
      </c>
      <c r="Q176" s="3">
        <v>40.5791001</v>
      </c>
      <c r="R176" s="3">
        <v>40.7055528</v>
      </c>
      <c r="S176" s="3">
        <v>40.8320056</v>
      </c>
      <c r="T176" s="3">
        <v>40.9584583</v>
      </c>
      <c r="U176" s="3">
        <v>41.0849111</v>
      </c>
      <c r="V176" s="3">
        <v>41.2113638</v>
      </c>
      <c r="W176" s="3">
        <v>41.3378165</v>
      </c>
      <c r="X176" s="3">
        <v>41.4642693</v>
      </c>
      <c r="Y176" s="3">
        <v>41.590722</v>
      </c>
      <c r="Z176" s="3">
        <v>41.590722</v>
      </c>
      <c r="AA176" s="3">
        <v>41.590722</v>
      </c>
      <c r="AB176" s="3">
        <v>41.590722</v>
      </c>
      <c r="AC176" s="3">
        <v>41.590722</v>
      </c>
      <c r="AD176" s="3">
        <v>41.590722</v>
      </c>
      <c r="AE176" s="3">
        <v>41.590722</v>
      </c>
      <c r="AF176" s="3">
        <v>41.590722</v>
      </c>
      <c r="AG176" s="3">
        <v>41.590722</v>
      </c>
      <c r="AH176" s="3">
        <v>41.590722</v>
      </c>
      <c r="AI176" s="3">
        <v>41.590722</v>
      </c>
      <c r="AJ176" s="4">
        <f t="shared" si="5"/>
        <v>1.9263863</v>
      </c>
    </row>
    <row r="177">
      <c r="A177" s="1" t="s">
        <v>357</v>
      </c>
      <c r="B177" s="1" t="s">
        <v>358</v>
      </c>
      <c r="C177" s="1" t="s">
        <v>7</v>
      </c>
      <c r="D177" s="1" t="s">
        <v>8</v>
      </c>
      <c r="E177" s="3">
        <v>35.5940526</v>
      </c>
      <c r="F177" s="3">
        <v>35.7756523</v>
      </c>
      <c r="G177" s="3">
        <v>35.9572519</v>
      </c>
      <c r="H177" s="3">
        <v>36.1388515</v>
      </c>
      <c r="I177" s="3">
        <v>36.3204512</v>
      </c>
      <c r="J177" s="3">
        <v>36.5020508</v>
      </c>
      <c r="K177" s="3">
        <v>36.6836505</v>
      </c>
      <c r="L177" s="3">
        <v>36.8652501</v>
      </c>
      <c r="M177" s="3">
        <v>37.0468497</v>
      </c>
      <c r="N177" s="3">
        <v>37.2284494</v>
      </c>
      <c r="O177" s="3">
        <v>37.410049</v>
      </c>
      <c r="P177" s="3">
        <v>37.4091679</v>
      </c>
      <c r="Q177" s="3">
        <v>37.4082868</v>
      </c>
      <c r="R177" s="3">
        <v>37.4074057</v>
      </c>
      <c r="S177" s="3">
        <v>37.4065246</v>
      </c>
      <c r="T177" s="3">
        <v>37.4056435</v>
      </c>
      <c r="U177" s="3">
        <v>37.4047624</v>
      </c>
      <c r="V177" s="3">
        <v>37.4038814</v>
      </c>
      <c r="W177" s="3">
        <v>37.4030003</v>
      </c>
      <c r="X177" s="3">
        <v>37.4021192</v>
      </c>
      <c r="Y177" s="3">
        <v>37.4012381</v>
      </c>
      <c r="Z177" s="3">
        <v>37.4000911</v>
      </c>
      <c r="AA177" s="3">
        <v>37.3989442</v>
      </c>
      <c r="AB177" s="3">
        <v>37.3977973</v>
      </c>
      <c r="AC177" s="3">
        <v>37.3966503</v>
      </c>
      <c r="AD177" s="3">
        <v>37.3955034</v>
      </c>
      <c r="AE177" s="3">
        <v>37.3960351</v>
      </c>
      <c r="AF177" s="3">
        <v>37.4116061</v>
      </c>
      <c r="AG177" s="3">
        <v>37.4279367</v>
      </c>
      <c r="AH177" s="3">
        <v>37.4673199</v>
      </c>
      <c r="AI177" s="3">
        <v>37.5701265</v>
      </c>
      <c r="AJ177" s="4">
        <f t="shared" si="5"/>
        <v>1.9760739</v>
      </c>
    </row>
    <row r="178">
      <c r="A178" s="1" t="s">
        <v>359</v>
      </c>
      <c r="B178" s="1" t="s">
        <v>360</v>
      </c>
      <c r="C178" s="1" t="s">
        <v>7</v>
      </c>
      <c r="D178" s="1" t="s">
        <v>8</v>
      </c>
      <c r="E178" s="3">
        <v>32.3458557</v>
      </c>
      <c r="F178" s="3">
        <v>32.3510698</v>
      </c>
      <c r="G178" s="3">
        <v>32.3574892</v>
      </c>
      <c r="H178" s="3">
        <v>32.3628634</v>
      </c>
      <c r="I178" s="3">
        <v>32.3687281</v>
      </c>
      <c r="J178" s="3">
        <v>32.3745927</v>
      </c>
      <c r="K178" s="3">
        <v>32.3805495</v>
      </c>
      <c r="L178" s="3">
        <v>32.3864972</v>
      </c>
      <c r="M178" s="3">
        <v>32.392381</v>
      </c>
      <c r="N178" s="3">
        <v>32.398274</v>
      </c>
      <c r="O178" s="3">
        <v>32.4021223</v>
      </c>
      <c r="P178" s="3">
        <v>32.4173937</v>
      </c>
      <c r="Q178" s="3">
        <v>32.431953</v>
      </c>
      <c r="R178" s="3">
        <v>32.4466124</v>
      </c>
      <c r="S178" s="3">
        <v>32.4619112</v>
      </c>
      <c r="T178" s="3">
        <v>32.4770649</v>
      </c>
      <c r="U178" s="3">
        <v>32.4926752</v>
      </c>
      <c r="V178" s="3">
        <v>32.5076289</v>
      </c>
      <c r="W178" s="3">
        <v>32.5364033</v>
      </c>
      <c r="X178" s="3">
        <v>32.550651</v>
      </c>
      <c r="Y178" s="3">
        <v>32.5643286</v>
      </c>
      <c r="Z178" s="3">
        <v>32.5994191</v>
      </c>
      <c r="AA178" s="3">
        <v>32.6388984</v>
      </c>
      <c r="AB178" s="3">
        <v>32.6724882</v>
      </c>
      <c r="AC178" s="3">
        <v>32.7067794</v>
      </c>
      <c r="AD178" s="3">
        <v>32.7420915</v>
      </c>
      <c r="AE178" s="3">
        <v>32.757799</v>
      </c>
      <c r="AF178" s="3">
        <v>32.7510476</v>
      </c>
      <c r="AG178" s="3">
        <v>32.7500568</v>
      </c>
      <c r="AH178" s="3">
        <v>32.7534272</v>
      </c>
      <c r="AI178" s="3">
        <v>32.7572104</v>
      </c>
      <c r="AJ178" s="4">
        <f t="shared" si="5"/>
        <v>0.4113547</v>
      </c>
    </row>
    <row r="179">
      <c r="A179" s="1" t="s">
        <v>361</v>
      </c>
      <c r="B179" s="1" t="s">
        <v>362</v>
      </c>
      <c r="C179" s="1" t="s">
        <v>7</v>
      </c>
      <c r="D179" s="1" t="s">
        <v>8</v>
      </c>
      <c r="E179" s="3">
        <v>0.00969305</v>
      </c>
      <c r="F179" s="3">
        <v>0.00969305</v>
      </c>
      <c r="G179" s="3">
        <v>0.00969305</v>
      </c>
      <c r="H179" s="3">
        <v>0.00969305</v>
      </c>
      <c r="I179" s="3">
        <v>0.00969305</v>
      </c>
      <c r="J179" s="3">
        <v>0.00969305</v>
      </c>
      <c r="K179" s="3">
        <v>0.00969305</v>
      </c>
      <c r="L179" s="3">
        <v>0.00969305</v>
      </c>
      <c r="M179" s="3">
        <v>0.00969305</v>
      </c>
      <c r="N179" s="3">
        <v>0.00969305</v>
      </c>
      <c r="O179" s="3">
        <v>0.00969305</v>
      </c>
      <c r="P179" s="3">
        <v>0.00969305</v>
      </c>
      <c r="Q179" s="3">
        <v>0.00969305</v>
      </c>
      <c r="R179" s="3">
        <v>0.00969305</v>
      </c>
      <c r="S179" s="3">
        <v>0.00969305</v>
      </c>
      <c r="T179" s="3">
        <v>0.00969305</v>
      </c>
      <c r="U179" s="3">
        <v>0.00969305</v>
      </c>
      <c r="V179" s="3">
        <v>0.00969305</v>
      </c>
      <c r="W179" s="3">
        <v>0.00969305</v>
      </c>
      <c r="X179" s="3">
        <v>0.00969305</v>
      </c>
      <c r="Y179" s="3">
        <v>0.00969305</v>
      </c>
      <c r="Z179" s="3">
        <v>0.00969305</v>
      </c>
      <c r="AA179" s="3">
        <v>0.00969305</v>
      </c>
      <c r="AB179" s="3">
        <v>0.00969305</v>
      </c>
      <c r="AC179" s="3">
        <v>0.00969305</v>
      </c>
      <c r="AD179" s="3">
        <v>0.00969305</v>
      </c>
      <c r="AE179" s="3">
        <v>0.00904685</v>
      </c>
      <c r="AF179" s="3">
        <v>0.00872375</v>
      </c>
      <c r="AG179" s="3">
        <v>0.00840065</v>
      </c>
      <c r="AH179" s="3">
        <v>0.00807754</v>
      </c>
      <c r="AI179" s="3">
        <v>0.00807754</v>
      </c>
      <c r="AJ179" s="4">
        <f t="shared" si="5"/>
        <v>-0.00161551</v>
      </c>
    </row>
    <row r="180">
      <c r="A180" s="1" t="s">
        <v>363</v>
      </c>
      <c r="B180" s="1" t="s">
        <v>364</v>
      </c>
      <c r="C180" s="1" t="s">
        <v>7</v>
      </c>
      <c r="D180" s="1" t="s">
        <v>8</v>
      </c>
      <c r="E180" s="3">
        <v>31.5182613</v>
      </c>
      <c r="F180" s="3">
        <v>31.4175045</v>
      </c>
      <c r="G180" s="3">
        <v>31.3196271</v>
      </c>
      <c r="H180" s="3">
        <v>31.2204891</v>
      </c>
      <c r="I180" s="3">
        <v>31.2273638</v>
      </c>
      <c r="J180" s="3">
        <v>31.1278881</v>
      </c>
      <c r="K180" s="3">
        <v>31.0284124</v>
      </c>
      <c r="L180" s="3">
        <v>30.9289367</v>
      </c>
      <c r="M180" s="3">
        <v>30.8294609</v>
      </c>
      <c r="N180" s="3">
        <v>30.7299852</v>
      </c>
      <c r="O180" s="3">
        <v>30.6305095</v>
      </c>
      <c r="P180" s="3">
        <v>30.5330636</v>
      </c>
      <c r="Q180" s="3">
        <v>30.4356176</v>
      </c>
      <c r="R180" s="3">
        <v>30.3380224</v>
      </c>
      <c r="S180" s="3">
        <v>30.2654912</v>
      </c>
      <c r="T180" s="3">
        <v>30.1678169</v>
      </c>
      <c r="U180" s="3">
        <v>30.1296806</v>
      </c>
      <c r="V180" s="3">
        <v>30.0419056</v>
      </c>
      <c r="W180" s="3">
        <v>29.9541314</v>
      </c>
      <c r="X180" s="3">
        <v>29.8665052</v>
      </c>
      <c r="Y180" s="3">
        <v>29.7788497</v>
      </c>
      <c r="Z180" s="3">
        <v>29.6778153</v>
      </c>
      <c r="AA180" s="3">
        <v>29.5768106</v>
      </c>
      <c r="AB180" s="3">
        <v>29.4601819</v>
      </c>
      <c r="AC180" s="3">
        <v>29.3609943</v>
      </c>
      <c r="AD180" s="3">
        <v>29.2599804</v>
      </c>
      <c r="AE180" s="3">
        <v>29.1503044</v>
      </c>
      <c r="AF180" s="3">
        <v>29.0498276</v>
      </c>
      <c r="AG180" s="3">
        <v>28.932254</v>
      </c>
      <c r="AH180" s="3">
        <v>28.8230417</v>
      </c>
      <c r="AI180" s="3">
        <v>28.713859</v>
      </c>
      <c r="AJ180" s="4">
        <f t="shared" si="5"/>
        <v>-2.8044023</v>
      </c>
    </row>
    <row r="181">
      <c r="A181" s="1" t="s">
        <v>365</v>
      </c>
      <c r="B181" s="1" t="s">
        <v>366</v>
      </c>
      <c r="C181" s="1" t="s">
        <v>7</v>
      </c>
      <c r="D181" s="1" t="s">
        <v>8</v>
      </c>
      <c r="E181" s="3">
        <v>0.18775944</v>
      </c>
      <c r="F181" s="3">
        <v>6.40727091</v>
      </c>
      <c r="G181" s="3">
        <v>6.34558427</v>
      </c>
      <c r="H181" s="3">
        <v>6.28389762</v>
      </c>
      <c r="I181" s="3">
        <v>6.22221098</v>
      </c>
      <c r="J181" s="3">
        <v>6.16052434</v>
      </c>
      <c r="K181" s="3">
        <v>6.09883769</v>
      </c>
      <c r="L181" s="3">
        <v>6.03715105</v>
      </c>
      <c r="M181" s="3">
        <v>5.9754644</v>
      </c>
      <c r="N181" s="3">
        <v>5.91377776</v>
      </c>
      <c r="O181" s="3">
        <v>5.85209112</v>
      </c>
      <c r="P181" s="3">
        <v>5.79792834</v>
      </c>
      <c r="Q181" s="3">
        <v>5.74376557</v>
      </c>
      <c r="R181" s="3">
        <v>5.68960279</v>
      </c>
      <c r="S181" s="3">
        <v>5.63544002</v>
      </c>
      <c r="T181" s="3">
        <v>5.58127724</v>
      </c>
      <c r="U181" s="3">
        <v>5.52711447</v>
      </c>
      <c r="V181" s="3">
        <v>5.47295169</v>
      </c>
      <c r="W181" s="3">
        <v>5.41878892</v>
      </c>
      <c r="X181" s="3">
        <v>5.36462614</v>
      </c>
      <c r="Y181" s="3">
        <v>5.31046337</v>
      </c>
      <c r="Z181" s="3">
        <v>5.26865919</v>
      </c>
      <c r="AA181" s="3">
        <v>5.22685502</v>
      </c>
      <c r="AB181" s="3">
        <v>5.18505085</v>
      </c>
      <c r="AC181" s="3">
        <v>5.14324668</v>
      </c>
      <c r="AD181" s="3">
        <v>5.10144251</v>
      </c>
      <c r="AE181" s="3">
        <v>5.01795351</v>
      </c>
      <c r="AF181" s="3">
        <v>4.99418846</v>
      </c>
      <c r="AG181" s="3">
        <v>4.94056144</v>
      </c>
      <c r="AH181" s="3">
        <v>4.88693441</v>
      </c>
      <c r="AI181" s="3">
        <v>4.83330739</v>
      </c>
      <c r="AJ181" s="4">
        <f t="shared" si="5"/>
        <v>4.64554795</v>
      </c>
    </row>
    <row r="182">
      <c r="A182" s="1" t="s">
        <v>367</v>
      </c>
      <c r="B182" s="1" t="s">
        <v>368</v>
      </c>
      <c r="C182" s="1" t="s">
        <v>7</v>
      </c>
      <c r="D182" s="1" t="s">
        <v>8</v>
      </c>
      <c r="E182" s="3">
        <v>61.9774011</v>
      </c>
      <c r="F182" s="3">
        <v>61.7550982</v>
      </c>
      <c r="G182" s="3">
        <v>61.5327953</v>
      </c>
      <c r="H182" s="3">
        <v>61.3104923</v>
      </c>
      <c r="I182" s="3">
        <v>61.0881894</v>
      </c>
      <c r="J182" s="3">
        <v>60.8658865</v>
      </c>
      <c r="K182" s="3">
        <v>60.6435835</v>
      </c>
      <c r="L182" s="3">
        <v>60.4212806</v>
      </c>
      <c r="M182" s="3">
        <v>60.1989777</v>
      </c>
      <c r="N182" s="3">
        <v>59.9766747</v>
      </c>
      <c r="O182" s="3">
        <v>59.7543718</v>
      </c>
      <c r="P182" s="3">
        <v>59.6008206</v>
      </c>
      <c r="Q182" s="3">
        <v>59.4472693</v>
      </c>
      <c r="R182" s="3">
        <v>59.2937181</v>
      </c>
      <c r="S182" s="3">
        <v>59.1401668</v>
      </c>
      <c r="T182" s="3">
        <v>58.9866156</v>
      </c>
      <c r="U182" s="3">
        <v>58.8330643</v>
      </c>
      <c r="V182" s="3">
        <v>58.679513</v>
      </c>
      <c r="W182" s="3">
        <v>58.5259618</v>
      </c>
      <c r="X182" s="3">
        <v>58.3724105</v>
      </c>
      <c r="Y182" s="3">
        <v>58.2188593</v>
      </c>
      <c r="Z182" s="3">
        <v>58.0652946</v>
      </c>
      <c r="AA182" s="3">
        <v>57.9117299</v>
      </c>
      <c r="AB182" s="3">
        <v>57.7581652</v>
      </c>
      <c r="AC182" s="3">
        <v>57.7755801</v>
      </c>
      <c r="AD182" s="3">
        <v>57.6215596</v>
      </c>
      <c r="AE182" s="3">
        <v>57.4676201</v>
      </c>
      <c r="AF182" s="3">
        <v>57.3135456</v>
      </c>
      <c r="AG182" s="3">
        <v>57.1156828</v>
      </c>
      <c r="AH182" s="3">
        <v>56.9617267</v>
      </c>
      <c r="AI182" s="3">
        <v>56.8079054</v>
      </c>
      <c r="AJ182" s="4">
        <f t="shared" si="5"/>
        <v>-5.1694957</v>
      </c>
    </row>
    <row r="183">
      <c r="A183" s="1" t="s">
        <v>369</v>
      </c>
      <c r="B183" s="1" t="s">
        <v>370</v>
      </c>
      <c r="C183" s="1" t="s">
        <v>7</v>
      </c>
      <c r="D183" s="1" t="s">
        <v>8</v>
      </c>
      <c r="E183" s="3">
        <v>59.7254219</v>
      </c>
      <c r="F183" s="3">
        <v>59.6355227</v>
      </c>
      <c r="G183" s="3">
        <v>59.5456234</v>
      </c>
      <c r="H183" s="3">
        <v>59.4557242</v>
      </c>
      <c r="I183" s="3">
        <v>59.365825</v>
      </c>
      <c r="J183" s="3">
        <v>59.2759258</v>
      </c>
      <c r="K183" s="3">
        <v>59.1860266</v>
      </c>
      <c r="L183" s="3">
        <v>59.0961273</v>
      </c>
      <c r="M183" s="3">
        <v>59.0062281</v>
      </c>
      <c r="N183" s="3">
        <v>58.9163289</v>
      </c>
      <c r="O183" s="3">
        <v>58.8264297</v>
      </c>
      <c r="P183" s="3">
        <v>58.7289273</v>
      </c>
      <c r="Q183" s="3">
        <v>58.631425</v>
      </c>
      <c r="R183" s="3">
        <v>58.5339227</v>
      </c>
      <c r="S183" s="3">
        <v>58.4364203</v>
      </c>
      <c r="T183" s="3">
        <v>58.338918</v>
      </c>
      <c r="U183" s="3">
        <v>58.2414156</v>
      </c>
      <c r="V183" s="3">
        <v>58.1439133</v>
      </c>
      <c r="W183" s="3">
        <v>58.0464109</v>
      </c>
      <c r="X183" s="3">
        <v>57.9489086</v>
      </c>
      <c r="Y183" s="3">
        <v>57.8514063</v>
      </c>
      <c r="Z183" s="3">
        <v>57.7177703</v>
      </c>
      <c r="AA183" s="3">
        <v>57.5841344</v>
      </c>
      <c r="AB183" s="3">
        <v>57.4504984</v>
      </c>
      <c r="AC183" s="3">
        <v>57.3168625</v>
      </c>
      <c r="AD183" s="3">
        <v>57.1832266</v>
      </c>
      <c r="AE183" s="3">
        <v>57.0392813</v>
      </c>
      <c r="AF183" s="3">
        <v>56.9021719</v>
      </c>
      <c r="AG183" s="3">
        <v>56.7781563</v>
      </c>
      <c r="AH183" s="3">
        <v>56.643125</v>
      </c>
      <c r="AI183" s="3">
        <v>56.5081016</v>
      </c>
      <c r="AJ183" s="4">
        <f t="shared" si="5"/>
        <v>-3.2173203</v>
      </c>
    </row>
    <row r="184">
      <c r="A184" s="1" t="s">
        <v>371</v>
      </c>
      <c r="B184" s="1" t="s">
        <v>372</v>
      </c>
      <c r="C184" s="1" t="s">
        <v>7</v>
      </c>
      <c r="D184" s="1" t="s">
        <v>8</v>
      </c>
      <c r="E184" s="3">
        <v>26.0885066</v>
      </c>
      <c r="F184" s="3">
        <v>25.9310293</v>
      </c>
      <c r="G184" s="3">
        <v>25.773552</v>
      </c>
      <c r="H184" s="3">
        <v>25.6160747</v>
      </c>
      <c r="I184" s="3">
        <v>25.4585974</v>
      </c>
      <c r="J184" s="3">
        <v>25.3011202</v>
      </c>
      <c r="K184" s="3">
        <v>25.1436429</v>
      </c>
      <c r="L184" s="3">
        <v>24.9861656</v>
      </c>
      <c r="M184" s="3">
        <v>24.8286883</v>
      </c>
      <c r="N184" s="3">
        <v>24.6712111</v>
      </c>
      <c r="O184" s="3">
        <v>24.5137338</v>
      </c>
      <c r="P184" s="3">
        <v>24.3562599</v>
      </c>
      <c r="Q184" s="3">
        <v>24.1987859</v>
      </c>
      <c r="R184" s="3">
        <v>24.041312</v>
      </c>
      <c r="S184" s="3">
        <v>23.8838381</v>
      </c>
      <c r="T184" s="3">
        <v>23.7263642</v>
      </c>
      <c r="U184" s="3">
        <v>23.5688902</v>
      </c>
      <c r="V184" s="3">
        <v>23.4114163</v>
      </c>
      <c r="W184" s="3">
        <v>23.2539424</v>
      </c>
      <c r="X184" s="3">
        <v>23.0964685</v>
      </c>
      <c r="Y184" s="3">
        <v>22.9389945</v>
      </c>
      <c r="Z184" s="3">
        <v>23.0559949</v>
      </c>
      <c r="AA184" s="3">
        <v>23.1729953</v>
      </c>
      <c r="AB184" s="3">
        <v>23.2899956</v>
      </c>
      <c r="AC184" s="3">
        <v>23.406996</v>
      </c>
      <c r="AD184" s="3">
        <v>23.5239964</v>
      </c>
      <c r="AE184" s="3">
        <v>23.6410102</v>
      </c>
      <c r="AF184" s="3">
        <v>23.7580239</v>
      </c>
      <c r="AG184" s="3">
        <v>23.8750042</v>
      </c>
      <c r="AH184" s="3">
        <v>23.992018</v>
      </c>
      <c r="AI184" s="3">
        <v>24.1090318</v>
      </c>
      <c r="AJ184" s="4">
        <f t="shared" si="5"/>
        <v>-1.9794748</v>
      </c>
    </row>
    <row r="185">
      <c r="A185" s="1" t="s">
        <v>373</v>
      </c>
      <c r="B185" s="1" t="s">
        <v>374</v>
      </c>
      <c r="C185" s="1" t="s">
        <v>7</v>
      </c>
      <c r="D185" s="1" t="s">
        <v>8</v>
      </c>
      <c r="E185" s="5"/>
      <c r="F185" s="3">
        <v>83.2456522</v>
      </c>
      <c r="G185" s="3">
        <v>83.5565217</v>
      </c>
      <c r="H185" s="3">
        <v>83.8673913</v>
      </c>
      <c r="I185" s="3">
        <v>84.1782609</v>
      </c>
      <c r="J185" s="3">
        <v>84.4891304</v>
      </c>
      <c r="K185" s="3">
        <v>84.8</v>
      </c>
      <c r="L185" s="3">
        <v>85.1108696</v>
      </c>
      <c r="M185" s="3">
        <v>85.4217391</v>
      </c>
      <c r="N185" s="3">
        <v>85.7326087</v>
      </c>
      <c r="O185" s="3">
        <v>86.0434783</v>
      </c>
      <c r="P185" s="3">
        <v>86.2565217</v>
      </c>
      <c r="Q185" s="3">
        <v>86.4695652</v>
      </c>
      <c r="R185" s="3">
        <v>86.6826087</v>
      </c>
      <c r="S185" s="3">
        <v>86.8956522</v>
      </c>
      <c r="T185" s="3">
        <v>87.1086957</v>
      </c>
      <c r="U185" s="3">
        <v>87.3217391</v>
      </c>
      <c r="V185" s="3">
        <v>87.5347826</v>
      </c>
      <c r="W185" s="3">
        <v>87.7478261</v>
      </c>
      <c r="X185" s="3">
        <v>87.9608696</v>
      </c>
      <c r="Y185" s="3">
        <v>88.173913</v>
      </c>
      <c r="Z185" s="3">
        <v>88.3608696</v>
      </c>
      <c r="AA185" s="3">
        <v>88.5478261</v>
      </c>
      <c r="AB185" s="3">
        <v>88.7347826</v>
      </c>
      <c r="AC185" s="3">
        <v>88.9217391</v>
      </c>
      <c r="AD185" s="3">
        <v>89.1086957</v>
      </c>
      <c r="AE185" s="3">
        <v>89.3043478</v>
      </c>
      <c r="AF185" s="3">
        <v>89.4782609</v>
      </c>
      <c r="AG185" s="3">
        <v>89.673913</v>
      </c>
      <c r="AH185" s="3">
        <v>89.8478261</v>
      </c>
      <c r="AI185" s="3">
        <v>90.0217391</v>
      </c>
      <c r="AJ185" s="4">
        <f>AI185-F185</f>
        <v>6.7760869</v>
      </c>
    </row>
    <row r="186">
      <c r="A186" s="1" t="s">
        <v>375</v>
      </c>
      <c r="B186" s="1" t="s">
        <v>376</v>
      </c>
      <c r="C186" s="1" t="s">
        <v>7</v>
      </c>
      <c r="D186" s="1" t="s">
        <v>8</v>
      </c>
      <c r="E186" s="3">
        <v>80.3773352</v>
      </c>
      <c r="F186" s="3">
        <v>80.3504584</v>
      </c>
      <c r="G186" s="3">
        <v>80.3235819</v>
      </c>
      <c r="H186" s="3">
        <v>80.2967052</v>
      </c>
      <c r="I186" s="3">
        <v>80.2698284</v>
      </c>
      <c r="J186" s="3">
        <v>80.2429517</v>
      </c>
      <c r="K186" s="3">
        <v>80.2160752</v>
      </c>
      <c r="L186" s="3">
        <v>80.1891984</v>
      </c>
      <c r="M186" s="3">
        <v>80.1623217</v>
      </c>
      <c r="N186" s="3">
        <v>80.1354449</v>
      </c>
      <c r="O186" s="3">
        <v>80.1085683</v>
      </c>
      <c r="P186" s="3">
        <v>80.0866895</v>
      </c>
      <c r="Q186" s="3">
        <v>80.0648105</v>
      </c>
      <c r="R186" s="3">
        <v>80.0429316</v>
      </c>
      <c r="S186" s="3">
        <v>80.0210526</v>
      </c>
      <c r="T186" s="3">
        <v>79.9991737</v>
      </c>
      <c r="U186" s="3">
        <v>79.9772947</v>
      </c>
      <c r="V186" s="3">
        <v>79.9554158</v>
      </c>
      <c r="W186" s="3">
        <v>79.9335369</v>
      </c>
      <c r="X186" s="3">
        <v>79.9116579</v>
      </c>
      <c r="Y186" s="3">
        <v>79.889779</v>
      </c>
      <c r="Z186" s="3">
        <v>79.8215616</v>
      </c>
      <c r="AA186" s="3">
        <v>79.7533443</v>
      </c>
      <c r="AB186" s="3">
        <v>79.685127</v>
      </c>
      <c r="AC186" s="3">
        <v>79.6169099</v>
      </c>
      <c r="AD186" s="3">
        <v>79.5486925</v>
      </c>
      <c r="AE186" s="3">
        <v>79.4724197</v>
      </c>
      <c r="AF186" s="3">
        <v>79.3983792</v>
      </c>
      <c r="AG186" s="3">
        <v>79.3243386</v>
      </c>
      <c r="AH186" s="3">
        <v>79.2502981</v>
      </c>
      <c r="AI186" s="3">
        <v>79.1762576</v>
      </c>
      <c r="AJ186" s="4">
        <f t="shared" ref="AJ186:AJ201" si="6">AI186-E186</f>
        <v>-1.2010776</v>
      </c>
    </row>
    <row r="187">
      <c r="A187" s="1" t="s">
        <v>377</v>
      </c>
      <c r="B187" s="1" t="s">
        <v>378</v>
      </c>
      <c r="C187" s="1" t="s">
        <v>7</v>
      </c>
      <c r="D187" s="1" t="s">
        <v>8</v>
      </c>
      <c r="E187" s="3">
        <v>28.9986614</v>
      </c>
      <c r="F187" s="3">
        <v>29.0564498</v>
      </c>
      <c r="G187" s="3">
        <v>29.1142381</v>
      </c>
      <c r="H187" s="3">
        <v>29.1720265</v>
      </c>
      <c r="I187" s="3">
        <v>29.2298149</v>
      </c>
      <c r="J187" s="3">
        <v>29.2876033</v>
      </c>
      <c r="K187" s="3">
        <v>29.3453916</v>
      </c>
      <c r="L187" s="3">
        <v>29.40318</v>
      </c>
      <c r="M187" s="3">
        <v>29.4609684</v>
      </c>
      <c r="N187" s="3">
        <v>29.5187567</v>
      </c>
      <c r="O187" s="3">
        <v>29.5765451</v>
      </c>
      <c r="P187" s="3">
        <v>29.6646969</v>
      </c>
      <c r="Q187" s="3">
        <v>29.7528486</v>
      </c>
      <c r="R187" s="3">
        <v>29.8458725</v>
      </c>
      <c r="S187" s="3">
        <v>29.925244</v>
      </c>
      <c r="T187" s="3">
        <v>30.0133843</v>
      </c>
      <c r="U187" s="3">
        <v>30.1025072</v>
      </c>
      <c r="V187" s="3">
        <v>30.1906503</v>
      </c>
      <c r="W187" s="3">
        <v>30.2807705</v>
      </c>
      <c r="X187" s="3">
        <v>30.3709024</v>
      </c>
      <c r="Y187" s="3">
        <v>30.4590571</v>
      </c>
      <c r="Z187" s="3">
        <v>30.5234628</v>
      </c>
      <c r="AA187" s="3">
        <v>30.5838939</v>
      </c>
      <c r="AB187" s="3">
        <v>30.6443291</v>
      </c>
      <c r="AC187" s="3">
        <v>30.7057709</v>
      </c>
      <c r="AD187" s="3">
        <v>30.7652111</v>
      </c>
      <c r="AE187" s="3">
        <v>30.8142003</v>
      </c>
      <c r="AF187" s="3">
        <v>30.8533917</v>
      </c>
      <c r="AG187" s="3">
        <v>30.894601</v>
      </c>
      <c r="AH187" s="3">
        <v>30.933795</v>
      </c>
      <c r="AI187" s="3">
        <v>30.9729889</v>
      </c>
      <c r="AJ187" s="4">
        <f t="shared" si="6"/>
        <v>1.9743275</v>
      </c>
    </row>
    <row r="188">
      <c r="A188" s="1" t="s">
        <v>379</v>
      </c>
      <c r="B188" s="1" t="s">
        <v>380</v>
      </c>
      <c r="C188" s="1" t="s">
        <v>7</v>
      </c>
      <c r="D188" s="1" t="s">
        <v>8</v>
      </c>
      <c r="E188" s="3">
        <v>33.062558</v>
      </c>
      <c r="F188" s="3">
        <v>32.9164474</v>
      </c>
      <c r="G188" s="3">
        <v>32.7660696</v>
      </c>
      <c r="H188" s="3">
        <v>32.5908228</v>
      </c>
      <c r="I188" s="3">
        <v>32.4424011</v>
      </c>
      <c r="J188" s="3">
        <v>32.2939793</v>
      </c>
      <c r="K188" s="3">
        <v>32.1455575</v>
      </c>
      <c r="L188" s="3">
        <v>31.9971357</v>
      </c>
      <c r="M188" s="3">
        <v>31.8487139</v>
      </c>
      <c r="N188" s="3">
        <v>31.7002922</v>
      </c>
      <c r="O188" s="3">
        <v>28.7666252</v>
      </c>
      <c r="P188" s="3">
        <v>31.3921807</v>
      </c>
      <c r="Q188" s="3">
        <v>31.2324909</v>
      </c>
      <c r="R188" s="3">
        <v>31.0728012</v>
      </c>
      <c r="S188" s="3">
        <v>30.9131115</v>
      </c>
      <c r="T188" s="3">
        <v>30.7534218</v>
      </c>
      <c r="U188" s="3">
        <v>30.593732</v>
      </c>
      <c r="V188" s="3">
        <v>30.4340423</v>
      </c>
      <c r="W188" s="3">
        <v>30.2743526</v>
      </c>
      <c r="X188" s="3">
        <v>30.1198263</v>
      </c>
      <c r="Y188" s="3">
        <v>27.2822579</v>
      </c>
      <c r="Z188" s="3">
        <v>27.4599183</v>
      </c>
      <c r="AA188" s="3">
        <v>27.2848533</v>
      </c>
      <c r="AB188" s="3">
        <v>27.1100424</v>
      </c>
      <c r="AC188" s="3">
        <v>26.9350351</v>
      </c>
      <c r="AD188" s="3">
        <v>26.7599662</v>
      </c>
      <c r="AE188" s="3">
        <v>26.577381</v>
      </c>
      <c r="AF188" s="3">
        <v>26.398738</v>
      </c>
      <c r="AG188" s="3">
        <v>26.2219677</v>
      </c>
      <c r="AH188" s="3">
        <v>26.0401469</v>
      </c>
      <c r="AI188" s="3">
        <v>25.8602816</v>
      </c>
      <c r="AJ188" s="4">
        <f t="shared" si="6"/>
        <v>-7.2022764</v>
      </c>
    </row>
    <row r="189">
      <c r="A189" s="1" t="s">
        <v>381</v>
      </c>
      <c r="B189" s="1" t="s">
        <v>382</v>
      </c>
      <c r="C189" s="1" t="s">
        <v>7</v>
      </c>
      <c r="D189" s="1" t="s">
        <v>8</v>
      </c>
      <c r="E189" s="3">
        <v>36.113867</v>
      </c>
      <c r="F189" s="3">
        <v>37.340699</v>
      </c>
      <c r="G189" s="3">
        <v>38.567531</v>
      </c>
      <c r="H189" s="3">
        <v>39.794363</v>
      </c>
      <c r="I189" s="3">
        <v>41.021195</v>
      </c>
      <c r="J189" s="3">
        <v>42.2480271</v>
      </c>
      <c r="K189" s="3">
        <v>43.4748591</v>
      </c>
      <c r="L189" s="3">
        <v>44.7016911</v>
      </c>
      <c r="M189" s="3">
        <v>45.9285231</v>
      </c>
      <c r="N189" s="3">
        <v>47.1553551</v>
      </c>
      <c r="O189" s="3">
        <v>48.3821871</v>
      </c>
      <c r="P189" s="3">
        <v>49.0845547</v>
      </c>
      <c r="Q189" s="3">
        <v>49.7869222</v>
      </c>
      <c r="R189" s="3">
        <v>50.4892897</v>
      </c>
      <c r="S189" s="3">
        <v>51.1916573</v>
      </c>
      <c r="T189" s="3">
        <v>51.8940248</v>
      </c>
      <c r="U189" s="3">
        <v>52.5963923</v>
      </c>
      <c r="V189" s="3">
        <v>53.2987599</v>
      </c>
      <c r="W189" s="3">
        <v>54.0011274</v>
      </c>
      <c r="X189" s="3">
        <v>54.7034949</v>
      </c>
      <c r="Y189" s="3">
        <v>55.4058625</v>
      </c>
      <c r="Z189" s="3">
        <v>55.4606539</v>
      </c>
      <c r="AA189" s="3">
        <v>55.5154453</v>
      </c>
      <c r="AB189" s="3">
        <v>55.5702368</v>
      </c>
      <c r="AC189" s="3">
        <v>55.6250282</v>
      </c>
      <c r="AD189" s="3">
        <v>55.6798196</v>
      </c>
      <c r="AE189" s="3">
        <v>55.735062</v>
      </c>
      <c r="AF189" s="3">
        <v>55.7903044</v>
      </c>
      <c r="AG189" s="3">
        <v>55.8455468</v>
      </c>
      <c r="AH189" s="3">
        <v>55.9007892</v>
      </c>
      <c r="AI189" s="3">
        <v>55.9560316</v>
      </c>
      <c r="AJ189" s="4">
        <f t="shared" si="6"/>
        <v>19.8421646</v>
      </c>
    </row>
    <row r="190">
      <c r="A190" s="1" t="s">
        <v>383</v>
      </c>
      <c r="B190" s="1" t="s">
        <v>384</v>
      </c>
      <c r="C190" s="1" t="s">
        <v>7</v>
      </c>
      <c r="D190" s="1" t="s">
        <v>8</v>
      </c>
      <c r="E190" s="3">
        <v>57.4041193</v>
      </c>
      <c r="F190" s="3">
        <v>57.0243003</v>
      </c>
      <c r="G190" s="3">
        <v>56.6444814</v>
      </c>
      <c r="H190" s="3">
        <v>56.2646624</v>
      </c>
      <c r="I190" s="3">
        <v>55.8848435</v>
      </c>
      <c r="J190" s="3">
        <v>55.5050245</v>
      </c>
      <c r="K190" s="3">
        <v>55.1252055</v>
      </c>
      <c r="L190" s="3">
        <v>54.7453866</v>
      </c>
      <c r="M190" s="3">
        <v>54.3655676</v>
      </c>
      <c r="N190" s="3">
        <v>53.9857487</v>
      </c>
      <c r="O190" s="3">
        <v>53.6059297</v>
      </c>
      <c r="P190" s="3">
        <v>53.4296155</v>
      </c>
      <c r="Q190" s="3">
        <v>53.2533012</v>
      </c>
      <c r="R190" s="3">
        <v>53.076987</v>
      </c>
      <c r="S190" s="3">
        <v>52.9006727</v>
      </c>
      <c r="T190" s="3">
        <v>52.7243584</v>
      </c>
      <c r="U190" s="3">
        <v>52.5480442</v>
      </c>
      <c r="V190" s="3">
        <v>52.3717299</v>
      </c>
      <c r="W190" s="3">
        <v>52.1954157</v>
      </c>
      <c r="X190" s="3">
        <v>52.0191014</v>
      </c>
      <c r="Y190" s="3">
        <v>51.8427871</v>
      </c>
      <c r="Z190" s="3">
        <v>51.6664729</v>
      </c>
      <c r="AA190" s="3">
        <v>51.4901586</v>
      </c>
      <c r="AB190" s="3">
        <v>51.3138444</v>
      </c>
      <c r="AC190" s="3">
        <v>51.1375301</v>
      </c>
      <c r="AD190" s="3">
        <v>50.9612158</v>
      </c>
      <c r="AE190" s="3">
        <v>50.7849016</v>
      </c>
      <c r="AF190" s="3">
        <v>50.6085873</v>
      </c>
      <c r="AG190" s="3">
        <v>50.4322731</v>
      </c>
      <c r="AH190" s="3">
        <v>50.2559588</v>
      </c>
      <c r="AI190" s="3">
        <v>50.0796445</v>
      </c>
      <c r="AJ190" s="4">
        <f t="shared" si="6"/>
        <v>-7.3244748</v>
      </c>
    </row>
    <row r="191">
      <c r="A191" s="1" t="s">
        <v>385</v>
      </c>
      <c r="B191" s="1" t="s">
        <v>386</v>
      </c>
      <c r="C191" s="1" t="s">
        <v>7</v>
      </c>
      <c r="D191" s="1" t="s">
        <v>8</v>
      </c>
      <c r="E191" s="3">
        <v>37.147541</v>
      </c>
      <c r="F191" s="3">
        <v>37.0185792</v>
      </c>
      <c r="G191" s="3">
        <v>36.8896175</v>
      </c>
      <c r="H191" s="3">
        <v>36.7606557</v>
      </c>
      <c r="I191" s="3">
        <v>36.631694</v>
      </c>
      <c r="J191" s="3">
        <v>36.5027322</v>
      </c>
      <c r="K191" s="3">
        <v>36.3737705</v>
      </c>
      <c r="L191" s="3">
        <v>36.2448087</v>
      </c>
      <c r="M191" s="3">
        <v>36.115847</v>
      </c>
      <c r="N191" s="3">
        <v>35.9868852</v>
      </c>
      <c r="O191" s="3">
        <v>35.8579235</v>
      </c>
      <c r="P191" s="3">
        <v>35.8262295</v>
      </c>
      <c r="Q191" s="3">
        <v>35.7945355</v>
      </c>
      <c r="R191" s="3">
        <v>35.7628415</v>
      </c>
      <c r="S191" s="3">
        <v>35.7311475</v>
      </c>
      <c r="T191" s="3">
        <v>35.7111621</v>
      </c>
      <c r="U191" s="3">
        <v>35.6794577</v>
      </c>
      <c r="V191" s="3">
        <v>35.6477534</v>
      </c>
      <c r="W191" s="3">
        <v>35.616049</v>
      </c>
      <c r="X191" s="3">
        <v>35.5377225</v>
      </c>
      <c r="Y191" s="3">
        <v>35.5060596</v>
      </c>
      <c r="Z191" s="3">
        <v>35.6370783</v>
      </c>
      <c r="AA191" s="3">
        <v>35.768097</v>
      </c>
      <c r="AB191" s="3">
        <v>35.8931589</v>
      </c>
      <c r="AC191" s="3">
        <v>36.0239985</v>
      </c>
      <c r="AD191" s="3">
        <v>36.1549949</v>
      </c>
      <c r="AE191" s="3">
        <v>36.1549949</v>
      </c>
      <c r="AF191" s="3">
        <v>36.1549949</v>
      </c>
      <c r="AG191" s="3">
        <v>36.1549949</v>
      </c>
      <c r="AH191" s="3">
        <v>36.1549949</v>
      </c>
      <c r="AI191" s="3">
        <v>36.1549949</v>
      </c>
      <c r="AJ191" s="4">
        <f t="shared" si="6"/>
        <v>-0.9925461</v>
      </c>
    </row>
    <row r="192">
      <c r="A192" s="1" t="s">
        <v>387</v>
      </c>
      <c r="B192" s="1" t="s">
        <v>388</v>
      </c>
      <c r="C192" s="1" t="s">
        <v>7</v>
      </c>
      <c r="D192" s="1" t="s">
        <v>8</v>
      </c>
      <c r="E192" s="3">
        <v>64.298666</v>
      </c>
      <c r="F192" s="3">
        <v>63.655774</v>
      </c>
      <c r="G192" s="3">
        <v>63.012882</v>
      </c>
      <c r="H192" s="3">
        <v>62.3699899</v>
      </c>
      <c r="I192" s="3">
        <v>61.7270979</v>
      </c>
      <c r="J192" s="3">
        <v>61.0842059</v>
      </c>
      <c r="K192" s="3">
        <v>60.4413139</v>
      </c>
      <c r="L192" s="3">
        <v>59.7984218</v>
      </c>
      <c r="M192" s="3">
        <v>59.1555298</v>
      </c>
      <c r="N192" s="3">
        <v>58.5126378</v>
      </c>
      <c r="O192" s="3">
        <v>57.8697458</v>
      </c>
      <c r="P192" s="3">
        <v>57.0085729</v>
      </c>
      <c r="Q192" s="3">
        <v>56.1473999</v>
      </c>
      <c r="R192" s="3">
        <v>55.286227</v>
      </c>
      <c r="S192" s="3">
        <v>54.4250541</v>
      </c>
      <c r="T192" s="3">
        <v>53.5638812</v>
      </c>
      <c r="U192" s="3">
        <v>52.7027083</v>
      </c>
      <c r="V192" s="3">
        <v>51.8415354</v>
      </c>
      <c r="W192" s="3">
        <v>50.9803624</v>
      </c>
      <c r="X192" s="3">
        <v>50.1191895</v>
      </c>
      <c r="Y192" s="3">
        <v>49.2580166</v>
      </c>
      <c r="Z192" s="3">
        <v>48.2153436</v>
      </c>
      <c r="AA192" s="3">
        <v>47.1726705</v>
      </c>
      <c r="AB192" s="3">
        <v>46.1299975</v>
      </c>
      <c r="AC192" s="3">
        <v>45.0873244</v>
      </c>
      <c r="AD192" s="3">
        <v>44.0446514</v>
      </c>
      <c r="AE192" s="3">
        <v>43.6273093</v>
      </c>
      <c r="AF192" s="3">
        <v>42.6384848</v>
      </c>
      <c r="AG192" s="3">
        <v>41.9353889</v>
      </c>
      <c r="AH192" s="3">
        <v>41.2323181</v>
      </c>
      <c r="AI192" s="3">
        <v>40.5292223</v>
      </c>
      <c r="AJ192" s="4">
        <f t="shared" si="6"/>
        <v>-23.7694437</v>
      </c>
    </row>
    <row r="193">
      <c r="A193" s="1" t="s">
        <v>389</v>
      </c>
      <c r="B193" s="1" t="s">
        <v>390</v>
      </c>
      <c r="C193" s="1" t="s">
        <v>7</v>
      </c>
      <c r="D193" s="1" t="s">
        <v>8</v>
      </c>
      <c r="E193" s="3">
        <v>1.50830564</v>
      </c>
      <c r="F193" s="3">
        <v>1.50830564</v>
      </c>
      <c r="G193" s="3">
        <v>1.50830564</v>
      </c>
      <c r="H193" s="3">
        <v>1.50830564</v>
      </c>
      <c r="I193" s="3">
        <v>1.50830564</v>
      </c>
      <c r="J193" s="3">
        <v>1.50830564</v>
      </c>
      <c r="K193" s="3">
        <v>1.50830564</v>
      </c>
      <c r="L193" s="3">
        <v>1.50830564</v>
      </c>
      <c r="M193" s="3">
        <v>1.50830564</v>
      </c>
      <c r="N193" s="3">
        <v>1.50830564</v>
      </c>
      <c r="O193" s="3">
        <v>1.50830565</v>
      </c>
      <c r="P193" s="3">
        <v>1.51162797</v>
      </c>
      <c r="Q193" s="3">
        <v>1.51495015</v>
      </c>
      <c r="R193" s="3">
        <v>1.51661131</v>
      </c>
      <c r="S193" s="3">
        <v>1.51993349</v>
      </c>
      <c r="T193" s="3">
        <v>1.52325583</v>
      </c>
      <c r="U193" s="3">
        <v>1.52325583</v>
      </c>
      <c r="V193" s="3">
        <v>1.52325583</v>
      </c>
      <c r="W193" s="3">
        <v>1.52325583</v>
      </c>
      <c r="X193" s="3">
        <v>1.52325583</v>
      </c>
      <c r="Y193" s="3">
        <v>1.65282392</v>
      </c>
      <c r="Z193" s="3">
        <v>1.52325583</v>
      </c>
      <c r="AA193" s="3">
        <v>1.52325583</v>
      </c>
      <c r="AB193" s="3">
        <v>1.52325583</v>
      </c>
      <c r="AC193" s="3">
        <v>1.52325583</v>
      </c>
      <c r="AD193" s="3">
        <v>1.68438538</v>
      </c>
      <c r="AE193" s="3">
        <v>1.68438538</v>
      </c>
      <c r="AF193" s="3">
        <v>1.68438538</v>
      </c>
      <c r="AG193" s="3">
        <v>1.68438538</v>
      </c>
      <c r="AH193" s="3">
        <v>1.68438538</v>
      </c>
      <c r="AI193" s="3">
        <v>1.68438538</v>
      </c>
      <c r="AJ193" s="4">
        <f t="shared" si="6"/>
        <v>0.17607974</v>
      </c>
    </row>
    <row r="194">
      <c r="A194" s="1" t="s">
        <v>391</v>
      </c>
      <c r="B194" s="1" t="s">
        <v>392</v>
      </c>
      <c r="C194" s="1" t="s">
        <v>7</v>
      </c>
      <c r="D194" s="1" t="s">
        <v>8</v>
      </c>
      <c r="E194" s="3">
        <v>65.4495705</v>
      </c>
      <c r="F194" s="3">
        <v>65.9022741</v>
      </c>
      <c r="G194" s="3">
        <v>65.9900623</v>
      </c>
      <c r="H194" s="3">
        <v>66.0778505</v>
      </c>
      <c r="I194" s="3">
        <v>66.1656386</v>
      </c>
      <c r="J194" s="3">
        <v>66.2534268</v>
      </c>
      <c r="K194" s="3">
        <v>66.341215</v>
      </c>
      <c r="L194" s="3">
        <v>66.4290031</v>
      </c>
      <c r="M194" s="3">
        <v>66.5167913</v>
      </c>
      <c r="N194" s="3">
        <v>66.6045794</v>
      </c>
      <c r="O194" s="3">
        <v>66.6923676</v>
      </c>
      <c r="P194" s="3">
        <v>66.7794081</v>
      </c>
      <c r="Q194" s="3">
        <v>66.8664486</v>
      </c>
      <c r="R194" s="3">
        <v>66.9534891</v>
      </c>
      <c r="S194" s="3">
        <v>67.0405296</v>
      </c>
      <c r="T194" s="3">
        <v>67.1275701</v>
      </c>
      <c r="U194" s="3">
        <v>67.2146106</v>
      </c>
      <c r="V194" s="3">
        <v>67.3016511</v>
      </c>
      <c r="W194" s="3">
        <v>67.3886916</v>
      </c>
      <c r="X194" s="3">
        <v>67.4757321</v>
      </c>
      <c r="Y194" s="3">
        <v>67.5627726</v>
      </c>
      <c r="Z194" s="3">
        <v>67.649595</v>
      </c>
      <c r="AA194" s="3">
        <v>67.7364174</v>
      </c>
      <c r="AB194" s="3">
        <v>67.8232399</v>
      </c>
      <c r="AC194" s="3">
        <v>67.9100623</v>
      </c>
      <c r="AD194" s="3">
        <v>67.9968847</v>
      </c>
      <c r="AE194" s="3">
        <v>68.0839564</v>
      </c>
      <c r="AF194" s="3">
        <v>68.1708723</v>
      </c>
      <c r="AG194" s="3">
        <v>68.2579439</v>
      </c>
      <c r="AH194" s="3">
        <v>68.3661577</v>
      </c>
      <c r="AI194" s="3">
        <v>68.4531007</v>
      </c>
      <c r="AJ194" s="4">
        <f t="shared" si="6"/>
        <v>3.0035302</v>
      </c>
    </row>
    <row r="195">
      <c r="A195" s="1" t="s">
        <v>393</v>
      </c>
      <c r="B195" s="1" t="s">
        <v>394</v>
      </c>
      <c r="C195" s="1" t="s">
        <v>7</v>
      </c>
      <c r="D195" s="1" t="s">
        <v>8</v>
      </c>
      <c r="E195" s="3">
        <v>31.4130276</v>
      </c>
      <c r="F195" s="3">
        <v>31.4333819</v>
      </c>
      <c r="G195" s="3">
        <v>31.4527371</v>
      </c>
      <c r="H195" s="3">
        <v>31.4727207</v>
      </c>
      <c r="I195" s="3">
        <v>31.4926307</v>
      </c>
      <c r="J195" s="3">
        <v>31.5125406</v>
      </c>
      <c r="K195" s="3">
        <v>31.5324818</v>
      </c>
      <c r="L195" s="3">
        <v>31.5524834</v>
      </c>
      <c r="M195" s="3">
        <v>31.5724851</v>
      </c>
      <c r="N195" s="3">
        <v>31.5924265</v>
      </c>
      <c r="O195" s="3">
        <v>31.6101087</v>
      </c>
      <c r="P195" s="3">
        <v>31.6343141</v>
      </c>
      <c r="Q195" s="3">
        <v>31.6606151</v>
      </c>
      <c r="R195" s="3">
        <v>31.6841134</v>
      </c>
      <c r="S195" s="3">
        <v>31.7084</v>
      </c>
      <c r="T195" s="3">
        <v>31.7325078</v>
      </c>
      <c r="U195" s="3">
        <v>31.7570454</v>
      </c>
      <c r="V195" s="3">
        <v>31.7809412</v>
      </c>
      <c r="W195" s="3">
        <v>31.8200927</v>
      </c>
      <c r="X195" s="3">
        <v>31.8432563</v>
      </c>
      <c r="Y195" s="3">
        <v>31.8656809</v>
      </c>
      <c r="Z195" s="3">
        <v>31.9052472</v>
      </c>
      <c r="AA195" s="3">
        <v>31.9504027</v>
      </c>
      <c r="AB195" s="3">
        <v>31.9924263</v>
      </c>
      <c r="AC195" s="3">
        <v>32.0310912</v>
      </c>
      <c r="AD195" s="3">
        <v>32.07135</v>
      </c>
      <c r="AE195" s="3">
        <v>32.0997913</v>
      </c>
      <c r="AF195" s="3">
        <v>32.0954376</v>
      </c>
      <c r="AG195" s="3">
        <v>32.0963985</v>
      </c>
      <c r="AH195" s="3">
        <v>32.101715</v>
      </c>
      <c r="AI195" s="3">
        <v>32.1075008</v>
      </c>
      <c r="AJ195" s="4">
        <f t="shared" si="6"/>
        <v>0.6944732</v>
      </c>
    </row>
    <row r="196">
      <c r="A196" s="1" t="s">
        <v>395</v>
      </c>
      <c r="B196" s="1" t="s">
        <v>396</v>
      </c>
      <c r="C196" s="1" t="s">
        <v>7</v>
      </c>
      <c r="D196" s="1" t="s">
        <v>8</v>
      </c>
      <c r="E196" s="3">
        <v>39.4617486</v>
      </c>
      <c r="F196" s="3">
        <v>39.5743169</v>
      </c>
      <c r="G196" s="3">
        <v>39.6868852</v>
      </c>
      <c r="H196" s="3">
        <v>39.7994536</v>
      </c>
      <c r="I196" s="3">
        <v>39.9120219</v>
      </c>
      <c r="J196" s="3">
        <v>40.0245902</v>
      </c>
      <c r="K196" s="3">
        <v>40.1371585</v>
      </c>
      <c r="L196" s="3">
        <v>40.2497268</v>
      </c>
      <c r="M196" s="3">
        <v>40.3622951</v>
      </c>
      <c r="N196" s="3">
        <v>40.4748634</v>
      </c>
      <c r="O196" s="3">
        <v>40.5874317</v>
      </c>
      <c r="P196" s="3">
        <v>40.6122951</v>
      </c>
      <c r="Q196" s="3">
        <v>40.6371585</v>
      </c>
      <c r="R196" s="3">
        <v>40.6620219</v>
      </c>
      <c r="S196" s="3">
        <v>40.6868852</v>
      </c>
      <c r="T196" s="3">
        <v>40.7117486</v>
      </c>
      <c r="U196" s="3">
        <v>40.736612</v>
      </c>
      <c r="V196" s="3">
        <v>40.7614754</v>
      </c>
      <c r="W196" s="3">
        <v>40.7863388</v>
      </c>
      <c r="X196" s="3">
        <v>40.8112022</v>
      </c>
      <c r="Y196" s="3">
        <v>40.8360656</v>
      </c>
      <c r="Z196" s="3">
        <v>40.8360656</v>
      </c>
      <c r="AA196" s="3">
        <v>40.8360656</v>
      </c>
      <c r="AB196" s="3">
        <v>40.8360656</v>
      </c>
      <c r="AC196" s="3">
        <v>40.8360656</v>
      </c>
      <c r="AD196" s="3">
        <v>40.8360656</v>
      </c>
      <c r="AE196" s="3">
        <v>40.8360656</v>
      </c>
      <c r="AF196" s="3">
        <v>40.8360656</v>
      </c>
      <c r="AG196" s="3">
        <v>42.4602273</v>
      </c>
      <c r="AH196" s="3">
        <v>42.4602273</v>
      </c>
      <c r="AI196" s="3">
        <v>42.4602273</v>
      </c>
      <c r="AJ196" s="4">
        <f t="shared" si="6"/>
        <v>2.9984787</v>
      </c>
    </row>
    <row r="197">
      <c r="A197" s="1" t="s">
        <v>397</v>
      </c>
      <c r="B197" s="1" t="s">
        <v>398</v>
      </c>
      <c r="C197" s="1" t="s">
        <v>7</v>
      </c>
      <c r="D197" s="1" t="s">
        <v>8</v>
      </c>
      <c r="E197" s="3">
        <v>27.7785045</v>
      </c>
      <c r="F197" s="3">
        <v>27.7630088</v>
      </c>
      <c r="G197" s="3">
        <v>27.7608298</v>
      </c>
      <c r="H197" s="3">
        <v>27.7586507</v>
      </c>
      <c r="I197" s="3">
        <v>27.7504248</v>
      </c>
      <c r="J197" s="3">
        <v>27.7506645</v>
      </c>
      <c r="K197" s="3">
        <v>27.7448588</v>
      </c>
      <c r="L197" s="3">
        <v>27.7414717</v>
      </c>
      <c r="M197" s="3">
        <v>27.7320441</v>
      </c>
      <c r="N197" s="3">
        <v>27.7286585</v>
      </c>
      <c r="O197" s="3">
        <v>27.7132036</v>
      </c>
      <c r="P197" s="3">
        <v>27.778068</v>
      </c>
      <c r="Q197" s="3">
        <v>27.8235524</v>
      </c>
      <c r="R197" s="3">
        <v>27.8786693</v>
      </c>
      <c r="S197" s="3">
        <v>27.9373913</v>
      </c>
      <c r="T197" s="3">
        <v>28.0046091</v>
      </c>
      <c r="U197" s="3">
        <v>28.0693973</v>
      </c>
      <c r="V197" s="3">
        <v>28.1451999</v>
      </c>
      <c r="W197" s="3">
        <v>28.2087864</v>
      </c>
      <c r="X197" s="3">
        <v>28.2539338</v>
      </c>
      <c r="Y197" s="3">
        <v>28.3199304</v>
      </c>
      <c r="Z197" s="3">
        <v>28.6405353</v>
      </c>
      <c r="AA197" s="3">
        <v>28.9948005</v>
      </c>
      <c r="AB197" s="3">
        <v>29.3291136</v>
      </c>
      <c r="AC197" s="3">
        <v>29.6582406</v>
      </c>
      <c r="AD197" s="3">
        <v>29.9937413</v>
      </c>
      <c r="AE197" s="3">
        <v>30.1158293</v>
      </c>
      <c r="AF197" s="3">
        <v>30.1158293</v>
      </c>
      <c r="AG197" s="3">
        <v>30.1158293</v>
      </c>
      <c r="AH197" s="3">
        <v>30.1158293</v>
      </c>
      <c r="AI197" s="3">
        <v>30.1158293</v>
      </c>
      <c r="AJ197" s="4">
        <f t="shared" si="6"/>
        <v>2.3373248</v>
      </c>
    </row>
    <row r="198">
      <c r="A198" s="1" t="s">
        <v>399</v>
      </c>
      <c r="B198" s="1" t="s">
        <v>400</v>
      </c>
      <c r="C198" s="1" t="s">
        <v>7</v>
      </c>
      <c r="D198" s="1" t="s">
        <v>8</v>
      </c>
      <c r="E198" s="3">
        <v>49.3564654</v>
      </c>
      <c r="F198" s="3">
        <v>49.3564654</v>
      </c>
      <c r="G198" s="3">
        <v>49.360347</v>
      </c>
      <c r="H198" s="3">
        <v>49.3736478</v>
      </c>
      <c r="I198" s="3">
        <v>49.3902107</v>
      </c>
      <c r="J198" s="3">
        <v>49.4010519</v>
      </c>
      <c r="K198" s="3">
        <v>49.404264</v>
      </c>
      <c r="L198" s="3">
        <v>49.4041279</v>
      </c>
      <c r="M198" s="3">
        <v>49.3980807</v>
      </c>
      <c r="N198" s="3">
        <v>49.3782925</v>
      </c>
      <c r="O198" s="3">
        <v>49.4018499</v>
      </c>
      <c r="P198" s="3">
        <v>49.4403819</v>
      </c>
      <c r="Q198" s="3">
        <v>49.4746895</v>
      </c>
      <c r="R198" s="3">
        <v>49.5103852</v>
      </c>
      <c r="S198" s="3">
        <v>49.5454456</v>
      </c>
      <c r="T198" s="3">
        <v>49.5807773</v>
      </c>
      <c r="U198" s="3">
        <v>49.6276507</v>
      </c>
      <c r="V198" s="3">
        <v>49.6634743</v>
      </c>
      <c r="W198" s="3">
        <v>49.7019382</v>
      </c>
      <c r="X198" s="3">
        <v>49.7377637</v>
      </c>
      <c r="Y198" s="3">
        <v>49.7735892</v>
      </c>
      <c r="Z198" s="3">
        <v>49.771084</v>
      </c>
      <c r="AA198" s="3">
        <v>49.7685787</v>
      </c>
      <c r="AB198" s="3">
        <v>49.7660735</v>
      </c>
      <c r="AC198" s="3">
        <v>49.7635683</v>
      </c>
      <c r="AD198" s="3">
        <v>49.761063</v>
      </c>
      <c r="AE198" s="3">
        <v>49.7726995</v>
      </c>
      <c r="AF198" s="3">
        <v>49.7843361</v>
      </c>
      <c r="AG198" s="3">
        <v>49.7843361</v>
      </c>
      <c r="AH198" s="3">
        <v>49.7843361</v>
      </c>
      <c r="AI198" s="3">
        <v>49.7843361</v>
      </c>
      <c r="AJ198" s="4">
        <f t="shared" si="6"/>
        <v>0.4278707</v>
      </c>
    </row>
    <row r="199">
      <c r="A199" s="1" t="s">
        <v>401</v>
      </c>
      <c r="B199" s="1" t="s">
        <v>402</v>
      </c>
      <c r="C199" s="1" t="s">
        <v>7</v>
      </c>
      <c r="D199" s="1" t="s">
        <v>8</v>
      </c>
      <c r="E199" s="3">
        <v>12.8496149</v>
      </c>
      <c r="F199" s="3">
        <v>12.7280097</v>
      </c>
      <c r="G199" s="3">
        <v>12.6064045</v>
      </c>
      <c r="H199" s="3">
        <v>12.4847994</v>
      </c>
      <c r="I199" s="3">
        <v>12.3631942</v>
      </c>
      <c r="J199" s="3">
        <v>12.241589</v>
      </c>
      <c r="K199" s="3">
        <v>12.1199838</v>
      </c>
      <c r="L199" s="3">
        <v>11.9983786</v>
      </c>
      <c r="M199" s="3">
        <v>11.8767734</v>
      </c>
      <c r="N199" s="3">
        <v>11.7551682</v>
      </c>
      <c r="O199" s="3">
        <v>11.633563</v>
      </c>
      <c r="P199" s="3">
        <v>11.5443859</v>
      </c>
      <c r="Q199" s="3">
        <v>11.4552088</v>
      </c>
      <c r="R199" s="3">
        <v>11.3660316</v>
      </c>
      <c r="S199" s="3">
        <v>11.2768545</v>
      </c>
      <c r="T199" s="3">
        <v>11.1876773</v>
      </c>
      <c r="U199" s="3">
        <v>11.0985002</v>
      </c>
      <c r="V199" s="3">
        <v>11.0093231</v>
      </c>
      <c r="W199" s="3">
        <v>10.9201459</v>
      </c>
      <c r="X199" s="3">
        <v>10.8309688</v>
      </c>
      <c r="Y199" s="3">
        <v>10.7417916</v>
      </c>
      <c r="Z199" s="3">
        <v>10.7823267</v>
      </c>
      <c r="AA199" s="3">
        <v>10.8228618</v>
      </c>
      <c r="AB199" s="3">
        <v>10.8633968</v>
      </c>
      <c r="AC199" s="3">
        <v>10.9039319</v>
      </c>
      <c r="AD199" s="3">
        <v>10.944467</v>
      </c>
      <c r="AE199" s="3">
        <v>11.0255371</v>
      </c>
      <c r="AF199" s="3">
        <v>11.0660722</v>
      </c>
      <c r="AG199" s="3">
        <v>11.1066072</v>
      </c>
      <c r="AH199" s="3">
        <v>11.1471423</v>
      </c>
      <c r="AI199" s="3">
        <v>11.1876773</v>
      </c>
      <c r="AJ199" s="4">
        <f t="shared" si="6"/>
        <v>-1.6619376</v>
      </c>
    </row>
    <row r="200">
      <c r="A200" s="1" t="s">
        <v>403</v>
      </c>
      <c r="B200" s="1" t="s">
        <v>404</v>
      </c>
      <c r="C200" s="1" t="s">
        <v>7</v>
      </c>
      <c r="D200" s="1" t="s">
        <v>8</v>
      </c>
      <c r="E200" s="3">
        <v>16.2644553</v>
      </c>
      <c r="F200" s="3">
        <v>17.3444532</v>
      </c>
      <c r="G200" s="3">
        <v>17.4114346</v>
      </c>
      <c r="H200" s="3">
        <v>17.478416</v>
      </c>
      <c r="I200" s="3">
        <v>17.5708465</v>
      </c>
      <c r="J200" s="3">
        <v>17.6379251</v>
      </c>
      <c r="K200" s="3">
        <v>17.7050036</v>
      </c>
      <c r="L200" s="3">
        <v>17.7720822</v>
      </c>
      <c r="M200" s="3">
        <v>17.8391607</v>
      </c>
      <c r="N200" s="3">
        <v>17.9062392</v>
      </c>
      <c r="O200" s="3">
        <v>18.0118049</v>
      </c>
      <c r="P200" s="3">
        <v>18.0070544</v>
      </c>
      <c r="Q200" s="3">
        <v>18.0421089</v>
      </c>
      <c r="R200" s="3">
        <v>18.0771635</v>
      </c>
      <c r="S200" s="3">
        <v>18.1186064</v>
      </c>
      <c r="T200" s="3">
        <v>18.1536733</v>
      </c>
      <c r="U200" s="3">
        <v>18.1887402</v>
      </c>
      <c r="V200" s="3">
        <v>18.2238071</v>
      </c>
      <c r="W200" s="3">
        <v>18.258874</v>
      </c>
      <c r="X200" s="3">
        <v>18.2939409</v>
      </c>
      <c r="Y200" s="3">
        <v>18.3290078</v>
      </c>
      <c r="Z200" s="3">
        <v>18.3793483</v>
      </c>
      <c r="AA200" s="3">
        <v>18.4296888</v>
      </c>
      <c r="AB200" s="3">
        <v>18.4800293</v>
      </c>
      <c r="AC200" s="3">
        <v>18.5303698</v>
      </c>
      <c r="AD200" s="3">
        <v>18.5838923</v>
      </c>
      <c r="AE200" s="3">
        <v>18.6258892</v>
      </c>
      <c r="AF200" s="3">
        <v>18.6776417</v>
      </c>
      <c r="AG200" s="3">
        <v>18.7246984</v>
      </c>
      <c r="AH200" s="3">
        <v>18.771626</v>
      </c>
      <c r="AI200" s="3">
        <v>18.8185536</v>
      </c>
      <c r="AJ200" s="4">
        <f t="shared" si="6"/>
        <v>2.5540983</v>
      </c>
    </row>
    <row r="201">
      <c r="A201" s="1" t="s">
        <v>405</v>
      </c>
      <c r="B201" s="1" t="s">
        <v>406</v>
      </c>
      <c r="C201" s="1" t="s">
        <v>7</v>
      </c>
      <c r="D201" s="1" t="s">
        <v>8</v>
      </c>
      <c r="E201" s="3">
        <v>0.45448413</v>
      </c>
      <c r="F201" s="3">
        <v>0.45448413</v>
      </c>
      <c r="G201" s="3">
        <v>0.45448413</v>
      </c>
      <c r="H201" s="3">
        <v>0.45448413</v>
      </c>
      <c r="I201" s="3">
        <v>0.45448413</v>
      </c>
      <c r="J201" s="3">
        <v>0.45448413</v>
      </c>
      <c r="K201" s="3">
        <v>0.45448413</v>
      </c>
      <c r="L201" s="3">
        <v>0.45448413</v>
      </c>
      <c r="M201" s="3">
        <v>0.45448413</v>
      </c>
      <c r="N201" s="3">
        <v>0.45448413</v>
      </c>
      <c r="O201" s="3">
        <v>0.45448413</v>
      </c>
      <c r="P201" s="3">
        <v>0.45448413</v>
      </c>
      <c r="Q201" s="3">
        <v>0.45448413</v>
      </c>
      <c r="R201" s="3">
        <v>0.45448413</v>
      </c>
      <c r="S201" s="3">
        <v>0.45448413</v>
      </c>
      <c r="T201" s="3">
        <v>0.45448413</v>
      </c>
      <c r="U201" s="3">
        <v>0.45448413</v>
      </c>
      <c r="V201" s="3">
        <v>0.45448413</v>
      </c>
      <c r="W201" s="3">
        <v>0.45448413</v>
      </c>
      <c r="X201" s="3">
        <v>0.45448413</v>
      </c>
      <c r="Y201" s="3">
        <v>0.45448413</v>
      </c>
      <c r="Z201" s="3">
        <v>0.45448413</v>
      </c>
      <c r="AA201" s="3">
        <v>0.45448413</v>
      </c>
      <c r="AB201" s="3">
        <v>0.45448413</v>
      </c>
      <c r="AC201" s="3">
        <v>0.45448413</v>
      </c>
      <c r="AD201" s="3">
        <v>0.45448413</v>
      </c>
      <c r="AE201" s="3">
        <v>0.45448413</v>
      </c>
      <c r="AF201" s="3">
        <v>0.45448413</v>
      </c>
      <c r="AG201" s="3">
        <v>0.45448413</v>
      </c>
      <c r="AH201" s="3">
        <v>0.45448413</v>
      </c>
      <c r="AI201" s="3">
        <v>0.45448413</v>
      </c>
      <c r="AJ201" s="4">
        <f t="shared" si="6"/>
        <v>0</v>
      </c>
    </row>
    <row r="202">
      <c r="A202" s="1" t="s">
        <v>407</v>
      </c>
      <c r="B202" s="1" t="s">
        <v>408</v>
      </c>
      <c r="C202" s="1" t="s">
        <v>7</v>
      </c>
      <c r="D202" s="1" t="s">
        <v>8</v>
      </c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3">
        <v>8.79607118</v>
      </c>
      <c r="P202" s="5"/>
      <c r="Q202" s="5"/>
      <c r="R202" s="5"/>
      <c r="S202" s="5"/>
      <c r="T202" s="5"/>
      <c r="U202" s="5"/>
      <c r="V202" s="5"/>
      <c r="W202" s="5"/>
      <c r="X202" s="5"/>
      <c r="Y202" s="3">
        <v>8.09282992</v>
      </c>
      <c r="Z202" s="3">
        <v>10.7641357</v>
      </c>
      <c r="AA202" s="3">
        <v>10.6698868</v>
      </c>
      <c r="AB202" s="3">
        <v>10.5756768</v>
      </c>
      <c r="AC202" s="3">
        <v>10.4816201</v>
      </c>
      <c r="AD202" s="3">
        <v>10.3873888</v>
      </c>
      <c r="AE202" s="3">
        <v>10.3005494</v>
      </c>
      <c r="AF202" s="3">
        <v>10.2074586</v>
      </c>
      <c r="AG202" s="3">
        <v>10.1143895</v>
      </c>
      <c r="AH202" s="3">
        <v>10.0212914</v>
      </c>
      <c r="AI202" s="3">
        <v>9.92819342</v>
      </c>
      <c r="AJ202" s="4">
        <f>AI202-Y202</f>
        <v>1.8353635</v>
      </c>
    </row>
    <row r="203">
      <c r="A203" s="1" t="s">
        <v>409</v>
      </c>
      <c r="B203" s="1" t="s">
        <v>410</v>
      </c>
      <c r="C203" s="1" t="s">
        <v>7</v>
      </c>
      <c r="D203" s="1" t="s">
        <v>8</v>
      </c>
      <c r="E203" s="3">
        <v>48.3205734</v>
      </c>
      <c r="F203" s="3">
        <v>48.0868436</v>
      </c>
      <c r="G203" s="3">
        <v>47.8531138</v>
      </c>
      <c r="H203" s="3">
        <v>47.619384</v>
      </c>
      <c r="I203" s="3">
        <v>47.3856542</v>
      </c>
      <c r="J203" s="3">
        <v>47.1519244</v>
      </c>
      <c r="K203" s="3">
        <v>46.9181946</v>
      </c>
      <c r="L203" s="3">
        <v>46.6844648</v>
      </c>
      <c r="M203" s="3">
        <v>46.450735</v>
      </c>
      <c r="N203" s="3">
        <v>46.2170051</v>
      </c>
      <c r="O203" s="3">
        <v>45.9832753</v>
      </c>
      <c r="P203" s="3">
        <v>45.7833065</v>
      </c>
      <c r="Q203" s="3">
        <v>45.5833377</v>
      </c>
      <c r="R203" s="3">
        <v>45.3833688</v>
      </c>
      <c r="S203" s="3">
        <v>45.1834</v>
      </c>
      <c r="T203" s="3">
        <v>44.9834312</v>
      </c>
      <c r="U203" s="3">
        <v>44.7834623</v>
      </c>
      <c r="V203" s="3">
        <v>44.5834935</v>
      </c>
      <c r="W203" s="3">
        <v>44.3835246</v>
      </c>
      <c r="X203" s="3">
        <v>44.1835558</v>
      </c>
      <c r="Y203" s="3">
        <v>43.983587</v>
      </c>
      <c r="Z203" s="3">
        <v>43.7758271</v>
      </c>
      <c r="AA203" s="3">
        <v>43.5680673</v>
      </c>
      <c r="AB203" s="3">
        <v>43.3603075</v>
      </c>
      <c r="AC203" s="3">
        <v>43.1525477</v>
      </c>
      <c r="AD203" s="3">
        <v>42.9447878</v>
      </c>
      <c r="AE203" s="3">
        <v>42.737028</v>
      </c>
      <c r="AF203" s="3">
        <v>42.5292682</v>
      </c>
      <c r="AG203" s="3">
        <v>42.3215083</v>
      </c>
      <c r="AH203" s="3">
        <v>42.1137485</v>
      </c>
      <c r="AI203" s="3">
        <v>41.9059887</v>
      </c>
      <c r="AJ203" s="4">
        <f t="shared" ref="AJ203:AJ211" si="7">AI203-E203</f>
        <v>-6.4145847</v>
      </c>
    </row>
    <row r="204">
      <c r="A204" s="1" t="s">
        <v>411</v>
      </c>
      <c r="B204" s="1" t="s">
        <v>412</v>
      </c>
      <c r="C204" s="1" t="s">
        <v>7</v>
      </c>
      <c r="D204" s="1" t="s">
        <v>8</v>
      </c>
      <c r="E204" s="3">
        <v>22.1297015</v>
      </c>
      <c r="F204" s="3">
        <v>22.4561194</v>
      </c>
      <c r="G204" s="3">
        <v>22.7823881</v>
      </c>
      <c r="H204" s="3">
        <v>23.108806</v>
      </c>
      <c r="I204" s="3">
        <v>23.4350746</v>
      </c>
      <c r="J204" s="3">
        <v>23.7614925</v>
      </c>
      <c r="K204" s="3">
        <v>24.0879104</v>
      </c>
      <c r="L204" s="3">
        <v>24.4141791</v>
      </c>
      <c r="M204" s="3">
        <v>24.740597</v>
      </c>
      <c r="N204" s="3">
        <v>25.0668657</v>
      </c>
      <c r="O204" s="3">
        <v>25.3932239</v>
      </c>
      <c r="P204" s="3">
        <v>25.5016418</v>
      </c>
      <c r="Q204" s="3">
        <v>25.4204444</v>
      </c>
      <c r="R204" s="3">
        <v>25.0822416</v>
      </c>
      <c r="S204" s="3">
        <v>25.1149492</v>
      </c>
      <c r="T204" s="3">
        <v>25.2204644</v>
      </c>
      <c r="U204" s="3">
        <v>25.1435159</v>
      </c>
      <c r="V204" s="3">
        <v>25.2119424</v>
      </c>
      <c r="W204" s="3">
        <v>25.1357143</v>
      </c>
      <c r="X204" s="3">
        <v>25.2395714</v>
      </c>
      <c r="Y204" s="3">
        <v>25.2711966</v>
      </c>
      <c r="Z204" s="3">
        <v>24.8389205</v>
      </c>
      <c r="AA204" s="3">
        <v>24.4090652</v>
      </c>
      <c r="AB204" s="3">
        <v>24.0155587</v>
      </c>
      <c r="AC204" s="3">
        <v>23.5898449</v>
      </c>
      <c r="AD204" s="3">
        <v>23.2318759</v>
      </c>
      <c r="AE204" s="3">
        <v>22.9696756</v>
      </c>
      <c r="AF204" s="3">
        <v>22.7221439</v>
      </c>
      <c r="AG204" s="3">
        <v>22.4682652</v>
      </c>
      <c r="AH204" s="3">
        <v>22.2143865</v>
      </c>
      <c r="AI204" s="3">
        <v>21.9605078</v>
      </c>
      <c r="AJ204" s="4">
        <f t="shared" si="7"/>
        <v>-0.1691937</v>
      </c>
    </row>
    <row r="205">
      <c r="A205" s="1" t="s">
        <v>413</v>
      </c>
      <c r="B205" s="1" t="s">
        <v>414</v>
      </c>
      <c r="C205" s="1" t="s">
        <v>7</v>
      </c>
      <c r="D205" s="1" t="s">
        <v>8</v>
      </c>
      <c r="E205" s="3">
        <v>90.922115</v>
      </c>
      <c r="F205" s="3">
        <v>90.8959986</v>
      </c>
      <c r="G205" s="3">
        <v>90.8698821</v>
      </c>
      <c r="H205" s="3">
        <v>90.8437656</v>
      </c>
      <c r="I205" s="3">
        <v>90.8176492</v>
      </c>
      <c r="J205" s="3">
        <v>90.7915327</v>
      </c>
      <c r="K205" s="3">
        <v>90.7654162</v>
      </c>
      <c r="L205" s="3">
        <v>90.7392997</v>
      </c>
      <c r="M205" s="3">
        <v>90.7131833</v>
      </c>
      <c r="N205" s="3">
        <v>90.6870668</v>
      </c>
      <c r="O205" s="3">
        <v>90.6609503</v>
      </c>
      <c r="P205" s="3">
        <v>90.6347981</v>
      </c>
      <c r="Q205" s="3">
        <v>90.6086459</v>
      </c>
      <c r="R205" s="3">
        <v>90.5824937</v>
      </c>
      <c r="S205" s="3">
        <v>90.5563416</v>
      </c>
      <c r="T205" s="3">
        <v>90.5301894</v>
      </c>
      <c r="U205" s="3">
        <v>90.5040372</v>
      </c>
      <c r="V205" s="3">
        <v>90.477885</v>
      </c>
      <c r="W205" s="3">
        <v>90.4517328</v>
      </c>
      <c r="X205" s="3">
        <v>90.4255806</v>
      </c>
      <c r="Y205" s="3">
        <v>90.3994284</v>
      </c>
      <c r="Z205" s="3">
        <v>90.3732762</v>
      </c>
      <c r="AA205" s="3">
        <v>90.347124</v>
      </c>
      <c r="AB205" s="3">
        <v>90.3209718</v>
      </c>
      <c r="AC205" s="3">
        <v>90.2948196</v>
      </c>
      <c r="AD205" s="3">
        <v>90.2686674</v>
      </c>
      <c r="AE205" s="3">
        <v>90.2425866</v>
      </c>
      <c r="AF205" s="3">
        <v>90.2165059</v>
      </c>
      <c r="AG205" s="3">
        <v>90.1904252</v>
      </c>
      <c r="AH205" s="3">
        <v>90.1643444</v>
      </c>
      <c r="AI205" s="3">
        <v>90.1382637</v>
      </c>
      <c r="AJ205" s="4">
        <f t="shared" si="7"/>
        <v>-0.7838513</v>
      </c>
    </row>
    <row r="206">
      <c r="A206" s="1" t="s">
        <v>415</v>
      </c>
      <c r="B206" s="1" t="s">
        <v>416</v>
      </c>
      <c r="C206" s="1" t="s">
        <v>7</v>
      </c>
      <c r="D206" s="1" t="s">
        <v>8</v>
      </c>
      <c r="E206" s="3">
        <v>43.3180937</v>
      </c>
      <c r="F206" s="3">
        <v>43.0447908</v>
      </c>
      <c r="G206" s="3">
        <v>42.7714879</v>
      </c>
      <c r="H206" s="3">
        <v>42.4981851</v>
      </c>
      <c r="I206" s="3">
        <v>42.2248822</v>
      </c>
      <c r="J206" s="3">
        <v>41.9515794</v>
      </c>
      <c r="K206" s="3">
        <v>41.6782765</v>
      </c>
      <c r="L206" s="3">
        <v>41.4049737</v>
      </c>
      <c r="M206" s="3">
        <v>41.1316708</v>
      </c>
      <c r="N206" s="3">
        <v>40.858368</v>
      </c>
      <c r="O206" s="3">
        <v>40.5850651</v>
      </c>
      <c r="P206" s="3">
        <v>40.3117623</v>
      </c>
      <c r="Q206" s="3">
        <v>40.0384594</v>
      </c>
      <c r="R206" s="3">
        <v>39.7651566</v>
      </c>
      <c r="S206" s="3">
        <v>39.4918537</v>
      </c>
      <c r="T206" s="3">
        <v>39.2185508</v>
      </c>
      <c r="U206" s="3">
        <v>38.945248</v>
      </c>
      <c r="V206" s="3">
        <v>38.6719451</v>
      </c>
      <c r="W206" s="3">
        <v>38.3986423</v>
      </c>
      <c r="X206" s="3">
        <v>38.1253394</v>
      </c>
      <c r="Y206" s="3">
        <v>37.8520366</v>
      </c>
      <c r="Z206" s="3">
        <v>37.5787476</v>
      </c>
      <c r="AA206" s="3">
        <v>37.3054586</v>
      </c>
      <c r="AB206" s="3">
        <v>37.0321696</v>
      </c>
      <c r="AC206" s="3">
        <v>36.7588806</v>
      </c>
      <c r="AD206" s="3">
        <v>36.4855916</v>
      </c>
      <c r="AE206" s="3">
        <v>36.2122472</v>
      </c>
      <c r="AF206" s="3">
        <v>35.9389027</v>
      </c>
      <c r="AG206" s="3">
        <v>35.6655583</v>
      </c>
      <c r="AH206" s="3">
        <v>35.3922139</v>
      </c>
      <c r="AI206" s="3">
        <v>35.1188695</v>
      </c>
      <c r="AJ206" s="4">
        <f t="shared" si="7"/>
        <v>-8.1992242</v>
      </c>
    </row>
    <row r="207">
      <c r="A207" s="1" t="s">
        <v>417</v>
      </c>
      <c r="B207" s="1" t="s">
        <v>418</v>
      </c>
      <c r="C207" s="1" t="s">
        <v>7</v>
      </c>
      <c r="D207" s="1" t="s">
        <v>8</v>
      </c>
      <c r="E207" s="3">
        <v>34.6949807</v>
      </c>
      <c r="F207" s="3">
        <v>34.4777992</v>
      </c>
      <c r="G207" s="3">
        <v>34.2606178</v>
      </c>
      <c r="H207" s="3">
        <v>34.0434363</v>
      </c>
      <c r="I207" s="3">
        <v>33.8262548</v>
      </c>
      <c r="J207" s="3">
        <v>33.6090734</v>
      </c>
      <c r="K207" s="3">
        <v>33.3918919</v>
      </c>
      <c r="L207" s="3">
        <v>33.1747104</v>
      </c>
      <c r="M207" s="3">
        <v>32.957529</v>
      </c>
      <c r="N207" s="3">
        <v>32.7403475</v>
      </c>
      <c r="O207" s="3">
        <v>32.523166</v>
      </c>
      <c r="P207" s="3">
        <v>32.3059846</v>
      </c>
      <c r="Q207" s="3">
        <v>32.0888031</v>
      </c>
      <c r="R207" s="3">
        <v>31.8716216</v>
      </c>
      <c r="S207" s="3">
        <v>31.6544402</v>
      </c>
      <c r="T207" s="3">
        <v>31.4372587</v>
      </c>
      <c r="U207" s="3">
        <v>31.2200772</v>
      </c>
      <c r="V207" s="3">
        <v>31.0028958</v>
      </c>
      <c r="W207" s="3">
        <v>30.7857143</v>
      </c>
      <c r="X207" s="3">
        <v>30.5685328</v>
      </c>
      <c r="Y207" s="3">
        <v>30.3513514</v>
      </c>
      <c r="Z207" s="3">
        <v>30.1341699</v>
      </c>
      <c r="AA207" s="3">
        <v>29.9169884</v>
      </c>
      <c r="AB207" s="3">
        <v>29.6998069</v>
      </c>
      <c r="AC207" s="3">
        <v>29.4826255</v>
      </c>
      <c r="AD207" s="3">
        <v>29.265444</v>
      </c>
      <c r="AE207" s="3">
        <v>29.0482625</v>
      </c>
      <c r="AF207" s="3">
        <v>28.8310811</v>
      </c>
      <c r="AG207" s="3">
        <v>28.6138996</v>
      </c>
      <c r="AH207" s="3">
        <v>28.3967181</v>
      </c>
      <c r="AI207" s="3">
        <v>28.1795367</v>
      </c>
      <c r="AJ207" s="4">
        <f t="shared" si="7"/>
        <v>-6.515444</v>
      </c>
    </row>
    <row r="208">
      <c r="A208" s="1" t="s">
        <v>419</v>
      </c>
      <c r="B208" s="1" t="s">
        <v>420</v>
      </c>
      <c r="C208" s="1" t="s">
        <v>7</v>
      </c>
      <c r="D208" s="1" t="s">
        <v>8</v>
      </c>
      <c r="E208" s="3">
        <v>16.6666667</v>
      </c>
      <c r="F208" s="3">
        <v>16.6666667</v>
      </c>
      <c r="G208" s="3">
        <v>16.6666667</v>
      </c>
      <c r="H208" s="3">
        <v>16.6666667</v>
      </c>
      <c r="I208" s="3">
        <v>16.6666667</v>
      </c>
      <c r="J208" s="3">
        <v>16.6666667</v>
      </c>
      <c r="K208" s="3">
        <v>16.6666667</v>
      </c>
      <c r="L208" s="3">
        <v>16.6666667</v>
      </c>
      <c r="M208" s="3">
        <v>16.6666667</v>
      </c>
      <c r="N208" s="3">
        <v>16.6666667</v>
      </c>
      <c r="O208" s="3">
        <v>16.6666667</v>
      </c>
      <c r="P208" s="3">
        <v>16.6666667</v>
      </c>
      <c r="Q208" s="3">
        <v>16.6666667</v>
      </c>
      <c r="R208" s="3">
        <v>16.6666667</v>
      </c>
      <c r="S208" s="3">
        <v>16.6666667</v>
      </c>
      <c r="T208" s="3">
        <v>16.6666667</v>
      </c>
      <c r="U208" s="3">
        <v>16.6666667</v>
      </c>
      <c r="V208" s="3">
        <v>16.6666667</v>
      </c>
      <c r="W208" s="3">
        <v>16.6666667</v>
      </c>
      <c r="X208" s="3">
        <v>16.6666667</v>
      </c>
      <c r="Y208" s="3">
        <v>16.6666667</v>
      </c>
      <c r="Z208" s="3">
        <v>16.6666667</v>
      </c>
      <c r="AA208" s="3">
        <v>16.6666667</v>
      </c>
      <c r="AB208" s="3">
        <v>16.6666667</v>
      </c>
      <c r="AC208" s="3">
        <v>16.6666667</v>
      </c>
      <c r="AD208" s="3">
        <v>16.6666667</v>
      </c>
      <c r="AE208" s="3">
        <v>16.6666667</v>
      </c>
      <c r="AF208" s="3">
        <v>16.6666667</v>
      </c>
      <c r="AG208" s="3">
        <v>16.6666667</v>
      </c>
      <c r="AH208" s="3">
        <v>16.6666667</v>
      </c>
      <c r="AI208" s="3">
        <v>16.6666667</v>
      </c>
      <c r="AJ208" s="4">
        <f t="shared" si="7"/>
        <v>0</v>
      </c>
    </row>
    <row r="209">
      <c r="A209" s="1" t="s">
        <v>421</v>
      </c>
      <c r="B209" s="1" t="s">
        <v>422</v>
      </c>
      <c r="C209" s="1" t="s">
        <v>7</v>
      </c>
      <c r="D209" s="1" t="s">
        <v>8</v>
      </c>
      <c r="E209" s="3">
        <v>13.2025696</v>
      </c>
      <c r="F209" s="3">
        <v>13.0802276</v>
      </c>
      <c r="G209" s="3">
        <v>12.9578857</v>
      </c>
      <c r="H209" s="3">
        <v>12.8355437</v>
      </c>
      <c r="I209" s="3">
        <v>12.7132018</v>
      </c>
      <c r="J209" s="3">
        <v>12.5908598</v>
      </c>
      <c r="K209" s="3">
        <v>12.4685179</v>
      </c>
      <c r="L209" s="3">
        <v>12.3461759</v>
      </c>
      <c r="M209" s="3">
        <v>12.223834</v>
      </c>
      <c r="N209" s="3">
        <v>12.101492</v>
      </c>
      <c r="O209" s="3">
        <v>11.9791501</v>
      </c>
      <c r="P209" s="3">
        <v>11.8568081</v>
      </c>
      <c r="Q209" s="3">
        <v>11.7344662</v>
      </c>
      <c r="R209" s="3">
        <v>11.6121242</v>
      </c>
      <c r="S209" s="3">
        <v>11.4897823</v>
      </c>
      <c r="T209" s="3">
        <v>11.3674403</v>
      </c>
      <c r="U209" s="3">
        <v>11.2450984</v>
      </c>
      <c r="V209" s="3">
        <v>11.1227564</v>
      </c>
      <c r="W209" s="3">
        <v>11.0004144</v>
      </c>
      <c r="X209" s="3">
        <v>10.8780725</v>
      </c>
      <c r="Y209" s="3">
        <v>10.7557305</v>
      </c>
      <c r="Z209" s="3">
        <v>10.6333886</v>
      </c>
      <c r="AA209" s="3">
        <v>10.5110466</v>
      </c>
      <c r="AB209" s="3">
        <v>10.3887047</v>
      </c>
      <c r="AC209" s="3">
        <v>10.2663627</v>
      </c>
      <c r="AD209" s="3">
        <v>10.1440208</v>
      </c>
      <c r="AE209" s="3">
        <v>10.0216788</v>
      </c>
      <c r="AF209" s="3">
        <v>9.89933688</v>
      </c>
      <c r="AG209" s="3">
        <v>9.77699493</v>
      </c>
      <c r="AH209" s="3">
        <v>9.65465298</v>
      </c>
      <c r="AI209" s="3">
        <v>9.53231103</v>
      </c>
      <c r="AJ209" s="4">
        <f t="shared" si="7"/>
        <v>-3.67025857</v>
      </c>
    </row>
    <row r="210">
      <c r="A210" s="1" t="s">
        <v>423</v>
      </c>
      <c r="B210" s="1" t="s">
        <v>424</v>
      </c>
      <c r="C210" s="1" t="s">
        <v>7</v>
      </c>
      <c r="D210" s="1" t="s">
        <v>8</v>
      </c>
      <c r="E210" s="3">
        <v>28.3100846</v>
      </c>
      <c r="F210" s="3">
        <v>28.3100846</v>
      </c>
      <c r="G210" s="3">
        <v>28.3100846</v>
      </c>
      <c r="H210" s="3">
        <v>28.3100846</v>
      </c>
      <c r="I210" s="3">
        <v>28.3100846</v>
      </c>
      <c r="J210" s="3">
        <v>28.3100846</v>
      </c>
      <c r="K210" s="3">
        <v>28.3100846</v>
      </c>
      <c r="L210" s="3">
        <v>28.3100846</v>
      </c>
      <c r="M210" s="3">
        <v>28.3100846</v>
      </c>
      <c r="N210" s="3">
        <v>28.3100846</v>
      </c>
      <c r="O210" s="3">
        <v>28.1271438</v>
      </c>
      <c r="P210" s="3">
        <v>28.3100846</v>
      </c>
      <c r="Q210" s="3">
        <v>28.3100846</v>
      </c>
      <c r="R210" s="3">
        <v>28.3100846</v>
      </c>
      <c r="S210" s="3">
        <v>28.3100846</v>
      </c>
      <c r="T210" s="3">
        <v>28.3100846</v>
      </c>
      <c r="U210" s="3">
        <v>29.8627944</v>
      </c>
      <c r="V210" s="3">
        <v>30.1520695</v>
      </c>
      <c r="W210" s="3">
        <v>30.4413446</v>
      </c>
      <c r="X210" s="3">
        <v>30.7306197</v>
      </c>
      <c r="Y210" s="3">
        <v>31.0198948</v>
      </c>
      <c r="Z210" s="3">
        <v>31.0348273</v>
      </c>
      <c r="AA210" s="3">
        <v>31.0497599</v>
      </c>
      <c r="AB210" s="3">
        <v>31.0646924</v>
      </c>
      <c r="AC210" s="3">
        <v>31.079625</v>
      </c>
      <c r="AD210" s="3">
        <v>31.0945575</v>
      </c>
      <c r="AE210" s="3">
        <v>31.1019895</v>
      </c>
      <c r="AF210" s="3">
        <v>31.1211983</v>
      </c>
      <c r="AG210" s="3">
        <v>31.122799</v>
      </c>
      <c r="AH210" s="3">
        <v>31.1253144</v>
      </c>
      <c r="AI210" s="3">
        <v>31.130231</v>
      </c>
      <c r="AJ210" s="4">
        <f t="shared" si="7"/>
        <v>2.8201464</v>
      </c>
    </row>
    <row r="211">
      <c r="A211" s="1" t="s">
        <v>425</v>
      </c>
      <c r="B211" s="1" t="s">
        <v>426</v>
      </c>
      <c r="C211" s="1" t="s">
        <v>7</v>
      </c>
      <c r="D211" s="1" t="s">
        <v>8</v>
      </c>
      <c r="E211" s="3">
        <v>33.0253359</v>
      </c>
      <c r="F211" s="3">
        <v>32.8819327</v>
      </c>
      <c r="G211" s="3">
        <v>32.7349723</v>
      </c>
      <c r="H211" s="3">
        <v>32.668439</v>
      </c>
      <c r="I211" s="3">
        <v>32.5225669</v>
      </c>
      <c r="J211" s="3">
        <v>32.3766947</v>
      </c>
      <c r="K211" s="3">
        <v>32.2308226</v>
      </c>
      <c r="L211" s="3">
        <v>32.0849504</v>
      </c>
      <c r="M211" s="3">
        <v>31.9390783</v>
      </c>
      <c r="N211" s="3">
        <v>31.7932062</v>
      </c>
      <c r="O211" s="3">
        <v>29.2570897</v>
      </c>
      <c r="P211" s="3">
        <v>31.4928253</v>
      </c>
      <c r="Q211" s="3">
        <v>31.3383166</v>
      </c>
      <c r="R211" s="3">
        <v>31.1838079</v>
      </c>
      <c r="S211" s="3">
        <v>30.8416087</v>
      </c>
      <c r="T211" s="3">
        <v>30.6879579</v>
      </c>
      <c r="U211" s="3">
        <v>30.534389</v>
      </c>
      <c r="V211" s="3">
        <v>30.3808537</v>
      </c>
      <c r="W211" s="3">
        <v>30.2273013</v>
      </c>
      <c r="X211" s="3">
        <v>30.0737288</v>
      </c>
      <c r="Y211" s="3">
        <v>27.648586</v>
      </c>
      <c r="Z211" s="3">
        <v>27.7842788</v>
      </c>
      <c r="AA211" s="3">
        <v>27.62016</v>
      </c>
      <c r="AB211" s="3">
        <v>27.4560368</v>
      </c>
      <c r="AC211" s="3">
        <v>27.291956</v>
      </c>
      <c r="AD211" s="3">
        <v>27.1277824</v>
      </c>
      <c r="AE211" s="3">
        <v>26.9595616</v>
      </c>
      <c r="AF211" s="3">
        <v>26.7947122</v>
      </c>
      <c r="AG211" s="3">
        <v>26.6299667</v>
      </c>
      <c r="AH211" s="3">
        <v>26.4609391</v>
      </c>
      <c r="AI211" s="3">
        <v>26.2935737</v>
      </c>
      <c r="AJ211" s="4">
        <f t="shared" si="7"/>
        <v>-6.7317622</v>
      </c>
    </row>
    <row r="212">
      <c r="A212" s="1" t="s">
        <v>427</v>
      </c>
      <c r="B212" s="1" t="s">
        <v>428</v>
      </c>
      <c r="C212" s="1" t="s">
        <v>7</v>
      </c>
      <c r="D212" s="1" t="s">
        <v>8</v>
      </c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3">
        <v>11.324754</v>
      </c>
      <c r="AA212" s="3">
        <v>11.3248383</v>
      </c>
      <c r="AB212" s="3">
        <v>11.3248553</v>
      </c>
      <c r="AC212" s="3">
        <v>11.3251337</v>
      </c>
      <c r="AD212" s="3">
        <v>11.3251337</v>
      </c>
      <c r="AE212" s="3">
        <v>11.3253509</v>
      </c>
      <c r="AF212" s="3">
        <v>11.3253692</v>
      </c>
      <c r="AG212" s="3">
        <v>11.3256551</v>
      </c>
      <c r="AH212" s="3">
        <v>11.3256551</v>
      </c>
      <c r="AI212" s="3">
        <v>11.3256551</v>
      </c>
      <c r="AJ212" s="4">
        <f>AI212-Z212</f>
        <v>0.0009011</v>
      </c>
    </row>
    <row r="213">
      <c r="A213" s="1" t="s">
        <v>429</v>
      </c>
      <c r="B213" s="1" t="s">
        <v>430</v>
      </c>
      <c r="C213" s="1" t="s">
        <v>7</v>
      </c>
      <c r="D213" s="1" t="s">
        <v>8</v>
      </c>
      <c r="E213" s="3">
        <v>33.0262031</v>
      </c>
      <c r="F213" s="3">
        <v>32.882803</v>
      </c>
      <c r="G213" s="3">
        <v>32.7358457</v>
      </c>
      <c r="H213" s="3">
        <v>32.6693181</v>
      </c>
      <c r="I213" s="3">
        <v>32.5234491</v>
      </c>
      <c r="J213" s="3">
        <v>32.3775801</v>
      </c>
      <c r="K213" s="3">
        <v>32.2317111</v>
      </c>
      <c r="L213" s="3">
        <v>32.0858421</v>
      </c>
      <c r="M213" s="3">
        <v>31.9399732</v>
      </c>
      <c r="N213" s="3">
        <v>31.7941042</v>
      </c>
      <c r="O213" s="3">
        <v>29.2579429</v>
      </c>
      <c r="P213" s="3">
        <v>31.4937298</v>
      </c>
      <c r="Q213" s="3">
        <v>31.3392245</v>
      </c>
      <c r="R213" s="3">
        <v>31.1847191</v>
      </c>
      <c r="S213" s="3">
        <v>30.8425218</v>
      </c>
      <c r="T213" s="3">
        <v>30.6888742</v>
      </c>
      <c r="U213" s="3">
        <v>30.5353087</v>
      </c>
      <c r="V213" s="3">
        <v>30.3817767</v>
      </c>
      <c r="W213" s="3">
        <v>30.2282276</v>
      </c>
      <c r="X213" s="3">
        <v>30.0746584</v>
      </c>
      <c r="Y213" s="3">
        <v>27.6494656</v>
      </c>
      <c r="Z213" s="3">
        <v>27.7851558</v>
      </c>
      <c r="AA213" s="3">
        <v>27.6210401</v>
      </c>
      <c r="AB213" s="3">
        <v>27.4569201</v>
      </c>
      <c r="AC213" s="3">
        <v>27.2928425</v>
      </c>
      <c r="AD213" s="3">
        <v>27.128672</v>
      </c>
      <c r="AE213" s="3">
        <v>26.9604546</v>
      </c>
      <c r="AF213" s="3">
        <v>26.7956083</v>
      </c>
      <c r="AG213" s="3">
        <v>26.630866</v>
      </c>
      <c r="AH213" s="3">
        <v>26.4618416</v>
      </c>
      <c r="AI213" s="3">
        <v>26.2944794</v>
      </c>
      <c r="AJ213" s="4">
        <f t="shared" ref="AJ213:AJ220" si="8">AI213-E213</f>
        <v>-6.7317237</v>
      </c>
    </row>
    <row r="214">
      <c r="A214" s="1" t="s">
        <v>431</v>
      </c>
      <c r="B214" s="1" t="s">
        <v>432</v>
      </c>
      <c r="C214" s="1" t="s">
        <v>7</v>
      </c>
      <c r="D214" s="1" t="s">
        <v>8</v>
      </c>
      <c r="E214" s="3">
        <v>42.0370419</v>
      </c>
      <c r="F214" s="3">
        <v>41.9703121</v>
      </c>
      <c r="G214" s="3">
        <v>41.8839913</v>
      </c>
      <c r="H214" s="3">
        <v>41.7967297</v>
      </c>
      <c r="I214" s="3">
        <v>41.8249062</v>
      </c>
      <c r="J214" s="3">
        <v>41.7374031</v>
      </c>
      <c r="K214" s="3">
        <v>41.6499</v>
      </c>
      <c r="L214" s="3">
        <v>41.5623969</v>
      </c>
      <c r="M214" s="3">
        <v>41.4748937</v>
      </c>
      <c r="N214" s="3">
        <v>41.3873906</v>
      </c>
      <c r="O214" s="3">
        <v>41.2998875</v>
      </c>
      <c r="P214" s="3">
        <v>41.2181098</v>
      </c>
      <c r="Q214" s="3">
        <v>41.136332</v>
      </c>
      <c r="R214" s="3">
        <v>41.0543901</v>
      </c>
      <c r="S214" s="3">
        <v>41.0000346</v>
      </c>
      <c r="T214" s="3">
        <v>40.9180387</v>
      </c>
      <c r="U214" s="3">
        <v>40.8844521</v>
      </c>
      <c r="V214" s="3">
        <v>40.8104978</v>
      </c>
      <c r="W214" s="3">
        <v>40.7365442</v>
      </c>
      <c r="X214" s="3">
        <v>40.6627538</v>
      </c>
      <c r="Y214" s="3">
        <v>40.5889309</v>
      </c>
      <c r="Z214" s="3">
        <v>40.4971703</v>
      </c>
      <c r="AA214" s="3">
        <v>40.4054424</v>
      </c>
      <c r="AB214" s="3">
        <v>40.2963535</v>
      </c>
      <c r="AC214" s="3">
        <v>40.206627</v>
      </c>
      <c r="AD214" s="3">
        <v>40.1148706</v>
      </c>
      <c r="AE214" s="3">
        <v>40.016559</v>
      </c>
      <c r="AF214" s="3">
        <v>39.9274539</v>
      </c>
      <c r="AG214" s="3">
        <v>39.8199878</v>
      </c>
      <c r="AH214" s="3">
        <v>39.7221177</v>
      </c>
      <c r="AI214" s="3">
        <v>39.6239692</v>
      </c>
      <c r="AJ214" s="4">
        <f t="shared" si="8"/>
        <v>-2.4130727</v>
      </c>
    </row>
    <row r="215">
      <c r="A215" s="1" t="s">
        <v>433</v>
      </c>
      <c r="B215" s="1" t="s">
        <v>434</v>
      </c>
      <c r="C215" s="1" t="s">
        <v>7</v>
      </c>
      <c r="D215" s="1" t="s">
        <v>8</v>
      </c>
      <c r="E215" s="3">
        <v>61.0625</v>
      </c>
      <c r="F215" s="3">
        <v>61.0354167</v>
      </c>
      <c r="G215" s="3">
        <v>61.0083333</v>
      </c>
      <c r="H215" s="3">
        <v>60.98125</v>
      </c>
      <c r="I215" s="3">
        <v>60.9541667</v>
      </c>
      <c r="J215" s="3">
        <v>60.9270833</v>
      </c>
      <c r="K215" s="3">
        <v>60.9</v>
      </c>
      <c r="L215" s="3">
        <v>60.8729167</v>
      </c>
      <c r="M215" s="3">
        <v>60.8458333</v>
      </c>
      <c r="N215" s="3">
        <v>60.81875</v>
      </c>
      <c r="O215" s="3">
        <v>60.7916667</v>
      </c>
      <c r="P215" s="3">
        <v>60.7645833</v>
      </c>
      <c r="Q215" s="3">
        <v>60.7375</v>
      </c>
      <c r="R215" s="3">
        <v>60.7104167</v>
      </c>
      <c r="S215" s="3">
        <v>60.6833333</v>
      </c>
      <c r="T215" s="3">
        <v>60.65625</v>
      </c>
      <c r="U215" s="3">
        <v>60.6291667</v>
      </c>
      <c r="V215" s="3">
        <v>60.6020833</v>
      </c>
      <c r="W215" s="3">
        <v>60.575</v>
      </c>
      <c r="X215" s="3">
        <v>60.5479167</v>
      </c>
      <c r="Y215" s="3">
        <v>60.5208333</v>
      </c>
      <c r="Z215" s="3">
        <v>59.875</v>
      </c>
      <c r="AA215" s="3">
        <v>59.2291667</v>
      </c>
      <c r="AB215" s="3">
        <v>58.5833333</v>
      </c>
      <c r="AC215" s="3">
        <v>57.9375</v>
      </c>
      <c r="AD215" s="3">
        <v>57.2916667</v>
      </c>
      <c r="AE215" s="3">
        <v>56.6458333</v>
      </c>
      <c r="AF215" s="3">
        <v>56.0</v>
      </c>
      <c r="AG215" s="3">
        <v>55.3541667</v>
      </c>
      <c r="AH215" s="3">
        <v>54.7083333</v>
      </c>
      <c r="AI215" s="3">
        <v>54.0625</v>
      </c>
      <c r="AJ215" s="4">
        <f t="shared" si="8"/>
        <v>-7</v>
      </c>
    </row>
    <row r="216">
      <c r="A216" s="1" t="s">
        <v>435</v>
      </c>
      <c r="B216" s="1" t="s">
        <v>436</v>
      </c>
      <c r="C216" s="1" t="s">
        <v>7</v>
      </c>
      <c r="D216" s="1" t="s">
        <v>8</v>
      </c>
      <c r="E216" s="3">
        <v>98.5745513</v>
      </c>
      <c r="F216" s="3">
        <v>98.5509872</v>
      </c>
      <c r="G216" s="3">
        <v>98.5274231</v>
      </c>
      <c r="H216" s="3">
        <v>98.503859</v>
      </c>
      <c r="I216" s="3">
        <v>98.4802949</v>
      </c>
      <c r="J216" s="3">
        <v>98.4567308</v>
      </c>
      <c r="K216" s="3">
        <v>98.4331667</v>
      </c>
      <c r="L216" s="3">
        <v>98.4096026</v>
      </c>
      <c r="M216" s="3">
        <v>98.3860385</v>
      </c>
      <c r="N216" s="3">
        <v>98.3624744</v>
      </c>
      <c r="O216" s="3">
        <v>98.3389103</v>
      </c>
      <c r="P216" s="3">
        <v>98.3126218</v>
      </c>
      <c r="Q216" s="3">
        <v>98.2863333</v>
      </c>
      <c r="R216" s="3">
        <v>98.2600449</v>
      </c>
      <c r="S216" s="3">
        <v>98.2337564</v>
      </c>
      <c r="T216" s="3">
        <v>98.2074679</v>
      </c>
      <c r="U216" s="3">
        <v>98.1811795</v>
      </c>
      <c r="V216" s="3">
        <v>98.154891</v>
      </c>
      <c r="W216" s="3">
        <v>98.1286026</v>
      </c>
      <c r="X216" s="3">
        <v>98.1023141</v>
      </c>
      <c r="Y216" s="3">
        <v>98.0760256</v>
      </c>
      <c r="Z216" s="3">
        <v>98.0142436</v>
      </c>
      <c r="AA216" s="3">
        <v>97.9524615</v>
      </c>
      <c r="AB216" s="3">
        <v>97.8906795</v>
      </c>
      <c r="AC216" s="3">
        <v>97.8288974</v>
      </c>
      <c r="AD216" s="3">
        <v>97.7671154</v>
      </c>
      <c r="AE216" s="3">
        <v>97.694359</v>
      </c>
      <c r="AF216" s="3">
        <v>97.6475641</v>
      </c>
      <c r="AG216" s="3">
        <v>97.5691026</v>
      </c>
      <c r="AH216" s="3">
        <v>97.4905769</v>
      </c>
      <c r="AI216" s="3">
        <v>97.4121154</v>
      </c>
      <c r="AJ216" s="4">
        <f t="shared" si="8"/>
        <v>-1.1624359</v>
      </c>
    </row>
    <row r="217">
      <c r="A217" s="1" t="s">
        <v>437</v>
      </c>
      <c r="B217" s="1" t="s">
        <v>438</v>
      </c>
      <c r="C217" s="1" t="s">
        <v>7</v>
      </c>
      <c r="D217" s="1" t="s">
        <v>8</v>
      </c>
      <c r="E217" s="3">
        <v>39.95842</v>
      </c>
      <c r="F217" s="3">
        <v>39.95842</v>
      </c>
      <c r="G217" s="3">
        <v>39.95842</v>
      </c>
      <c r="H217" s="3">
        <v>39.5459252</v>
      </c>
      <c r="I217" s="3">
        <v>39.5437006</v>
      </c>
      <c r="J217" s="3">
        <v>39.5414761</v>
      </c>
      <c r="K217" s="3">
        <v>39.5392516</v>
      </c>
      <c r="L217" s="3">
        <v>39.537027</v>
      </c>
      <c r="M217" s="3">
        <v>39.5348025</v>
      </c>
      <c r="N217" s="3">
        <v>39.532578</v>
      </c>
      <c r="O217" s="3">
        <v>39.5303534</v>
      </c>
      <c r="P217" s="3">
        <v>39.564657</v>
      </c>
      <c r="Q217" s="3">
        <v>39.5989605</v>
      </c>
      <c r="R217" s="3">
        <v>39.625026</v>
      </c>
      <c r="S217" s="3">
        <v>39.6675676</v>
      </c>
      <c r="T217" s="3">
        <v>39.7018711</v>
      </c>
      <c r="U217" s="3">
        <v>39.7361746</v>
      </c>
      <c r="V217" s="3">
        <v>39.7704782</v>
      </c>
      <c r="W217" s="3">
        <v>39.8047817</v>
      </c>
      <c r="X217" s="3">
        <v>39.8473695</v>
      </c>
      <c r="Y217" s="3">
        <v>39.8808509</v>
      </c>
      <c r="Z217" s="3">
        <v>39.8993096</v>
      </c>
      <c r="AA217" s="3">
        <v>39.9152803</v>
      </c>
      <c r="AB217" s="3">
        <v>39.931251</v>
      </c>
      <c r="AC217" s="3">
        <v>39.9538686</v>
      </c>
      <c r="AD217" s="3">
        <v>39.9681794</v>
      </c>
      <c r="AE217" s="3">
        <v>40.0035358</v>
      </c>
      <c r="AF217" s="3">
        <v>40.0561564</v>
      </c>
      <c r="AG217" s="3">
        <v>40.0561564</v>
      </c>
      <c r="AH217" s="3">
        <v>40.0561564</v>
      </c>
      <c r="AI217" s="3">
        <v>40.0561564</v>
      </c>
      <c r="AJ217" s="4">
        <f t="shared" si="8"/>
        <v>0.0977364</v>
      </c>
    </row>
    <row r="218">
      <c r="A218" s="1" t="s">
        <v>439</v>
      </c>
      <c r="B218" s="1" t="s">
        <v>440</v>
      </c>
      <c r="C218" s="1" t="s">
        <v>7</v>
      </c>
      <c r="D218" s="1" t="s">
        <v>8</v>
      </c>
      <c r="E218" s="3">
        <v>58.9870904</v>
      </c>
      <c r="F218" s="3">
        <v>58.9870904</v>
      </c>
      <c r="G218" s="3">
        <v>59.4339623</v>
      </c>
      <c r="H218" s="3">
        <v>59.6573982</v>
      </c>
      <c r="I218" s="3">
        <v>59.8808342</v>
      </c>
      <c r="J218" s="3">
        <v>60.1042701</v>
      </c>
      <c r="K218" s="3">
        <v>60.3277061</v>
      </c>
      <c r="L218" s="3">
        <v>60.551142</v>
      </c>
      <c r="M218" s="3">
        <v>60.774578</v>
      </c>
      <c r="N218" s="3">
        <v>60.9980139</v>
      </c>
      <c r="O218" s="3">
        <v>61.2214499</v>
      </c>
      <c r="P218" s="3">
        <v>61.2909633</v>
      </c>
      <c r="Q218" s="3">
        <v>61.3604767</v>
      </c>
      <c r="R218" s="3">
        <v>61.4299901</v>
      </c>
      <c r="S218" s="3">
        <v>61.4995035</v>
      </c>
      <c r="T218" s="3">
        <v>61.5690169</v>
      </c>
      <c r="U218" s="3">
        <v>61.6385303</v>
      </c>
      <c r="V218" s="3">
        <v>61.7080437</v>
      </c>
      <c r="W218" s="3">
        <v>61.758545</v>
      </c>
      <c r="X218" s="3">
        <v>61.8292647</v>
      </c>
      <c r="Y218" s="3">
        <v>61.8975291</v>
      </c>
      <c r="Z218" s="3">
        <v>61.9080711</v>
      </c>
      <c r="AA218" s="3">
        <v>61.9189207</v>
      </c>
      <c r="AB218" s="3">
        <v>61.9463754</v>
      </c>
      <c r="AC218" s="3">
        <v>61.9563059</v>
      </c>
      <c r="AD218" s="3">
        <v>61.9582378</v>
      </c>
      <c r="AE218" s="3">
        <v>61.859299</v>
      </c>
      <c r="AF218" s="3">
        <v>61.7699783</v>
      </c>
      <c r="AG218" s="3">
        <v>61.6743807</v>
      </c>
      <c r="AH218" s="3">
        <v>61.5730717</v>
      </c>
      <c r="AI218" s="3">
        <v>61.4722592</v>
      </c>
      <c r="AJ218" s="4">
        <f t="shared" si="8"/>
        <v>2.4851688</v>
      </c>
    </row>
    <row r="219">
      <c r="A219" s="1" t="s">
        <v>441</v>
      </c>
      <c r="B219" s="1" t="s">
        <v>442</v>
      </c>
      <c r="C219" s="1" t="s">
        <v>7</v>
      </c>
      <c r="D219" s="1" t="s">
        <v>8</v>
      </c>
      <c r="E219" s="3">
        <v>68.3896281</v>
      </c>
      <c r="F219" s="3">
        <v>68.4139981</v>
      </c>
      <c r="G219" s="3">
        <v>68.4383682</v>
      </c>
      <c r="H219" s="3">
        <v>68.4627382</v>
      </c>
      <c r="I219" s="3">
        <v>68.4871083</v>
      </c>
      <c r="J219" s="3">
        <v>68.5114783</v>
      </c>
      <c r="K219" s="3">
        <v>68.5358483</v>
      </c>
      <c r="L219" s="3">
        <v>68.5602184</v>
      </c>
      <c r="M219" s="3">
        <v>68.5845884</v>
      </c>
      <c r="N219" s="3">
        <v>68.6089584</v>
      </c>
      <c r="O219" s="3">
        <v>68.6333285</v>
      </c>
      <c r="P219" s="3">
        <v>68.6113954</v>
      </c>
      <c r="Q219" s="3">
        <v>68.5894624</v>
      </c>
      <c r="R219" s="3">
        <v>68.5675294</v>
      </c>
      <c r="S219" s="3">
        <v>68.5455963</v>
      </c>
      <c r="T219" s="3">
        <v>68.5236633</v>
      </c>
      <c r="U219" s="3">
        <v>68.5017303</v>
      </c>
      <c r="V219" s="3">
        <v>68.4797972</v>
      </c>
      <c r="W219" s="3">
        <v>68.4578642</v>
      </c>
      <c r="X219" s="3">
        <v>68.4359312</v>
      </c>
      <c r="Y219" s="3">
        <v>68.4139981</v>
      </c>
      <c r="Z219" s="3">
        <v>68.3686699</v>
      </c>
      <c r="AA219" s="3">
        <v>68.8265331</v>
      </c>
      <c r="AB219" s="3">
        <v>68.780871</v>
      </c>
      <c r="AC219" s="3">
        <v>68.7402715</v>
      </c>
      <c r="AD219" s="3">
        <v>68.6946061</v>
      </c>
      <c r="AE219" s="3">
        <v>68.6946061</v>
      </c>
      <c r="AF219" s="3">
        <v>68.6946061</v>
      </c>
      <c r="AG219" s="3">
        <v>68.6946061</v>
      </c>
      <c r="AH219" s="3">
        <v>68.6946061</v>
      </c>
      <c r="AI219" s="3">
        <v>68.6946061</v>
      </c>
      <c r="AJ219" s="4">
        <f t="shared" si="8"/>
        <v>0.304978</v>
      </c>
    </row>
    <row r="220">
      <c r="A220" s="1" t="s">
        <v>443</v>
      </c>
      <c r="B220" s="1" t="s">
        <v>444</v>
      </c>
      <c r="C220" s="1" t="s">
        <v>7</v>
      </c>
      <c r="D220" s="1" t="s">
        <v>8</v>
      </c>
      <c r="E220" s="3">
        <v>26.8104651</v>
      </c>
      <c r="F220" s="3">
        <v>26.8810465</v>
      </c>
      <c r="G220" s="3">
        <v>26.9516279</v>
      </c>
      <c r="H220" s="3">
        <v>27.0222093</v>
      </c>
      <c r="I220" s="3">
        <v>27.0927907</v>
      </c>
      <c r="J220" s="3">
        <v>27.1633721</v>
      </c>
      <c r="K220" s="3">
        <v>27.2339535</v>
      </c>
      <c r="L220" s="3">
        <v>27.3045349</v>
      </c>
      <c r="M220" s="3">
        <v>27.3751163</v>
      </c>
      <c r="N220" s="3">
        <v>27.4456977</v>
      </c>
      <c r="O220" s="3">
        <v>27.5162791</v>
      </c>
      <c r="P220" s="3">
        <v>27.5869186</v>
      </c>
      <c r="Q220" s="3">
        <v>27.6575581</v>
      </c>
      <c r="R220" s="3">
        <v>27.7281977</v>
      </c>
      <c r="S220" s="3">
        <v>27.7988372</v>
      </c>
      <c r="T220" s="3">
        <v>27.8694767</v>
      </c>
      <c r="U220" s="3">
        <v>27.9401163</v>
      </c>
      <c r="V220" s="3">
        <v>28.0107558</v>
      </c>
      <c r="W220" s="3">
        <v>28.0813953</v>
      </c>
      <c r="X220" s="3">
        <v>28.1520349</v>
      </c>
      <c r="Y220" s="3">
        <v>28.2226744</v>
      </c>
      <c r="Z220" s="3">
        <v>28.2932558</v>
      </c>
      <c r="AA220" s="3">
        <v>28.3638372</v>
      </c>
      <c r="AB220" s="3">
        <v>28.4344186</v>
      </c>
      <c r="AC220" s="3">
        <v>28.505</v>
      </c>
      <c r="AD220" s="3">
        <v>28.5755814</v>
      </c>
      <c r="AE220" s="3">
        <v>28.6465116</v>
      </c>
      <c r="AF220" s="3">
        <v>28.7168605</v>
      </c>
      <c r="AG220" s="3">
        <v>28.7872093</v>
      </c>
      <c r="AH220" s="3">
        <v>28.8575581</v>
      </c>
      <c r="AI220" s="3">
        <v>28.927907</v>
      </c>
      <c r="AJ220" s="4">
        <f t="shared" si="8"/>
        <v>2.1174419</v>
      </c>
    </row>
    <row r="221">
      <c r="A221" s="1" t="s">
        <v>445</v>
      </c>
      <c r="B221" s="1" t="s">
        <v>446</v>
      </c>
      <c r="C221" s="1" t="s">
        <v>7</v>
      </c>
      <c r="D221" s="1" t="s">
        <v>8</v>
      </c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3">
        <v>10.8823529</v>
      </c>
      <c r="P221" s="5"/>
      <c r="Q221" s="5"/>
      <c r="R221" s="5"/>
      <c r="S221" s="5"/>
      <c r="T221" s="5"/>
      <c r="U221" s="5"/>
      <c r="V221" s="5"/>
      <c r="W221" s="5"/>
      <c r="X221" s="5"/>
      <c r="Y221" s="3">
        <v>10.8823529</v>
      </c>
      <c r="Z221" s="3">
        <v>10.8823529</v>
      </c>
      <c r="AA221" s="3">
        <v>10.8823529</v>
      </c>
      <c r="AB221" s="3">
        <v>10.8823529</v>
      </c>
      <c r="AC221" s="3">
        <v>10.8823529</v>
      </c>
      <c r="AD221" s="3">
        <v>10.8823529</v>
      </c>
      <c r="AE221" s="3">
        <v>10.8823529</v>
      </c>
      <c r="AF221" s="3">
        <v>10.8823529</v>
      </c>
      <c r="AG221" s="3">
        <v>10.8823529</v>
      </c>
      <c r="AH221" s="3">
        <v>10.8823529</v>
      </c>
      <c r="AI221" s="3">
        <v>10.8823529</v>
      </c>
      <c r="AJ221" s="4">
        <f>AI221-Y221</f>
        <v>0</v>
      </c>
    </row>
    <row r="222">
      <c r="A222" s="1" t="s">
        <v>447</v>
      </c>
      <c r="B222" s="1" t="s">
        <v>448</v>
      </c>
      <c r="C222" s="1" t="s">
        <v>7</v>
      </c>
      <c r="D222" s="1" t="s">
        <v>8</v>
      </c>
      <c r="E222" s="3">
        <v>73.2608696</v>
      </c>
      <c r="F222" s="3">
        <v>73.2608696</v>
      </c>
      <c r="G222" s="3">
        <v>73.2608696</v>
      </c>
      <c r="H222" s="3">
        <v>73.2608696</v>
      </c>
      <c r="I222" s="3">
        <v>73.2608696</v>
      </c>
      <c r="J222" s="3">
        <v>73.2608696</v>
      </c>
      <c r="K222" s="3">
        <v>73.2608696</v>
      </c>
      <c r="L222" s="3">
        <v>73.2608696</v>
      </c>
      <c r="M222" s="3">
        <v>73.2608696</v>
      </c>
      <c r="N222" s="3">
        <v>73.2608696</v>
      </c>
      <c r="O222" s="3">
        <v>73.2608696</v>
      </c>
      <c r="P222" s="3">
        <v>73.2608696</v>
      </c>
      <c r="Q222" s="3">
        <v>73.2608696</v>
      </c>
      <c r="R222" s="3">
        <v>73.2608696</v>
      </c>
      <c r="S222" s="3">
        <v>73.2608696</v>
      </c>
      <c r="T222" s="3">
        <v>73.2608696</v>
      </c>
      <c r="U222" s="3">
        <v>73.2608696</v>
      </c>
      <c r="V222" s="3">
        <v>73.2608696</v>
      </c>
      <c r="W222" s="3">
        <v>73.2608696</v>
      </c>
      <c r="X222" s="3">
        <v>73.2608696</v>
      </c>
      <c r="Y222" s="3">
        <v>73.2608696</v>
      </c>
      <c r="Z222" s="3">
        <v>73.2608696</v>
      </c>
      <c r="AA222" s="3">
        <v>73.2608696</v>
      </c>
      <c r="AB222" s="3">
        <v>73.2608696</v>
      </c>
      <c r="AC222" s="3">
        <v>73.2608696</v>
      </c>
      <c r="AD222" s="3">
        <v>73.2608696</v>
      </c>
      <c r="AE222" s="3">
        <v>73.2608696</v>
      </c>
      <c r="AF222" s="3">
        <v>73.2608696</v>
      </c>
      <c r="AG222" s="3">
        <v>73.2608696</v>
      </c>
      <c r="AH222" s="3">
        <v>73.2608696</v>
      </c>
      <c r="AI222" s="3">
        <v>73.2608696</v>
      </c>
      <c r="AJ222" s="4">
        <f t="shared" ref="AJ222:AJ260" si="9">AI222-E222</f>
        <v>0</v>
      </c>
    </row>
    <row r="223">
      <c r="A223" s="1" t="s">
        <v>449</v>
      </c>
      <c r="B223" s="1" t="s">
        <v>450</v>
      </c>
      <c r="C223" s="1" t="s">
        <v>7</v>
      </c>
      <c r="D223" s="1" t="s">
        <v>8</v>
      </c>
      <c r="E223" s="3">
        <v>2.02459462</v>
      </c>
      <c r="F223" s="3">
        <v>2.05724235</v>
      </c>
      <c r="G223" s="3">
        <v>2.08989009</v>
      </c>
      <c r="H223" s="3">
        <v>2.12253782</v>
      </c>
      <c r="I223" s="3">
        <v>2.15518555</v>
      </c>
      <c r="J223" s="3">
        <v>2.18783328</v>
      </c>
      <c r="K223" s="3">
        <v>2.22048101</v>
      </c>
      <c r="L223" s="3">
        <v>2.25312874</v>
      </c>
      <c r="M223" s="3">
        <v>2.28577647</v>
      </c>
      <c r="N223" s="3">
        <v>2.3184242</v>
      </c>
      <c r="O223" s="3">
        <v>2.35107193</v>
      </c>
      <c r="P223" s="3">
        <v>2.38371966</v>
      </c>
      <c r="Q223" s="3">
        <v>2.4163674</v>
      </c>
      <c r="R223" s="3">
        <v>2.45154965</v>
      </c>
      <c r="S223" s="3">
        <v>2.48450182</v>
      </c>
      <c r="T223" s="3">
        <v>2.5171869</v>
      </c>
      <c r="U223" s="3">
        <v>2.54903883</v>
      </c>
      <c r="V223" s="3">
        <v>2.58157264</v>
      </c>
      <c r="W223" s="3">
        <v>2.61424526</v>
      </c>
      <c r="X223" s="3">
        <v>2.64691788</v>
      </c>
      <c r="Y223" s="3">
        <v>2.67973643</v>
      </c>
      <c r="Z223" s="3">
        <v>2.71241083</v>
      </c>
      <c r="AA223" s="3">
        <v>2.74508523</v>
      </c>
      <c r="AB223" s="3">
        <v>2.77775963</v>
      </c>
      <c r="AC223" s="3">
        <v>2.81043402</v>
      </c>
      <c r="AD223" s="3">
        <v>2.84310842</v>
      </c>
      <c r="AE223" s="3">
        <v>2.84310842</v>
      </c>
      <c r="AF223" s="3">
        <v>2.84310842</v>
      </c>
      <c r="AG223" s="3">
        <v>2.84310842</v>
      </c>
      <c r="AH223" s="3">
        <v>2.84310842</v>
      </c>
      <c r="AI223" s="3">
        <v>2.84310842</v>
      </c>
      <c r="AJ223" s="4">
        <f t="shared" si="9"/>
        <v>0.8185138</v>
      </c>
    </row>
    <row r="224">
      <c r="A224" s="1" t="s">
        <v>451</v>
      </c>
      <c r="B224" s="1" t="s">
        <v>452</v>
      </c>
      <c r="C224" s="1" t="s">
        <v>7</v>
      </c>
      <c r="D224" s="1" t="s">
        <v>8</v>
      </c>
      <c r="E224" s="3">
        <v>11.0736842</v>
      </c>
      <c r="F224" s="3">
        <v>11.0736842</v>
      </c>
      <c r="G224" s="3">
        <v>11.0736842</v>
      </c>
      <c r="H224" s="3">
        <v>11.0736842</v>
      </c>
      <c r="I224" s="3">
        <v>11.0736842</v>
      </c>
      <c r="J224" s="3">
        <v>11.0736842</v>
      </c>
      <c r="K224" s="3">
        <v>11.0736842</v>
      </c>
      <c r="L224" s="3">
        <v>11.0736842</v>
      </c>
      <c r="M224" s="3">
        <v>11.0736842</v>
      </c>
      <c r="N224" s="3">
        <v>11.0736842</v>
      </c>
      <c r="O224" s="3">
        <v>11.0736842</v>
      </c>
      <c r="P224" s="3">
        <v>11.0736842</v>
      </c>
      <c r="Q224" s="3">
        <v>11.0736842</v>
      </c>
      <c r="R224" s="3">
        <v>11.0736842</v>
      </c>
      <c r="S224" s="3">
        <v>11.0736842</v>
      </c>
      <c r="T224" s="3">
        <v>11.0736842</v>
      </c>
      <c r="U224" s="3">
        <v>11.0736842</v>
      </c>
      <c r="V224" s="3">
        <v>11.0736842</v>
      </c>
      <c r="W224" s="3">
        <v>11.0736842</v>
      </c>
      <c r="X224" s="3">
        <v>11.0736842</v>
      </c>
      <c r="Y224" s="3">
        <v>11.0736842</v>
      </c>
      <c r="Z224" s="3">
        <v>11.0736842</v>
      </c>
      <c r="AA224" s="3">
        <v>11.0736842</v>
      </c>
      <c r="AB224" s="3">
        <v>11.0736842</v>
      </c>
      <c r="AC224" s="3">
        <v>11.0736842</v>
      </c>
      <c r="AD224" s="3">
        <v>11.0736842</v>
      </c>
      <c r="AE224" s="3">
        <v>11.0736842</v>
      </c>
      <c r="AF224" s="3">
        <v>11.0736842</v>
      </c>
      <c r="AG224" s="3">
        <v>11.0736842</v>
      </c>
      <c r="AH224" s="3">
        <v>11.0736842</v>
      </c>
      <c r="AI224" s="3">
        <v>11.0736842</v>
      </c>
      <c r="AJ224" s="4">
        <f t="shared" si="9"/>
        <v>0</v>
      </c>
    </row>
    <row r="225">
      <c r="A225" s="1" t="s">
        <v>453</v>
      </c>
      <c r="B225" s="1" t="s">
        <v>454</v>
      </c>
      <c r="C225" s="1" t="s">
        <v>7</v>
      </c>
      <c r="D225" s="1" t="s">
        <v>8</v>
      </c>
      <c r="E225" s="3">
        <v>5.34466328</v>
      </c>
      <c r="F225" s="3">
        <v>5.31472363</v>
      </c>
      <c r="G225" s="3">
        <v>5.28478399</v>
      </c>
      <c r="H225" s="3">
        <v>5.25484435</v>
      </c>
      <c r="I225" s="3">
        <v>5.2249047</v>
      </c>
      <c r="J225" s="3">
        <v>5.19496506</v>
      </c>
      <c r="K225" s="3">
        <v>5.16502541</v>
      </c>
      <c r="L225" s="3">
        <v>5.13508577</v>
      </c>
      <c r="M225" s="3">
        <v>5.10514612</v>
      </c>
      <c r="N225" s="3">
        <v>5.07520648</v>
      </c>
      <c r="O225" s="3">
        <v>5.04526684</v>
      </c>
      <c r="P225" s="3">
        <v>4.97990788</v>
      </c>
      <c r="Q225" s="3">
        <v>4.91454892</v>
      </c>
      <c r="R225" s="3">
        <v>4.84918996</v>
      </c>
      <c r="S225" s="3">
        <v>4.783831</v>
      </c>
      <c r="T225" s="3">
        <v>4.71847205</v>
      </c>
      <c r="U225" s="3">
        <v>4.65311309</v>
      </c>
      <c r="V225" s="3">
        <v>4.58775413</v>
      </c>
      <c r="W225" s="3">
        <v>4.52239517</v>
      </c>
      <c r="X225" s="3">
        <v>4.45703621</v>
      </c>
      <c r="Y225" s="3">
        <v>4.39167726</v>
      </c>
      <c r="Z225" s="3">
        <v>4.29002541</v>
      </c>
      <c r="AA225" s="3">
        <v>4.18837357</v>
      </c>
      <c r="AB225" s="3">
        <v>4.08672173</v>
      </c>
      <c r="AC225" s="3">
        <v>3.98506989</v>
      </c>
      <c r="AD225" s="3">
        <v>3.88341804</v>
      </c>
      <c r="AE225" s="3">
        <v>3.78732529</v>
      </c>
      <c r="AF225" s="3">
        <v>3.69361499</v>
      </c>
      <c r="AG225" s="3">
        <v>3.60149301</v>
      </c>
      <c r="AH225" s="3">
        <v>3.51175349</v>
      </c>
      <c r="AI225" s="3">
        <v>3.4251906</v>
      </c>
      <c r="AJ225" s="4">
        <f t="shared" si="9"/>
        <v>-1.91947268</v>
      </c>
    </row>
    <row r="226">
      <c r="A226" s="1" t="s">
        <v>455</v>
      </c>
      <c r="B226" s="1" t="s">
        <v>456</v>
      </c>
      <c r="C226" s="1" t="s">
        <v>7</v>
      </c>
      <c r="D226" s="1" t="s">
        <v>8</v>
      </c>
      <c r="E226" s="3">
        <v>28.8251061</v>
      </c>
      <c r="F226" s="3">
        <v>28.8175888</v>
      </c>
      <c r="G226" s="3">
        <v>28.8054958</v>
      </c>
      <c r="H226" s="3">
        <v>28.7934029</v>
      </c>
      <c r="I226" s="3">
        <v>28.7813099</v>
      </c>
      <c r="J226" s="3">
        <v>28.7691262</v>
      </c>
      <c r="K226" s="3">
        <v>28.7570514</v>
      </c>
      <c r="L226" s="3">
        <v>28.7449584</v>
      </c>
      <c r="M226" s="3">
        <v>28.7328655</v>
      </c>
      <c r="N226" s="3">
        <v>28.7207726</v>
      </c>
      <c r="O226" s="3">
        <v>28.7348653</v>
      </c>
      <c r="P226" s="3">
        <v>28.8561786</v>
      </c>
      <c r="Q226" s="3">
        <v>28.9785351</v>
      </c>
      <c r="R226" s="3">
        <v>29.1007906</v>
      </c>
      <c r="S226" s="3">
        <v>29.2223866</v>
      </c>
      <c r="T226" s="3">
        <v>29.3438759</v>
      </c>
      <c r="U226" s="3">
        <v>29.4650481</v>
      </c>
      <c r="V226" s="3">
        <v>29.586331</v>
      </c>
      <c r="W226" s="3">
        <v>29.7081012</v>
      </c>
      <c r="X226" s="3">
        <v>29.8294968</v>
      </c>
      <c r="Y226" s="3">
        <v>29.9509498</v>
      </c>
      <c r="Z226" s="3">
        <v>29.9875664</v>
      </c>
      <c r="AA226" s="3">
        <v>30.0245057</v>
      </c>
      <c r="AB226" s="3">
        <v>30.0613119</v>
      </c>
      <c r="AC226" s="3">
        <v>30.0979861</v>
      </c>
      <c r="AD226" s="3">
        <v>30.127627</v>
      </c>
      <c r="AE226" s="3">
        <v>30.1319307</v>
      </c>
      <c r="AF226" s="3">
        <v>30.1346178</v>
      </c>
      <c r="AG226" s="3">
        <v>30.184178</v>
      </c>
      <c r="AH226" s="3">
        <v>30.2337978</v>
      </c>
      <c r="AI226" s="3">
        <v>30.2833803</v>
      </c>
      <c r="AJ226" s="4">
        <f t="shared" si="9"/>
        <v>1.4582742</v>
      </c>
    </row>
    <row r="227">
      <c r="A227" s="1" t="s">
        <v>457</v>
      </c>
      <c r="B227" s="1" t="s">
        <v>458</v>
      </c>
      <c r="C227" s="1" t="s">
        <v>7</v>
      </c>
      <c r="D227" s="1" t="s">
        <v>8</v>
      </c>
      <c r="E227" s="3">
        <v>38.6836381</v>
      </c>
      <c r="F227" s="3">
        <v>38.6901315</v>
      </c>
      <c r="G227" s="3">
        <v>38.6863817</v>
      </c>
      <c r="H227" s="3">
        <v>38.7017981</v>
      </c>
      <c r="I227" s="3">
        <v>38.7191063</v>
      </c>
      <c r="J227" s="3">
        <v>38.7333369</v>
      </c>
      <c r="K227" s="3">
        <v>38.7430855</v>
      </c>
      <c r="L227" s="3">
        <v>38.7511312</v>
      </c>
      <c r="M227" s="3">
        <v>38.7561152</v>
      </c>
      <c r="N227" s="3">
        <v>38.7538174</v>
      </c>
      <c r="O227" s="3">
        <v>38.7744373</v>
      </c>
      <c r="P227" s="3">
        <v>38.8137155</v>
      </c>
      <c r="Q227" s="3">
        <v>38.8527654</v>
      </c>
      <c r="R227" s="3">
        <v>38.8897206</v>
      </c>
      <c r="S227" s="3">
        <v>38.9260387</v>
      </c>
      <c r="T227" s="3">
        <v>38.9629692</v>
      </c>
      <c r="U227" s="3">
        <v>39.0173752</v>
      </c>
      <c r="V227" s="3">
        <v>39.0570113</v>
      </c>
      <c r="W227" s="3">
        <v>39.0975743</v>
      </c>
      <c r="X227" s="3">
        <v>39.1366294</v>
      </c>
      <c r="Y227" s="3">
        <v>39.1755668</v>
      </c>
      <c r="Z227" s="3">
        <v>39.1898016</v>
      </c>
      <c r="AA227" s="3">
        <v>39.2044322</v>
      </c>
      <c r="AB227" s="3">
        <v>39.2187744</v>
      </c>
      <c r="AC227" s="3">
        <v>39.2339603</v>
      </c>
      <c r="AD227" s="3">
        <v>39.2223851</v>
      </c>
      <c r="AE227" s="3">
        <v>39.2411032</v>
      </c>
      <c r="AF227" s="3">
        <v>39.2605836</v>
      </c>
      <c r="AG227" s="3">
        <v>39.2731411</v>
      </c>
      <c r="AH227" s="3">
        <v>39.2857493</v>
      </c>
      <c r="AI227" s="3">
        <v>39.2983669</v>
      </c>
      <c r="AJ227" s="4">
        <f t="shared" si="9"/>
        <v>0.6147288</v>
      </c>
    </row>
    <row r="228">
      <c r="A228" s="1" t="s">
        <v>459</v>
      </c>
      <c r="B228" s="1" t="s">
        <v>460</v>
      </c>
      <c r="C228" s="1" t="s">
        <v>7</v>
      </c>
      <c r="D228" s="1" t="s">
        <v>8</v>
      </c>
      <c r="E228" s="3">
        <v>25.0351167</v>
      </c>
      <c r="F228" s="3">
        <v>24.8637691</v>
      </c>
      <c r="G228" s="3">
        <v>24.6924214</v>
      </c>
      <c r="H228" s="3">
        <v>24.5210737</v>
      </c>
      <c r="I228" s="3">
        <v>24.3497261</v>
      </c>
      <c r="J228" s="3">
        <v>24.1783784</v>
      </c>
      <c r="K228" s="3">
        <v>24.0070307</v>
      </c>
      <c r="L228" s="3">
        <v>23.835683</v>
      </c>
      <c r="M228" s="3">
        <v>23.6643354</v>
      </c>
      <c r="N228" s="3">
        <v>23.4929877</v>
      </c>
      <c r="O228" s="3">
        <v>23.32164</v>
      </c>
      <c r="P228" s="3">
        <v>23.2672293</v>
      </c>
      <c r="Q228" s="3">
        <v>23.2128185</v>
      </c>
      <c r="R228" s="3">
        <v>23.1584078</v>
      </c>
      <c r="S228" s="3">
        <v>23.1039971</v>
      </c>
      <c r="T228" s="3">
        <v>23.0495863</v>
      </c>
      <c r="U228" s="3">
        <v>22.9951756</v>
      </c>
      <c r="V228" s="3">
        <v>22.9407648</v>
      </c>
      <c r="W228" s="3">
        <v>22.8863541</v>
      </c>
      <c r="X228" s="3">
        <v>22.8319434</v>
      </c>
      <c r="Y228" s="3">
        <v>22.7775326</v>
      </c>
      <c r="Z228" s="3">
        <v>22.7231109</v>
      </c>
      <c r="AA228" s="3">
        <v>22.6686891</v>
      </c>
      <c r="AB228" s="3">
        <v>22.6142673</v>
      </c>
      <c r="AC228" s="3">
        <v>22.5598456</v>
      </c>
      <c r="AD228" s="3">
        <v>22.5054238</v>
      </c>
      <c r="AE228" s="3">
        <v>22.451002</v>
      </c>
      <c r="AF228" s="3">
        <v>22.3965803</v>
      </c>
      <c r="AG228" s="3">
        <v>22.3421585</v>
      </c>
      <c r="AH228" s="3">
        <v>22.2877367</v>
      </c>
      <c r="AI228" s="3">
        <v>22.2333149</v>
      </c>
      <c r="AJ228" s="4">
        <f t="shared" si="9"/>
        <v>-2.8018018</v>
      </c>
    </row>
    <row r="229">
      <c r="A229" s="1" t="s">
        <v>461</v>
      </c>
      <c r="B229" s="1" t="s">
        <v>462</v>
      </c>
      <c r="C229" s="1" t="s">
        <v>7</v>
      </c>
      <c r="D229" s="1" t="s">
        <v>8</v>
      </c>
      <c r="E229" s="3">
        <v>37.8966118</v>
      </c>
      <c r="F229" s="3">
        <v>37.8255593</v>
      </c>
      <c r="G229" s="3">
        <v>37.7545068</v>
      </c>
      <c r="H229" s="3">
        <v>37.6834544</v>
      </c>
      <c r="I229" s="3">
        <v>37.6124019</v>
      </c>
      <c r="J229" s="3">
        <v>37.5413494</v>
      </c>
      <c r="K229" s="3">
        <v>37.4702969</v>
      </c>
      <c r="L229" s="3">
        <v>37.3992445</v>
      </c>
      <c r="M229" s="3">
        <v>37.328192</v>
      </c>
      <c r="N229" s="3">
        <v>37.2571395</v>
      </c>
      <c r="O229" s="3">
        <v>37.186087</v>
      </c>
      <c r="P229" s="3">
        <v>37.3965041</v>
      </c>
      <c r="Q229" s="3">
        <v>37.6069213</v>
      </c>
      <c r="R229" s="3">
        <v>37.8173384</v>
      </c>
      <c r="S229" s="3">
        <v>38.0277555</v>
      </c>
      <c r="T229" s="3">
        <v>38.2381726</v>
      </c>
      <c r="U229" s="3">
        <v>38.4485897</v>
      </c>
      <c r="V229" s="3">
        <v>38.6590068</v>
      </c>
      <c r="W229" s="3">
        <v>38.8694239</v>
      </c>
      <c r="X229" s="3">
        <v>39.0798411</v>
      </c>
      <c r="Y229" s="3">
        <v>39.2902582</v>
      </c>
      <c r="Z229" s="3">
        <v>39.2855605</v>
      </c>
      <c r="AA229" s="3">
        <v>39.2808628</v>
      </c>
      <c r="AB229" s="3">
        <v>39.2761651</v>
      </c>
      <c r="AC229" s="3">
        <v>39.2714674</v>
      </c>
      <c r="AD229" s="3">
        <v>39.2667698</v>
      </c>
      <c r="AE229" s="3">
        <v>39.1806455</v>
      </c>
      <c r="AF229" s="3">
        <v>39.1101803</v>
      </c>
      <c r="AG229" s="3">
        <v>39.039715</v>
      </c>
      <c r="AH229" s="3">
        <v>38.9692497</v>
      </c>
      <c r="AI229" s="3">
        <v>38.8987845</v>
      </c>
      <c r="AJ229" s="4">
        <f t="shared" si="9"/>
        <v>1.0021727</v>
      </c>
    </row>
    <row r="230">
      <c r="A230" s="1" t="s">
        <v>463</v>
      </c>
      <c r="B230" s="1" t="s">
        <v>464</v>
      </c>
      <c r="C230" s="1" t="s">
        <v>7</v>
      </c>
      <c r="D230" s="1" t="s">
        <v>8</v>
      </c>
      <c r="E230" s="3">
        <v>2.91511861</v>
      </c>
      <c r="F230" s="3">
        <v>2.91511861</v>
      </c>
      <c r="G230" s="3">
        <v>2.91797656</v>
      </c>
      <c r="H230" s="3">
        <v>2.91940554</v>
      </c>
      <c r="I230" s="3">
        <v>2.92083452</v>
      </c>
      <c r="J230" s="3">
        <v>2.9222635</v>
      </c>
      <c r="K230" s="3">
        <v>2.92369248</v>
      </c>
      <c r="L230" s="3">
        <v>2.92512146</v>
      </c>
      <c r="M230" s="3">
        <v>2.92655044</v>
      </c>
      <c r="N230" s="3">
        <v>2.92797942</v>
      </c>
      <c r="O230" s="3">
        <v>2.9294084</v>
      </c>
      <c r="P230" s="3">
        <v>2.9294084</v>
      </c>
      <c r="Q230" s="3">
        <v>2.9294084</v>
      </c>
      <c r="R230" s="3">
        <v>2.9294084</v>
      </c>
      <c r="S230" s="3">
        <v>2.9294084</v>
      </c>
      <c r="T230" s="3">
        <v>2.9294084</v>
      </c>
      <c r="U230" s="3">
        <v>2.9294084</v>
      </c>
      <c r="V230" s="3">
        <v>2.9294084</v>
      </c>
      <c r="W230" s="3">
        <v>2.9294084</v>
      </c>
      <c r="X230" s="3">
        <v>2.9294084</v>
      </c>
      <c r="Y230" s="3">
        <v>2.9294084</v>
      </c>
      <c r="Z230" s="3">
        <v>2.94627036</v>
      </c>
      <c r="AA230" s="3">
        <v>2.96313232</v>
      </c>
      <c r="AB230" s="3">
        <v>2.97999428</v>
      </c>
      <c r="AC230" s="3">
        <v>3.02220685</v>
      </c>
      <c r="AD230" s="3">
        <v>3.03912386</v>
      </c>
      <c r="AE230" s="3">
        <v>3.03912386</v>
      </c>
      <c r="AF230" s="3">
        <v>3.03912386</v>
      </c>
      <c r="AG230" s="3">
        <v>3.03912386</v>
      </c>
      <c r="AH230" s="3">
        <v>3.04632899</v>
      </c>
      <c r="AI230" s="3">
        <v>3.05353412</v>
      </c>
      <c r="AJ230" s="4">
        <f t="shared" si="9"/>
        <v>0.13841551</v>
      </c>
    </row>
    <row r="231">
      <c r="A231" s="1" t="s">
        <v>465</v>
      </c>
      <c r="B231" s="1" t="s">
        <v>466</v>
      </c>
      <c r="C231" s="1" t="s">
        <v>7</v>
      </c>
      <c r="D231" s="1" t="s">
        <v>8</v>
      </c>
      <c r="E231" s="3">
        <v>8.78215904</v>
      </c>
      <c r="F231" s="3">
        <v>8.78215904</v>
      </c>
      <c r="G231" s="3">
        <v>8.78215904</v>
      </c>
      <c r="H231" s="3">
        <v>8.78215904</v>
      </c>
      <c r="I231" s="3">
        <v>8.78215904</v>
      </c>
      <c r="J231" s="3">
        <v>8.78215904</v>
      </c>
      <c r="K231" s="3">
        <v>8.78215904</v>
      </c>
      <c r="L231" s="3">
        <v>8.78215904</v>
      </c>
      <c r="M231" s="3">
        <v>8.78215904</v>
      </c>
      <c r="N231" s="3">
        <v>8.78215904</v>
      </c>
      <c r="O231" s="3">
        <v>8.78215904</v>
      </c>
      <c r="P231" s="3">
        <v>8.78215904</v>
      </c>
      <c r="Q231" s="3">
        <v>8.78215904</v>
      </c>
      <c r="R231" s="3">
        <v>8.78215904</v>
      </c>
      <c r="S231" s="3">
        <v>8.78215904</v>
      </c>
      <c r="T231" s="3">
        <v>8.78215904</v>
      </c>
      <c r="U231" s="3">
        <v>8.78215904</v>
      </c>
      <c r="V231" s="3">
        <v>8.78215904</v>
      </c>
      <c r="W231" s="3">
        <v>8.78215904</v>
      </c>
      <c r="X231" s="3">
        <v>8.78215904</v>
      </c>
      <c r="Y231" s="3">
        <v>8.78215904</v>
      </c>
      <c r="Z231" s="3">
        <v>8.78215904</v>
      </c>
      <c r="AA231" s="3">
        <v>8.78215904</v>
      </c>
      <c r="AB231" s="3">
        <v>8.78215904</v>
      </c>
      <c r="AC231" s="3">
        <v>8.78215904</v>
      </c>
      <c r="AD231" s="3">
        <v>8.78215904</v>
      </c>
      <c r="AE231" s="3">
        <v>8.78215904</v>
      </c>
      <c r="AF231" s="3">
        <v>8.78215904</v>
      </c>
      <c r="AG231" s="3">
        <v>8.78215904</v>
      </c>
      <c r="AH231" s="3">
        <v>8.78215904</v>
      </c>
      <c r="AI231" s="3">
        <v>8.78215904</v>
      </c>
      <c r="AJ231" s="4">
        <f t="shared" si="9"/>
        <v>0</v>
      </c>
    </row>
    <row r="232">
      <c r="A232" s="1" t="s">
        <v>467</v>
      </c>
      <c r="B232" s="1" t="s">
        <v>468</v>
      </c>
      <c r="C232" s="1" t="s">
        <v>7</v>
      </c>
      <c r="D232" s="1" t="s">
        <v>8</v>
      </c>
      <c r="E232" s="3">
        <v>53.5055685</v>
      </c>
      <c r="F232" s="3">
        <v>53.2297632</v>
      </c>
      <c r="G232" s="3">
        <v>52.9539579</v>
      </c>
      <c r="H232" s="3">
        <v>52.6781526</v>
      </c>
      <c r="I232" s="3">
        <v>52.4023474</v>
      </c>
      <c r="J232" s="3">
        <v>52.1265421</v>
      </c>
      <c r="K232" s="3">
        <v>51.8507368</v>
      </c>
      <c r="L232" s="3">
        <v>51.5749315</v>
      </c>
      <c r="M232" s="3">
        <v>51.372493</v>
      </c>
      <c r="N232" s="3">
        <v>51.0962932</v>
      </c>
      <c r="O232" s="3">
        <v>50.8200935</v>
      </c>
      <c r="P232" s="3">
        <v>50.5395384</v>
      </c>
      <c r="Q232" s="3">
        <v>50.2589834</v>
      </c>
      <c r="R232" s="3">
        <v>49.9784283</v>
      </c>
      <c r="S232" s="3">
        <v>49.6978733</v>
      </c>
      <c r="T232" s="3">
        <v>49.4173182</v>
      </c>
      <c r="U232" s="3">
        <v>49.1367632</v>
      </c>
      <c r="V232" s="3">
        <v>48.8562081</v>
      </c>
      <c r="W232" s="3">
        <v>48.5756531</v>
      </c>
      <c r="X232" s="3">
        <v>48.2950981</v>
      </c>
      <c r="Y232" s="3">
        <v>48.014543</v>
      </c>
      <c r="Z232" s="3">
        <v>47.8667478</v>
      </c>
      <c r="AA232" s="3">
        <v>47.7189525</v>
      </c>
      <c r="AB232" s="3">
        <v>47.5711573</v>
      </c>
      <c r="AC232" s="3">
        <v>47.423886</v>
      </c>
      <c r="AD232" s="3">
        <v>47.2760891</v>
      </c>
      <c r="AE232" s="3">
        <v>47.1240027</v>
      </c>
      <c r="AF232" s="3">
        <v>46.9501198</v>
      </c>
      <c r="AG232" s="3">
        <v>46.833512</v>
      </c>
      <c r="AH232" s="3">
        <v>46.707766</v>
      </c>
      <c r="AI232" s="3">
        <v>46.588053</v>
      </c>
      <c r="AJ232" s="4">
        <f t="shared" si="9"/>
        <v>-6.9175155</v>
      </c>
    </row>
    <row r="233">
      <c r="A233" s="1" t="s">
        <v>469</v>
      </c>
      <c r="B233" s="1" t="s">
        <v>470</v>
      </c>
      <c r="C233" s="1" t="s">
        <v>7</v>
      </c>
      <c r="D233" s="1" t="s">
        <v>8</v>
      </c>
      <c r="E233" s="3">
        <v>64.7679892</v>
      </c>
      <c r="F233" s="3">
        <v>64.6738399</v>
      </c>
      <c r="G233" s="3">
        <v>64.5796907</v>
      </c>
      <c r="H233" s="3">
        <v>64.4855414</v>
      </c>
      <c r="I233" s="3">
        <v>64.3913921</v>
      </c>
      <c r="J233" s="3">
        <v>64.2972428</v>
      </c>
      <c r="K233" s="3">
        <v>64.2030935</v>
      </c>
      <c r="L233" s="3">
        <v>64.1089442</v>
      </c>
      <c r="M233" s="3">
        <v>64.0147949</v>
      </c>
      <c r="N233" s="3">
        <v>63.9206456</v>
      </c>
      <c r="O233" s="3">
        <v>63.8264963</v>
      </c>
      <c r="P233" s="3">
        <v>63.732347</v>
      </c>
      <c r="Q233" s="3">
        <v>63.6381977</v>
      </c>
      <c r="R233" s="3">
        <v>63.5440484</v>
      </c>
      <c r="S233" s="3">
        <v>63.4498991</v>
      </c>
      <c r="T233" s="3">
        <v>63.3557498</v>
      </c>
      <c r="U233" s="3">
        <v>63.2616005</v>
      </c>
      <c r="V233" s="3">
        <v>63.1674512</v>
      </c>
      <c r="W233" s="3">
        <v>63.073302</v>
      </c>
      <c r="X233" s="3">
        <v>62.9791527</v>
      </c>
      <c r="Y233" s="3">
        <v>62.8850034</v>
      </c>
      <c r="Z233" s="3">
        <v>62.7908541</v>
      </c>
      <c r="AA233" s="3">
        <v>62.6967048</v>
      </c>
      <c r="AB233" s="3">
        <v>62.6025555</v>
      </c>
      <c r="AC233" s="3">
        <v>62.5084062</v>
      </c>
      <c r="AD233" s="3">
        <v>62.4142569</v>
      </c>
      <c r="AE233" s="3">
        <v>62.3201076</v>
      </c>
      <c r="AF233" s="3">
        <v>62.2461332</v>
      </c>
      <c r="AG233" s="3">
        <v>62.131809</v>
      </c>
      <c r="AH233" s="3">
        <v>62.0376597</v>
      </c>
      <c r="AI233" s="3">
        <v>61.9435104</v>
      </c>
      <c r="AJ233" s="4">
        <f t="shared" si="9"/>
        <v>-2.8244788</v>
      </c>
    </row>
    <row r="234">
      <c r="A234" s="1" t="s">
        <v>471</v>
      </c>
      <c r="B234" s="1" t="s">
        <v>472</v>
      </c>
      <c r="C234" s="1" t="s">
        <v>7</v>
      </c>
      <c r="D234" s="1" t="s">
        <v>8</v>
      </c>
      <c r="E234" s="3">
        <v>2.21129819</v>
      </c>
      <c r="F234" s="3">
        <v>2.21470877</v>
      </c>
      <c r="G234" s="3">
        <v>2.21811935</v>
      </c>
      <c r="H234" s="3">
        <v>2.22152993</v>
      </c>
      <c r="I234" s="3">
        <v>2.22494051</v>
      </c>
      <c r="J234" s="3">
        <v>2.2283511</v>
      </c>
      <c r="K234" s="3">
        <v>2.23176167</v>
      </c>
      <c r="L234" s="3">
        <v>2.23517225</v>
      </c>
      <c r="M234" s="3">
        <v>2.23858283</v>
      </c>
      <c r="N234" s="3">
        <v>2.24199341</v>
      </c>
      <c r="O234" s="3">
        <v>2.24540399</v>
      </c>
      <c r="P234" s="3">
        <v>2.26815865</v>
      </c>
      <c r="Q234" s="3">
        <v>2.29091332</v>
      </c>
      <c r="R234" s="3">
        <v>2.31371888</v>
      </c>
      <c r="S234" s="3">
        <v>2.33647946</v>
      </c>
      <c r="T234" s="3">
        <v>2.35923468</v>
      </c>
      <c r="U234" s="3">
        <v>2.38197336</v>
      </c>
      <c r="V234" s="3">
        <v>2.40472564</v>
      </c>
      <c r="W234" s="3">
        <v>2.42748067</v>
      </c>
      <c r="X234" s="3">
        <v>2.45094791</v>
      </c>
      <c r="Y234" s="3">
        <v>2.47371243</v>
      </c>
      <c r="Z234" s="3">
        <v>2.47536913</v>
      </c>
      <c r="AA234" s="3">
        <v>2.47702582</v>
      </c>
      <c r="AB234" s="3">
        <v>2.47873763</v>
      </c>
      <c r="AC234" s="3">
        <v>2.48039436</v>
      </c>
      <c r="AD234" s="3">
        <v>2.48205081</v>
      </c>
      <c r="AE234" s="3">
        <v>2.48481743</v>
      </c>
      <c r="AF234" s="3">
        <v>2.48591181</v>
      </c>
      <c r="AG234" s="3">
        <v>2.4877184</v>
      </c>
      <c r="AH234" s="3">
        <v>2.49213411</v>
      </c>
      <c r="AI234" s="3">
        <v>2.4957276</v>
      </c>
      <c r="AJ234" s="4">
        <f t="shared" si="9"/>
        <v>0.28442941</v>
      </c>
    </row>
    <row r="235">
      <c r="A235" s="1" t="s">
        <v>473</v>
      </c>
      <c r="B235" s="1" t="s">
        <v>474</v>
      </c>
      <c r="C235" s="1" t="s">
        <v>7</v>
      </c>
      <c r="D235" s="1" t="s">
        <v>8</v>
      </c>
      <c r="E235" s="3">
        <v>12.4305556</v>
      </c>
      <c r="F235" s="3">
        <v>12.4305556</v>
      </c>
      <c r="G235" s="3">
        <v>12.4305556</v>
      </c>
      <c r="H235" s="3">
        <v>12.4305556</v>
      </c>
      <c r="I235" s="3">
        <v>12.4305556</v>
      </c>
      <c r="J235" s="3">
        <v>12.4305556</v>
      </c>
      <c r="K235" s="3">
        <v>12.4305556</v>
      </c>
      <c r="L235" s="3">
        <v>12.4305556</v>
      </c>
      <c r="M235" s="3">
        <v>12.4305556</v>
      </c>
      <c r="N235" s="3">
        <v>12.4305556</v>
      </c>
      <c r="O235" s="3">
        <v>12.4305556</v>
      </c>
      <c r="P235" s="3">
        <v>12.4305556</v>
      </c>
      <c r="Q235" s="3">
        <v>12.4305556</v>
      </c>
      <c r="R235" s="3">
        <v>12.4305556</v>
      </c>
      <c r="S235" s="3">
        <v>12.4305556</v>
      </c>
      <c r="T235" s="3">
        <v>12.4305556</v>
      </c>
      <c r="U235" s="3">
        <v>12.4305556</v>
      </c>
      <c r="V235" s="3">
        <v>12.4305556</v>
      </c>
      <c r="W235" s="3">
        <v>12.4305556</v>
      </c>
      <c r="X235" s="3">
        <v>12.4305556</v>
      </c>
      <c r="Y235" s="3">
        <v>12.4305556</v>
      </c>
      <c r="Z235" s="3">
        <v>12.4305556</v>
      </c>
      <c r="AA235" s="3">
        <v>12.4305556</v>
      </c>
      <c r="AB235" s="3">
        <v>12.4305556</v>
      </c>
      <c r="AC235" s="3">
        <v>12.4305556</v>
      </c>
      <c r="AD235" s="3">
        <v>12.4305556</v>
      </c>
      <c r="AE235" s="3">
        <v>12.4305556</v>
      </c>
      <c r="AF235" s="3">
        <v>12.4305556</v>
      </c>
      <c r="AG235" s="3">
        <v>12.4305556</v>
      </c>
      <c r="AH235" s="3">
        <v>12.4305556</v>
      </c>
      <c r="AI235" s="3">
        <v>12.4305556</v>
      </c>
      <c r="AJ235" s="4">
        <f t="shared" si="9"/>
        <v>0</v>
      </c>
    </row>
    <row r="236">
      <c r="A236" s="1" t="s">
        <v>475</v>
      </c>
      <c r="B236" s="1" t="s">
        <v>476</v>
      </c>
      <c r="C236" s="1" t="s">
        <v>7</v>
      </c>
      <c r="D236" s="1" t="s">
        <v>8</v>
      </c>
      <c r="E236" s="3">
        <v>16.2644553</v>
      </c>
      <c r="F236" s="3">
        <v>17.3444532</v>
      </c>
      <c r="G236" s="3">
        <v>17.4114346</v>
      </c>
      <c r="H236" s="3">
        <v>17.478416</v>
      </c>
      <c r="I236" s="3">
        <v>17.5708465</v>
      </c>
      <c r="J236" s="3">
        <v>17.6379251</v>
      </c>
      <c r="K236" s="3">
        <v>17.7050036</v>
      </c>
      <c r="L236" s="3">
        <v>17.7720822</v>
      </c>
      <c r="M236" s="3">
        <v>17.8391607</v>
      </c>
      <c r="N236" s="3">
        <v>17.9062392</v>
      </c>
      <c r="O236" s="3">
        <v>18.0118049</v>
      </c>
      <c r="P236" s="3">
        <v>18.0070544</v>
      </c>
      <c r="Q236" s="3">
        <v>18.0421089</v>
      </c>
      <c r="R236" s="3">
        <v>18.0771635</v>
      </c>
      <c r="S236" s="3">
        <v>18.1186064</v>
      </c>
      <c r="T236" s="3">
        <v>18.1536733</v>
      </c>
      <c r="U236" s="3">
        <v>18.1887402</v>
      </c>
      <c r="V236" s="3">
        <v>18.2238071</v>
      </c>
      <c r="W236" s="3">
        <v>18.258874</v>
      </c>
      <c r="X236" s="3">
        <v>18.2939409</v>
      </c>
      <c r="Y236" s="3">
        <v>18.3290078</v>
      </c>
      <c r="Z236" s="3">
        <v>18.3793483</v>
      </c>
      <c r="AA236" s="3">
        <v>18.4296888</v>
      </c>
      <c r="AB236" s="3">
        <v>18.4800293</v>
      </c>
      <c r="AC236" s="3">
        <v>18.5303698</v>
      </c>
      <c r="AD236" s="3">
        <v>18.5838923</v>
      </c>
      <c r="AE236" s="3">
        <v>18.6258892</v>
      </c>
      <c r="AF236" s="3">
        <v>18.6776417</v>
      </c>
      <c r="AG236" s="3">
        <v>18.7246984</v>
      </c>
      <c r="AH236" s="3">
        <v>18.771626</v>
      </c>
      <c r="AI236" s="3">
        <v>18.8185536</v>
      </c>
      <c r="AJ236" s="4">
        <f t="shared" si="9"/>
        <v>2.5540983</v>
      </c>
    </row>
    <row r="237">
      <c r="A237" s="1" t="s">
        <v>477</v>
      </c>
      <c r="B237" s="1" t="s">
        <v>478</v>
      </c>
      <c r="C237" s="1" t="s">
        <v>7</v>
      </c>
      <c r="D237" s="1" t="s">
        <v>8</v>
      </c>
      <c r="E237" s="3">
        <v>33.0262031</v>
      </c>
      <c r="F237" s="3">
        <v>32.882803</v>
      </c>
      <c r="G237" s="3">
        <v>32.7358457</v>
      </c>
      <c r="H237" s="3">
        <v>32.6693181</v>
      </c>
      <c r="I237" s="3">
        <v>32.5234491</v>
      </c>
      <c r="J237" s="3">
        <v>32.3775801</v>
      </c>
      <c r="K237" s="3">
        <v>32.2317111</v>
      </c>
      <c r="L237" s="3">
        <v>32.0858421</v>
      </c>
      <c r="M237" s="3">
        <v>31.9399732</v>
      </c>
      <c r="N237" s="3">
        <v>31.7941042</v>
      </c>
      <c r="O237" s="3">
        <v>29.2579429</v>
      </c>
      <c r="P237" s="3">
        <v>31.4937298</v>
      </c>
      <c r="Q237" s="3">
        <v>31.3392245</v>
      </c>
      <c r="R237" s="3">
        <v>31.1847191</v>
      </c>
      <c r="S237" s="3">
        <v>30.8425218</v>
      </c>
      <c r="T237" s="3">
        <v>30.6888742</v>
      </c>
      <c r="U237" s="3">
        <v>30.5353087</v>
      </c>
      <c r="V237" s="3">
        <v>30.3817767</v>
      </c>
      <c r="W237" s="3">
        <v>30.2282276</v>
      </c>
      <c r="X237" s="3">
        <v>30.0746584</v>
      </c>
      <c r="Y237" s="3">
        <v>27.6494656</v>
      </c>
      <c r="Z237" s="3">
        <v>27.7851558</v>
      </c>
      <c r="AA237" s="3">
        <v>27.6210401</v>
      </c>
      <c r="AB237" s="3">
        <v>27.4569201</v>
      </c>
      <c r="AC237" s="3">
        <v>27.2928425</v>
      </c>
      <c r="AD237" s="3">
        <v>27.128672</v>
      </c>
      <c r="AE237" s="3">
        <v>26.9604546</v>
      </c>
      <c r="AF237" s="3">
        <v>26.7956083</v>
      </c>
      <c r="AG237" s="3">
        <v>26.630866</v>
      </c>
      <c r="AH237" s="3">
        <v>26.4618416</v>
      </c>
      <c r="AI237" s="3">
        <v>26.2944794</v>
      </c>
      <c r="AJ237" s="4">
        <f t="shared" si="9"/>
        <v>-6.7317237</v>
      </c>
    </row>
    <row r="238">
      <c r="A238" s="1" t="s">
        <v>479</v>
      </c>
      <c r="B238" s="1" t="s">
        <v>480</v>
      </c>
      <c r="C238" s="1" t="s">
        <v>7</v>
      </c>
      <c r="D238" s="1" t="s">
        <v>8</v>
      </c>
      <c r="E238" s="3">
        <v>47.1851852</v>
      </c>
      <c r="F238" s="3">
        <v>47.0797271</v>
      </c>
      <c r="G238" s="3">
        <v>46.974269</v>
      </c>
      <c r="H238" s="3">
        <v>46.8688109</v>
      </c>
      <c r="I238" s="3">
        <v>46.7633528</v>
      </c>
      <c r="J238" s="3">
        <v>46.6578947</v>
      </c>
      <c r="K238" s="3">
        <v>46.5524366</v>
      </c>
      <c r="L238" s="3">
        <v>46.4469786</v>
      </c>
      <c r="M238" s="3">
        <v>46.3415205</v>
      </c>
      <c r="N238" s="3">
        <v>46.2360624</v>
      </c>
      <c r="O238" s="3">
        <v>46.1306043</v>
      </c>
      <c r="P238" s="3">
        <v>46.0479532</v>
      </c>
      <c r="Q238" s="3">
        <v>45.9653021</v>
      </c>
      <c r="R238" s="3">
        <v>45.8826511</v>
      </c>
      <c r="S238" s="3">
        <v>45.8</v>
      </c>
      <c r="T238" s="3">
        <v>45.7173489</v>
      </c>
      <c r="U238" s="3">
        <v>45.6346979</v>
      </c>
      <c r="V238" s="3">
        <v>45.5520468</v>
      </c>
      <c r="W238" s="3">
        <v>45.4693957</v>
      </c>
      <c r="X238" s="3">
        <v>45.3867446</v>
      </c>
      <c r="Y238" s="3">
        <v>45.3040936</v>
      </c>
      <c r="Z238" s="3">
        <v>45.2214425</v>
      </c>
      <c r="AA238" s="3">
        <v>45.1387914</v>
      </c>
      <c r="AB238" s="3">
        <v>45.0561404</v>
      </c>
      <c r="AC238" s="3">
        <v>44.9734893</v>
      </c>
      <c r="AD238" s="3">
        <v>44.8908382</v>
      </c>
      <c r="AE238" s="3">
        <v>44.8089669</v>
      </c>
      <c r="AF238" s="3">
        <v>44.7270955</v>
      </c>
      <c r="AG238" s="3">
        <v>44.6452242</v>
      </c>
      <c r="AH238" s="3">
        <v>44.5633528</v>
      </c>
      <c r="AI238" s="3">
        <v>44.4814815</v>
      </c>
      <c r="AJ238" s="4">
        <f t="shared" si="9"/>
        <v>-2.7037037</v>
      </c>
    </row>
    <row r="239">
      <c r="A239" s="1" t="s">
        <v>481</v>
      </c>
      <c r="B239" s="1" t="s">
        <v>482</v>
      </c>
      <c r="C239" s="1" t="s">
        <v>7</v>
      </c>
      <c r="D239" s="1" t="s">
        <v>8</v>
      </c>
      <c r="E239" s="3">
        <v>4.14506244</v>
      </c>
      <c r="F239" s="3">
        <v>4.16042868</v>
      </c>
      <c r="G239" s="3">
        <v>4.17579493</v>
      </c>
      <c r="H239" s="3">
        <v>4.19116117</v>
      </c>
      <c r="I239" s="3">
        <v>4.20652742</v>
      </c>
      <c r="J239" s="3">
        <v>4.22189431</v>
      </c>
      <c r="K239" s="3">
        <v>4.23726056</v>
      </c>
      <c r="L239" s="3">
        <v>4.2526268</v>
      </c>
      <c r="M239" s="3">
        <v>4.26799305</v>
      </c>
      <c r="N239" s="3">
        <v>4.28335929</v>
      </c>
      <c r="O239" s="3">
        <v>4.29872554</v>
      </c>
      <c r="P239" s="3">
        <v>4.31132853</v>
      </c>
      <c r="Q239" s="3">
        <v>4.32393151</v>
      </c>
      <c r="R239" s="3">
        <v>4.3365345</v>
      </c>
      <c r="S239" s="3">
        <v>4.34913749</v>
      </c>
      <c r="T239" s="3">
        <v>4.36174047</v>
      </c>
      <c r="U239" s="3">
        <v>4.37434346</v>
      </c>
      <c r="V239" s="3">
        <v>4.38694645</v>
      </c>
      <c r="W239" s="3">
        <v>4.39954943</v>
      </c>
      <c r="X239" s="3">
        <v>4.41215242</v>
      </c>
      <c r="Y239" s="3">
        <v>4.42475541</v>
      </c>
      <c r="Z239" s="3">
        <v>4.4346035</v>
      </c>
      <c r="AA239" s="3">
        <v>4.4444516</v>
      </c>
      <c r="AB239" s="3">
        <v>4.45429969</v>
      </c>
      <c r="AC239" s="3">
        <v>4.46414779</v>
      </c>
      <c r="AD239" s="3">
        <v>4.47399588</v>
      </c>
      <c r="AE239" s="3">
        <v>4.48384398</v>
      </c>
      <c r="AF239" s="3">
        <v>4.49369207</v>
      </c>
      <c r="AG239" s="3">
        <v>4.50354016</v>
      </c>
      <c r="AH239" s="3">
        <v>4.51338826</v>
      </c>
      <c r="AI239" s="3">
        <v>4.52323635</v>
      </c>
      <c r="AJ239" s="4">
        <f t="shared" si="9"/>
        <v>0.37817391</v>
      </c>
    </row>
    <row r="240">
      <c r="A240" s="1" t="s">
        <v>483</v>
      </c>
      <c r="B240" s="1" t="s">
        <v>484</v>
      </c>
      <c r="C240" s="1" t="s">
        <v>7</v>
      </c>
      <c r="D240" s="1" t="s">
        <v>8</v>
      </c>
      <c r="E240" s="3">
        <v>25.705183</v>
      </c>
      <c r="F240" s="3">
        <v>25.7525915</v>
      </c>
      <c r="G240" s="3">
        <v>25.8</v>
      </c>
      <c r="H240" s="3">
        <v>25.8474085</v>
      </c>
      <c r="I240" s="3">
        <v>25.894817</v>
      </c>
      <c r="J240" s="3">
        <v>25.9422255</v>
      </c>
      <c r="K240" s="3">
        <v>25.989634</v>
      </c>
      <c r="L240" s="3">
        <v>26.0370425</v>
      </c>
      <c r="M240" s="3">
        <v>26.084451</v>
      </c>
      <c r="N240" s="3">
        <v>26.1318595</v>
      </c>
      <c r="O240" s="3">
        <v>26.179268</v>
      </c>
      <c r="P240" s="3">
        <v>26.3007198</v>
      </c>
      <c r="Q240" s="3">
        <v>26.4221717</v>
      </c>
      <c r="R240" s="3">
        <v>26.5436236</v>
      </c>
      <c r="S240" s="3">
        <v>26.6650754</v>
      </c>
      <c r="T240" s="3">
        <v>26.7865273</v>
      </c>
      <c r="U240" s="3">
        <v>26.9079792</v>
      </c>
      <c r="V240" s="3">
        <v>27.029431</v>
      </c>
      <c r="W240" s="3">
        <v>27.1508829</v>
      </c>
      <c r="X240" s="3">
        <v>27.2723348</v>
      </c>
      <c r="Y240" s="3">
        <v>27.3937866</v>
      </c>
      <c r="Z240" s="3">
        <v>27.53599</v>
      </c>
      <c r="AA240" s="3">
        <v>27.6781934</v>
      </c>
      <c r="AB240" s="3">
        <v>27.8203968</v>
      </c>
      <c r="AC240" s="3">
        <v>27.9626002</v>
      </c>
      <c r="AD240" s="3">
        <v>28.1048036</v>
      </c>
      <c r="AE240" s="3">
        <v>28.1048036</v>
      </c>
      <c r="AF240" s="3">
        <v>28.2635292</v>
      </c>
      <c r="AG240" s="3">
        <v>28.4660941</v>
      </c>
      <c r="AH240" s="3">
        <v>28.6687889</v>
      </c>
      <c r="AI240" s="3">
        <v>28.8714837</v>
      </c>
      <c r="AJ240" s="4">
        <f t="shared" si="9"/>
        <v>3.1663007</v>
      </c>
    </row>
    <row r="241">
      <c r="A241" s="1" t="s">
        <v>485</v>
      </c>
      <c r="B241" s="1" t="s">
        <v>486</v>
      </c>
      <c r="C241" s="1" t="s">
        <v>7</v>
      </c>
      <c r="D241" s="1" t="s">
        <v>8</v>
      </c>
      <c r="E241" s="3">
        <v>33.3333333</v>
      </c>
      <c r="F241" s="3">
        <v>33.3333333</v>
      </c>
      <c r="G241" s="3">
        <v>33.3333333</v>
      </c>
      <c r="H241" s="3">
        <v>33.3333333</v>
      </c>
      <c r="I241" s="3">
        <v>33.3333333</v>
      </c>
      <c r="J241" s="3">
        <v>33.3333333</v>
      </c>
      <c r="K241" s="3">
        <v>33.3333333</v>
      </c>
      <c r="L241" s="3">
        <v>33.3333333</v>
      </c>
      <c r="M241" s="3">
        <v>33.3333333</v>
      </c>
      <c r="N241" s="3">
        <v>33.3333333</v>
      </c>
      <c r="O241" s="3">
        <v>33.3333333</v>
      </c>
      <c r="P241" s="3">
        <v>33.3333333</v>
      </c>
      <c r="Q241" s="3">
        <v>33.3333333</v>
      </c>
      <c r="R241" s="3">
        <v>33.3333333</v>
      </c>
      <c r="S241" s="3">
        <v>33.3333333</v>
      </c>
      <c r="T241" s="3">
        <v>33.3333333</v>
      </c>
      <c r="U241" s="3">
        <v>33.3333333</v>
      </c>
      <c r="V241" s="3">
        <v>33.3333333</v>
      </c>
      <c r="W241" s="3">
        <v>33.3333333</v>
      </c>
      <c r="X241" s="3">
        <v>33.3333333</v>
      </c>
      <c r="Y241" s="3">
        <v>33.3333333</v>
      </c>
      <c r="Z241" s="3">
        <v>33.3333333</v>
      </c>
      <c r="AA241" s="3">
        <v>33.3333333</v>
      </c>
      <c r="AB241" s="3">
        <v>33.3333333</v>
      </c>
      <c r="AC241" s="3">
        <v>33.3333333</v>
      </c>
      <c r="AD241" s="3">
        <v>33.3333333</v>
      </c>
      <c r="AE241" s="3">
        <v>33.3333333</v>
      </c>
      <c r="AF241" s="3">
        <v>33.3333333</v>
      </c>
      <c r="AG241" s="3">
        <v>33.3333333</v>
      </c>
      <c r="AH241" s="3">
        <v>33.3333333</v>
      </c>
      <c r="AI241" s="3">
        <v>33.3333333</v>
      </c>
      <c r="AJ241" s="4">
        <f t="shared" si="9"/>
        <v>0</v>
      </c>
    </row>
    <row r="242">
      <c r="A242" s="1" t="s">
        <v>487</v>
      </c>
      <c r="B242" s="1" t="s">
        <v>488</v>
      </c>
      <c r="C242" s="1" t="s">
        <v>7</v>
      </c>
      <c r="D242" s="1" t="s">
        <v>8</v>
      </c>
      <c r="E242" s="3">
        <v>64.7889027</v>
      </c>
      <c r="F242" s="3">
        <v>64.3689433</v>
      </c>
      <c r="G242" s="3">
        <v>63.948984</v>
      </c>
      <c r="H242" s="3">
        <v>63.5290246</v>
      </c>
      <c r="I242" s="3">
        <v>63.1090653</v>
      </c>
      <c r="J242" s="3">
        <v>62.6891059</v>
      </c>
      <c r="K242" s="3">
        <v>62.2691465</v>
      </c>
      <c r="L242" s="3">
        <v>61.8491872</v>
      </c>
      <c r="M242" s="3">
        <v>61.4292278</v>
      </c>
      <c r="N242" s="3">
        <v>61.0092685</v>
      </c>
      <c r="O242" s="3">
        <v>60.5893091</v>
      </c>
      <c r="P242" s="3">
        <v>60.1693497</v>
      </c>
      <c r="Q242" s="3">
        <v>59.7493904</v>
      </c>
      <c r="R242" s="3">
        <v>59.329431</v>
      </c>
      <c r="S242" s="3">
        <v>58.9094717</v>
      </c>
      <c r="T242" s="3">
        <v>58.4895123</v>
      </c>
      <c r="U242" s="3">
        <v>58.0695529</v>
      </c>
      <c r="V242" s="3">
        <v>57.6495936</v>
      </c>
      <c r="W242" s="3">
        <v>57.2296342</v>
      </c>
      <c r="X242" s="3">
        <v>56.8096749</v>
      </c>
      <c r="Y242" s="3">
        <v>56.3897155</v>
      </c>
      <c r="Z242" s="3">
        <v>55.9697539</v>
      </c>
      <c r="AA242" s="3">
        <v>55.5497923</v>
      </c>
      <c r="AB242" s="3">
        <v>55.1298307</v>
      </c>
      <c r="AC242" s="3">
        <v>54.709869</v>
      </c>
      <c r="AD242" s="3">
        <v>54.2899074</v>
      </c>
      <c r="AE242" s="3">
        <v>53.7604425</v>
      </c>
      <c r="AF242" s="3">
        <v>53.2309776</v>
      </c>
      <c r="AG242" s="3">
        <v>52.7015128</v>
      </c>
      <c r="AH242" s="3">
        <v>52.1720479</v>
      </c>
      <c r="AI242" s="3">
        <v>51.642583</v>
      </c>
      <c r="AJ242" s="4">
        <f t="shared" si="9"/>
        <v>-13.1463197</v>
      </c>
    </row>
    <row r="243">
      <c r="A243" s="1" t="s">
        <v>489</v>
      </c>
      <c r="B243" s="1" t="s">
        <v>490</v>
      </c>
      <c r="C243" s="1" t="s">
        <v>7</v>
      </c>
      <c r="D243" s="1" t="s">
        <v>8</v>
      </c>
      <c r="E243" s="3">
        <v>17.8943496</v>
      </c>
      <c r="F243" s="3">
        <v>17.6878935</v>
      </c>
      <c r="G243" s="3">
        <v>17.4814374</v>
      </c>
      <c r="H243" s="3">
        <v>17.2749812</v>
      </c>
      <c r="I243" s="3">
        <v>17.0685251</v>
      </c>
      <c r="J243" s="3">
        <v>16.862069</v>
      </c>
      <c r="K243" s="3">
        <v>16.6556128</v>
      </c>
      <c r="L243" s="3">
        <v>16.4491567</v>
      </c>
      <c r="M243" s="3">
        <v>16.2427006</v>
      </c>
      <c r="N243" s="3">
        <v>16.0362444</v>
      </c>
      <c r="O243" s="3">
        <v>15.8297883</v>
      </c>
      <c r="P243" s="3">
        <v>15.6233272</v>
      </c>
      <c r="Q243" s="3">
        <v>15.416866</v>
      </c>
      <c r="R243" s="3">
        <v>15.2104049</v>
      </c>
      <c r="S243" s="3">
        <v>15.0039437</v>
      </c>
      <c r="T243" s="3">
        <v>14.7974826</v>
      </c>
      <c r="U243" s="3">
        <v>14.5910215</v>
      </c>
      <c r="V243" s="3">
        <v>14.3845603</v>
      </c>
      <c r="W243" s="3">
        <v>14.1780992</v>
      </c>
      <c r="X243" s="3">
        <v>13.9716381</v>
      </c>
      <c r="Y243" s="3">
        <v>13.7164373</v>
      </c>
      <c r="Z243" s="3">
        <v>13.5107121</v>
      </c>
      <c r="AA243" s="3">
        <v>13.304987</v>
      </c>
      <c r="AB243" s="3">
        <v>13.0992619</v>
      </c>
      <c r="AC243" s="3">
        <v>12.8935368</v>
      </c>
      <c r="AD243" s="3">
        <v>12.6878117</v>
      </c>
      <c r="AE243" s="3">
        <v>12.4820965</v>
      </c>
      <c r="AF243" s="3">
        <v>12.2763814</v>
      </c>
      <c r="AG243" s="3">
        <v>12.0706663</v>
      </c>
      <c r="AH243" s="3">
        <v>11.8649013</v>
      </c>
      <c r="AI243" s="3">
        <v>11.6591861</v>
      </c>
      <c r="AJ243" s="4">
        <f t="shared" si="9"/>
        <v>-6.2351635</v>
      </c>
    </row>
    <row r="244">
      <c r="A244" s="1" t="s">
        <v>491</v>
      </c>
      <c r="B244" s="1" t="s">
        <v>492</v>
      </c>
      <c r="C244" s="1" t="s">
        <v>7</v>
      </c>
      <c r="D244" s="1" t="s">
        <v>8</v>
      </c>
      <c r="E244" s="3">
        <v>16.0075947</v>
      </c>
      <c r="F244" s="3">
        <v>16.0075947</v>
      </c>
      <c r="G244" s="3">
        <v>16.0890653</v>
      </c>
      <c r="H244" s="3">
        <v>16.1298006</v>
      </c>
      <c r="I244" s="3">
        <v>16.1705359</v>
      </c>
      <c r="J244" s="3">
        <v>16.2112713</v>
      </c>
      <c r="K244" s="3">
        <v>16.2520066</v>
      </c>
      <c r="L244" s="3">
        <v>16.2927419</v>
      </c>
      <c r="M244" s="3">
        <v>16.3334772</v>
      </c>
      <c r="N244" s="3">
        <v>16.3742125</v>
      </c>
      <c r="O244" s="3">
        <v>16.4149478</v>
      </c>
      <c r="P244" s="3">
        <v>16.4215069</v>
      </c>
      <c r="Q244" s="3">
        <v>16.4283495</v>
      </c>
      <c r="R244" s="3">
        <v>16.4349087</v>
      </c>
      <c r="S244" s="3">
        <v>16.4414679</v>
      </c>
      <c r="T244" s="3">
        <v>16.4468915</v>
      </c>
      <c r="U244" s="3">
        <v>16.4540182</v>
      </c>
      <c r="V244" s="3">
        <v>16.4614296</v>
      </c>
      <c r="W244" s="3">
        <v>16.4682731</v>
      </c>
      <c r="X244" s="3">
        <v>16.4748326</v>
      </c>
      <c r="Y244" s="3">
        <v>16.481392</v>
      </c>
      <c r="Z244" s="3">
        <v>16.5190223</v>
      </c>
      <c r="AA244" s="3">
        <v>16.5566526</v>
      </c>
      <c r="AB244" s="3">
        <v>16.594283</v>
      </c>
      <c r="AC244" s="3">
        <v>16.6327746</v>
      </c>
      <c r="AD244" s="3">
        <v>16.6704069</v>
      </c>
      <c r="AE244" s="3">
        <v>16.6824906</v>
      </c>
      <c r="AF244" s="3">
        <v>16.6942862</v>
      </c>
      <c r="AG244" s="3">
        <v>16.7034864</v>
      </c>
      <c r="AH244" s="3">
        <v>16.7138419</v>
      </c>
      <c r="AI244" s="3">
        <v>16.7241974</v>
      </c>
      <c r="AJ244" s="4">
        <f t="shared" si="9"/>
        <v>0.7166027</v>
      </c>
    </row>
    <row r="245">
      <c r="A245" s="1" t="s">
        <v>493</v>
      </c>
      <c r="B245" s="1" t="s">
        <v>494</v>
      </c>
      <c r="C245" s="1" t="s">
        <v>7</v>
      </c>
      <c r="D245" s="1" t="s">
        <v>8</v>
      </c>
      <c r="E245" s="3">
        <v>38.4845612</v>
      </c>
      <c r="F245" s="3">
        <v>38.426378</v>
      </c>
      <c r="G245" s="3">
        <v>38.3646757</v>
      </c>
      <c r="H245" s="3">
        <v>38.3088843</v>
      </c>
      <c r="I245" s="3">
        <v>38.2538843</v>
      </c>
      <c r="J245" s="3">
        <v>38.1975349</v>
      </c>
      <c r="K245" s="3">
        <v>38.1393791</v>
      </c>
      <c r="L245" s="3">
        <v>38.0804482</v>
      </c>
      <c r="M245" s="3">
        <v>38.040391</v>
      </c>
      <c r="N245" s="3">
        <v>37.9770867</v>
      </c>
      <c r="O245" s="3">
        <v>37.9234156</v>
      </c>
      <c r="P245" s="3">
        <v>37.8831214</v>
      </c>
      <c r="Q245" s="3">
        <v>37.843428</v>
      </c>
      <c r="R245" s="3">
        <v>37.8021088</v>
      </c>
      <c r="S245" s="3">
        <v>37.7606579</v>
      </c>
      <c r="T245" s="3">
        <v>37.7193788</v>
      </c>
      <c r="U245" s="3">
        <v>37.6854809</v>
      </c>
      <c r="V245" s="3">
        <v>37.6453103</v>
      </c>
      <c r="W245" s="3">
        <v>37.6055282</v>
      </c>
      <c r="X245" s="3">
        <v>37.5668895</v>
      </c>
      <c r="Y245" s="3">
        <v>37.5264548</v>
      </c>
      <c r="Z245" s="3">
        <v>37.5150868</v>
      </c>
      <c r="AA245" s="3">
        <v>37.5043556</v>
      </c>
      <c r="AB245" s="3">
        <v>37.4951905</v>
      </c>
      <c r="AC245" s="3">
        <v>37.4844215</v>
      </c>
      <c r="AD245" s="3">
        <v>37.4733823</v>
      </c>
      <c r="AE245" s="3">
        <v>37.4647055</v>
      </c>
      <c r="AF245" s="3">
        <v>37.4434939</v>
      </c>
      <c r="AG245" s="3">
        <v>37.4394574</v>
      </c>
      <c r="AH245" s="3">
        <v>37.4311784</v>
      </c>
      <c r="AI245" s="3">
        <v>37.4243226</v>
      </c>
      <c r="AJ245" s="4">
        <f t="shared" si="9"/>
        <v>-1.0602386</v>
      </c>
    </row>
    <row r="246">
      <c r="A246" s="1" t="s">
        <v>495</v>
      </c>
      <c r="B246" s="1" t="s">
        <v>496</v>
      </c>
      <c r="C246" s="1" t="s">
        <v>7</v>
      </c>
      <c r="D246" s="1" t="s">
        <v>8</v>
      </c>
      <c r="E246" s="3">
        <v>4.55947892</v>
      </c>
      <c r="F246" s="3">
        <v>4.88572735</v>
      </c>
      <c r="G246" s="3">
        <v>5.21197577</v>
      </c>
      <c r="H246" s="3">
        <v>5.5382242</v>
      </c>
      <c r="I246" s="3">
        <v>5.86447263</v>
      </c>
      <c r="J246" s="3">
        <v>6.19072106</v>
      </c>
      <c r="K246" s="3">
        <v>6.51696949</v>
      </c>
      <c r="L246" s="3">
        <v>6.84321792</v>
      </c>
      <c r="M246" s="3">
        <v>7.16946635</v>
      </c>
      <c r="N246" s="3">
        <v>7.49571478</v>
      </c>
      <c r="O246" s="3">
        <v>7.8219632</v>
      </c>
      <c r="P246" s="3">
        <v>8.02896812</v>
      </c>
      <c r="Q246" s="3">
        <v>8.23597303</v>
      </c>
      <c r="R246" s="3">
        <v>8.44297795</v>
      </c>
      <c r="S246" s="3">
        <v>8.64998286</v>
      </c>
      <c r="T246" s="3">
        <v>8.85698777</v>
      </c>
      <c r="U246" s="3">
        <v>9.06399269</v>
      </c>
      <c r="V246" s="3">
        <v>9.2709976</v>
      </c>
      <c r="W246" s="3">
        <v>9.47800251</v>
      </c>
      <c r="X246" s="3">
        <v>9.68500743</v>
      </c>
      <c r="Y246" s="3">
        <v>9.89201234</v>
      </c>
      <c r="Z246" s="3">
        <v>10.1076448</v>
      </c>
      <c r="AA246" s="3">
        <v>10.3232773</v>
      </c>
      <c r="AB246" s="3">
        <v>10.5389098</v>
      </c>
      <c r="AC246" s="3">
        <v>10.7545423</v>
      </c>
      <c r="AD246" s="3">
        <v>10.9701748</v>
      </c>
      <c r="AE246" s="3">
        <v>11.1244429</v>
      </c>
      <c r="AF246" s="3">
        <v>11.2444292</v>
      </c>
      <c r="AG246" s="3">
        <v>11.3644155</v>
      </c>
      <c r="AH246" s="3">
        <v>11.4844018</v>
      </c>
      <c r="AI246" s="3">
        <v>11.6043881</v>
      </c>
      <c r="AJ246" s="4">
        <f t="shared" si="9"/>
        <v>7.04490918</v>
      </c>
    </row>
    <row r="247">
      <c r="A247" s="1" t="s">
        <v>497</v>
      </c>
      <c r="B247" s="1" t="s">
        <v>498</v>
      </c>
      <c r="C247" s="1" t="s">
        <v>7</v>
      </c>
      <c r="D247" s="1" t="s">
        <v>8</v>
      </c>
      <c r="E247" s="3">
        <v>33.0223082</v>
      </c>
      <c r="F247" s="3">
        <v>33.0341655</v>
      </c>
      <c r="G247" s="3">
        <v>33.0460227</v>
      </c>
      <c r="H247" s="3">
        <v>33.0578799</v>
      </c>
      <c r="I247" s="3">
        <v>33.0697372</v>
      </c>
      <c r="J247" s="3">
        <v>33.0815944</v>
      </c>
      <c r="K247" s="3">
        <v>33.0934517</v>
      </c>
      <c r="L247" s="3">
        <v>33.1053089</v>
      </c>
      <c r="M247" s="3">
        <v>33.1171661</v>
      </c>
      <c r="N247" s="3">
        <v>33.1290234</v>
      </c>
      <c r="O247" s="3">
        <v>33.1301736</v>
      </c>
      <c r="P247" s="3">
        <v>33.1867556</v>
      </c>
      <c r="Q247" s="3">
        <v>33.2433376</v>
      </c>
      <c r="R247" s="3">
        <v>33.2999197</v>
      </c>
      <c r="S247" s="3">
        <v>33.3565017</v>
      </c>
      <c r="T247" s="3">
        <v>33.4130837</v>
      </c>
      <c r="U247" s="3">
        <v>33.4696657</v>
      </c>
      <c r="V247" s="3">
        <v>33.5262478</v>
      </c>
      <c r="W247" s="3">
        <v>33.6360635</v>
      </c>
      <c r="X247" s="3">
        <v>33.6927352</v>
      </c>
      <c r="Y247" s="3">
        <v>33.7494069</v>
      </c>
      <c r="Z247" s="3">
        <v>33.7794701</v>
      </c>
      <c r="AA247" s="3">
        <v>33.8095332</v>
      </c>
      <c r="AB247" s="3">
        <v>33.8395963</v>
      </c>
      <c r="AC247" s="3">
        <v>33.8696594</v>
      </c>
      <c r="AD247" s="3">
        <v>33.8997225</v>
      </c>
      <c r="AE247" s="3">
        <v>33.8997225</v>
      </c>
      <c r="AF247" s="3">
        <v>33.8669264</v>
      </c>
      <c r="AG247" s="3">
        <v>33.8669264</v>
      </c>
      <c r="AH247" s="3">
        <v>33.8669264</v>
      </c>
      <c r="AI247" s="3">
        <v>33.8669264</v>
      </c>
      <c r="AJ247" s="4">
        <f t="shared" si="9"/>
        <v>0.8446182</v>
      </c>
    </row>
    <row r="248">
      <c r="A248" s="1" t="s">
        <v>499</v>
      </c>
      <c r="B248" s="1" t="s">
        <v>500</v>
      </c>
      <c r="C248" s="1" t="s">
        <v>7</v>
      </c>
      <c r="D248" s="1" t="s">
        <v>8</v>
      </c>
      <c r="E248" s="3">
        <v>7.15796897</v>
      </c>
      <c r="F248" s="3">
        <v>7.15796897</v>
      </c>
      <c r="G248" s="3">
        <v>6.18662059</v>
      </c>
      <c r="H248" s="3">
        <v>6.28349177</v>
      </c>
      <c r="I248" s="3">
        <v>6.38036319</v>
      </c>
      <c r="J248" s="3">
        <v>6.4772346</v>
      </c>
      <c r="K248" s="3">
        <v>6.57410602</v>
      </c>
      <c r="L248" s="3">
        <v>6.67097743</v>
      </c>
      <c r="M248" s="3">
        <v>6.76784861</v>
      </c>
      <c r="N248" s="3">
        <v>6.86472003</v>
      </c>
      <c r="O248" s="3">
        <v>6.96159144</v>
      </c>
      <c r="P248" s="3">
        <v>7.05283239</v>
      </c>
      <c r="Q248" s="3">
        <v>7.14407334</v>
      </c>
      <c r="R248" s="3">
        <v>7.23531429</v>
      </c>
      <c r="S248" s="3">
        <v>7.32655524</v>
      </c>
      <c r="T248" s="3">
        <v>7.41779619</v>
      </c>
      <c r="U248" s="3">
        <v>7.50903714</v>
      </c>
      <c r="V248" s="3">
        <v>7.60027809</v>
      </c>
      <c r="W248" s="3">
        <v>7.69151904</v>
      </c>
      <c r="X248" s="3">
        <v>7.78275999</v>
      </c>
      <c r="Y248" s="3">
        <v>7.87400094</v>
      </c>
      <c r="Z248" s="3">
        <v>7.96793606</v>
      </c>
      <c r="AA248" s="3">
        <v>8.06187118</v>
      </c>
      <c r="AB248" s="3">
        <v>8.1558063</v>
      </c>
      <c r="AC248" s="3">
        <v>8.24974142</v>
      </c>
      <c r="AD248" s="3">
        <v>8.05599751</v>
      </c>
      <c r="AE248" s="3">
        <v>8.13980408</v>
      </c>
      <c r="AF248" s="3">
        <v>8.19846251</v>
      </c>
      <c r="AG248" s="3">
        <v>8.25772038</v>
      </c>
      <c r="AH248" s="3">
        <v>8.31637367</v>
      </c>
      <c r="AI248" s="3">
        <v>8.37502695</v>
      </c>
      <c r="AJ248" s="4">
        <f t="shared" si="9"/>
        <v>1.21705798</v>
      </c>
    </row>
    <row r="249">
      <c r="A249" s="1" t="s">
        <v>501</v>
      </c>
      <c r="B249" s="1" t="s">
        <v>502</v>
      </c>
      <c r="C249" s="1" t="s">
        <v>7</v>
      </c>
      <c r="D249" s="1" t="s">
        <v>8</v>
      </c>
      <c r="E249" s="3">
        <v>70.6153846</v>
      </c>
      <c r="F249" s="3">
        <v>70.8717949</v>
      </c>
      <c r="G249" s="3">
        <v>71.1282051</v>
      </c>
      <c r="H249" s="3">
        <v>71.3846154</v>
      </c>
      <c r="I249" s="3">
        <v>71.6410256</v>
      </c>
      <c r="J249" s="3">
        <v>71.8974359</v>
      </c>
      <c r="K249" s="3">
        <v>72.1538462</v>
      </c>
      <c r="L249" s="3">
        <v>72.4102564</v>
      </c>
      <c r="M249" s="3">
        <v>72.6666667</v>
      </c>
      <c r="N249" s="3">
        <v>72.9230769</v>
      </c>
      <c r="O249" s="3">
        <v>73.1794872</v>
      </c>
      <c r="P249" s="3">
        <v>73.1794872</v>
      </c>
      <c r="Q249" s="3">
        <v>73.1794872</v>
      </c>
      <c r="R249" s="3">
        <v>73.1794872</v>
      </c>
      <c r="S249" s="3">
        <v>73.1794872</v>
      </c>
      <c r="T249" s="3">
        <v>73.1794872</v>
      </c>
      <c r="U249" s="3">
        <v>73.1794872</v>
      </c>
      <c r="V249" s="3">
        <v>73.1794872</v>
      </c>
      <c r="W249" s="3">
        <v>73.1794872</v>
      </c>
      <c r="X249" s="3">
        <v>73.1794872</v>
      </c>
      <c r="Y249" s="3">
        <v>73.1794872</v>
      </c>
      <c r="Z249" s="3">
        <v>73.1794872</v>
      </c>
      <c r="AA249" s="3">
        <v>73.1794872</v>
      </c>
      <c r="AB249" s="3">
        <v>73.1794872</v>
      </c>
      <c r="AC249" s="3">
        <v>73.1794872</v>
      </c>
      <c r="AD249" s="3">
        <v>73.1794872</v>
      </c>
      <c r="AE249" s="3">
        <v>73.1794872</v>
      </c>
      <c r="AF249" s="3">
        <v>73.1794872</v>
      </c>
      <c r="AG249" s="3">
        <v>73.1794872</v>
      </c>
      <c r="AH249" s="3">
        <v>73.1794872</v>
      </c>
      <c r="AI249" s="3">
        <v>73.1794872</v>
      </c>
      <c r="AJ249" s="4">
        <f t="shared" si="9"/>
        <v>2.5641026</v>
      </c>
    </row>
    <row r="250">
      <c r="A250" s="1" t="s">
        <v>503</v>
      </c>
      <c r="B250" s="1" t="s">
        <v>504</v>
      </c>
      <c r="C250" s="1" t="s">
        <v>7</v>
      </c>
      <c r="D250" s="1" t="s">
        <v>8</v>
      </c>
      <c r="E250" s="3">
        <v>58.9830508</v>
      </c>
      <c r="F250" s="3">
        <v>58.6571056</v>
      </c>
      <c r="G250" s="3">
        <v>58.3311604</v>
      </c>
      <c r="H250" s="3">
        <v>58.0052151</v>
      </c>
      <c r="I250" s="3">
        <v>57.6792699</v>
      </c>
      <c r="J250" s="3">
        <v>57.3533246</v>
      </c>
      <c r="K250" s="3">
        <v>57.0273794</v>
      </c>
      <c r="L250" s="3">
        <v>56.7014342</v>
      </c>
      <c r="M250" s="3">
        <v>56.3754889</v>
      </c>
      <c r="N250" s="3">
        <v>56.0495437</v>
      </c>
      <c r="O250" s="3">
        <v>55.7235984</v>
      </c>
      <c r="P250" s="3">
        <v>55.5369877</v>
      </c>
      <c r="Q250" s="3">
        <v>55.350377</v>
      </c>
      <c r="R250" s="3">
        <v>55.1637662</v>
      </c>
      <c r="S250" s="3">
        <v>54.9771555</v>
      </c>
      <c r="T250" s="3">
        <v>54.7905448</v>
      </c>
      <c r="U250" s="3">
        <v>54.603934</v>
      </c>
      <c r="V250" s="3">
        <v>54.4173233</v>
      </c>
      <c r="W250" s="3">
        <v>54.2307125</v>
      </c>
      <c r="X250" s="3">
        <v>54.0441018</v>
      </c>
      <c r="Y250" s="3">
        <v>53.8574911</v>
      </c>
      <c r="Z250" s="3">
        <v>53.6711071</v>
      </c>
      <c r="AA250" s="3">
        <v>53.4847231</v>
      </c>
      <c r="AB250" s="3">
        <v>53.2983391</v>
      </c>
      <c r="AC250" s="3">
        <v>53.1119551</v>
      </c>
      <c r="AD250" s="3">
        <v>52.9255711</v>
      </c>
      <c r="AE250" s="3">
        <v>52.7671447</v>
      </c>
      <c r="AF250" s="3">
        <v>52.6366759</v>
      </c>
      <c r="AG250" s="3">
        <v>52.5341647</v>
      </c>
      <c r="AH250" s="3">
        <v>52.4596111</v>
      </c>
      <c r="AI250" s="3">
        <v>52.4130151</v>
      </c>
      <c r="AJ250" s="4">
        <f t="shared" si="9"/>
        <v>-6.5700357</v>
      </c>
    </row>
    <row r="251">
      <c r="A251" s="1" t="s">
        <v>505</v>
      </c>
      <c r="B251" s="1" t="s">
        <v>506</v>
      </c>
      <c r="C251" s="1" t="s">
        <v>7</v>
      </c>
      <c r="D251" s="1" t="s">
        <v>8</v>
      </c>
      <c r="E251" s="3">
        <v>24.7333333</v>
      </c>
      <c r="F251" s="3">
        <v>24.7066667</v>
      </c>
      <c r="G251" s="3">
        <v>24.68</v>
      </c>
      <c r="H251" s="3">
        <v>24.6533333</v>
      </c>
      <c r="I251" s="3">
        <v>24.6266667</v>
      </c>
      <c r="J251" s="3">
        <v>24.6</v>
      </c>
      <c r="K251" s="3">
        <v>24.5733333</v>
      </c>
      <c r="L251" s="3">
        <v>24.5466667</v>
      </c>
      <c r="M251" s="3">
        <v>24.52</v>
      </c>
      <c r="N251" s="3">
        <v>24.4933333</v>
      </c>
      <c r="O251" s="3">
        <v>24.4666667</v>
      </c>
      <c r="P251" s="3">
        <v>24.4466667</v>
      </c>
      <c r="Q251" s="3">
        <v>24.4266667</v>
      </c>
      <c r="R251" s="3">
        <v>24.4066667</v>
      </c>
      <c r="S251" s="3">
        <v>24.3866667</v>
      </c>
      <c r="T251" s="3">
        <v>24.3666667</v>
      </c>
      <c r="U251" s="3">
        <v>24.3466667</v>
      </c>
      <c r="V251" s="3">
        <v>24.3266667</v>
      </c>
      <c r="W251" s="3">
        <v>24.3066667</v>
      </c>
      <c r="X251" s="3">
        <v>24.2866667</v>
      </c>
      <c r="Y251" s="3">
        <v>24.2666667</v>
      </c>
      <c r="Z251" s="3">
        <v>24.24</v>
      </c>
      <c r="AA251" s="3">
        <v>24.2133333</v>
      </c>
      <c r="AB251" s="3">
        <v>24.1866667</v>
      </c>
      <c r="AC251" s="3">
        <v>24.16</v>
      </c>
      <c r="AD251" s="3">
        <v>24.1333333</v>
      </c>
      <c r="AE251" s="3">
        <v>24.1333333</v>
      </c>
      <c r="AF251" s="3">
        <v>24.1333333</v>
      </c>
      <c r="AG251" s="3">
        <v>24.1333333</v>
      </c>
      <c r="AH251" s="3">
        <v>24.1333333</v>
      </c>
      <c r="AI251" s="3">
        <v>24.1333333</v>
      </c>
      <c r="AJ251" s="4">
        <f t="shared" si="9"/>
        <v>-0.6</v>
      </c>
    </row>
    <row r="252">
      <c r="A252" s="1" t="s">
        <v>507</v>
      </c>
      <c r="B252" s="1" t="s">
        <v>508</v>
      </c>
      <c r="C252" s="1" t="s">
        <v>7</v>
      </c>
      <c r="D252" s="1" t="s">
        <v>8</v>
      </c>
      <c r="E252" s="3">
        <v>70.1142857</v>
      </c>
      <c r="F252" s="3">
        <v>68.9514286</v>
      </c>
      <c r="G252" s="3">
        <v>67.7885714</v>
      </c>
      <c r="H252" s="3">
        <v>66.6257143</v>
      </c>
      <c r="I252" s="3">
        <v>65.4628571</v>
      </c>
      <c r="J252" s="3">
        <v>64.3</v>
      </c>
      <c r="K252" s="3">
        <v>63.1371429</v>
      </c>
      <c r="L252" s="3">
        <v>61.9742857</v>
      </c>
      <c r="M252" s="3">
        <v>60.8114286</v>
      </c>
      <c r="N252" s="3">
        <v>59.6485714</v>
      </c>
      <c r="O252" s="3">
        <v>58.4857143</v>
      </c>
      <c r="P252" s="3">
        <v>57.9028571</v>
      </c>
      <c r="Q252" s="3">
        <v>57.32</v>
      </c>
      <c r="R252" s="3">
        <v>56.7371429</v>
      </c>
      <c r="S252" s="3">
        <v>56.1542857</v>
      </c>
      <c r="T252" s="3">
        <v>55.5714286</v>
      </c>
      <c r="U252" s="3">
        <v>54.9885714</v>
      </c>
      <c r="V252" s="3">
        <v>54.4057143</v>
      </c>
      <c r="W252" s="3">
        <v>53.8228571</v>
      </c>
      <c r="X252" s="3">
        <v>53.24</v>
      </c>
      <c r="Y252" s="3">
        <v>52.6571429</v>
      </c>
      <c r="Z252" s="3">
        <v>53.0742857</v>
      </c>
      <c r="AA252" s="3">
        <v>53.4914286</v>
      </c>
      <c r="AB252" s="3">
        <v>53.9085714</v>
      </c>
      <c r="AC252" s="3">
        <v>54.3257143</v>
      </c>
      <c r="AD252" s="3">
        <v>54.7428571</v>
      </c>
      <c r="AE252" s="3">
        <v>55.1714286</v>
      </c>
      <c r="AF252" s="3">
        <v>55.6</v>
      </c>
      <c r="AG252" s="3">
        <v>56.0285714</v>
      </c>
      <c r="AH252" s="3">
        <v>56.4571429</v>
      </c>
      <c r="AI252" s="3">
        <v>56.8857143</v>
      </c>
      <c r="AJ252" s="4">
        <f t="shared" si="9"/>
        <v>-13.2285714</v>
      </c>
    </row>
    <row r="253">
      <c r="A253" s="1" t="s">
        <v>509</v>
      </c>
      <c r="B253" s="1" t="s">
        <v>510</v>
      </c>
      <c r="C253" s="1" t="s">
        <v>7</v>
      </c>
      <c r="D253" s="1" t="s">
        <v>8</v>
      </c>
      <c r="E253" s="3">
        <v>28.8056776</v>
      </c>
      <c r="F253" s="3">
        <v>29.5455283</v>
      </c>
      <c r="G253" s="3">
        <v>30.285379</v>
      </c>
      <c r="H253" s="3">
        <v>31.0252297</v>
      </c>
      <c r="I253" s="3">
        <v>31.7650803</v>
      </c>
      <c r="J253" s="3">
        <v>32.504931</v>
      </c>
      <c r="K253" s="3">
        <v>33.2447817</v>
      </c>
      <c r="L253" s="3">
        <v>33.9846324</v>
      </c>
      <c r="M253" s="3">
        <v>34.7244831</v>
      </c>
      <c r="N253" s="3">
        <v>35.4643338</v>
      </c>
      <c r="O253" s="3">
        <v>37.883688</v>
      </c>
      <c r="P253" s="3">
        <v>38.3956283</v>
      </c>
      <c r="Q253" s="3">
        <v>38.9788826</v>
      </c>
      <c r="R253" s="3">
        <v>39.556513</v>
      </c>
      <c r="S253" s="3">
        <v>40.0738027</v>
      </c>
      <c r="T253" s="3">
        <v>40.5910923</v>
      </c>
      <c r="U253" s="3">
        <v>41.108382</v>
      </c>
      <c r="V253" s="3">
        <v>41.6256716</v>
      </c>
      <c r="W253" s="3">
        <v>42.1429613</v>
      </c>
      <c r="X253" s="3">
        <v>42.6602509</v>
      </c>
      <c r="Y253" s="3">
        <v>43.1775406</v>
      </c>
      <c r="Z253" s="3">
        <v>43.6121521</v>
      </c>
      <c r="AA253" s="3">
        <v>44.0467636</v>
      </c>
      <c r="AB253" s="3">
        <v>44.4813752</v>
      </c>
      <c r="AC253" s="3">
        <v>44.9159867</v>
      </c>
      <c r="AD253" s="3">
        <v>45.3505983</v>
      </c>
      <c r="AE253" s="3">
        <v>46.3691425</v>
      </c>
      <c r="AF253" s="3">
        <v>46.4907602</v>
      </c>
      <c r="AG253" s="3">
        <v>46.7355436</v>
      </c>
      <c r="AH253" s="3">
        <v>46.980327</v>
      </c>
      <c r="AI253" s="3">
        <v>47.2251105</v>
      </c>
      <c r="AJ253" s="4">
        <f t="shared" si="9"/>
        <v>18.4194329</v>
      </c>
    </row>
    <row r="254">
      <c r="A254" s="1" t="s">
        <v>511</v>
      </c>
      <c r="B254" s="1" t="s">
        <v>512</v>
      </c>
      <c r="C254" s="1" t="s">
        <v>7</v>
      </c>
      <c r="D254" s="1" t="s">
        <v>8</v>
      </c>
      <c r="E254" s="3">
        <v>36.2838392</v>
      </c>
      <c r="F254" s="3">
        <v>36.2838392</v>
      </c>
      <c r="G254" s="3">
        <v>36.2838392</v>
      </c>
      <c r="H254" s="3">
        <v>36.2838392</v>
      </c>
      <c r="I254" s="3">
        <v>36.2838392</v>
      </c>
      <c r="J254" s="3">
        <v>36.2838392</v>
      </c>
      <c r="K254" s="3">
        <v>36.2838392</v>
      </c>
      <c r="L254" s="3">
        <v>36.2838392</v>
      </c>
      <c r="M254" s="3">
        <v>36.2838392</v>
      </c>
      <c r="N254" s="3">
        <v>36.2838392</v>
      </c>
      <c r="O254" s="3">
        <v>36.2838392</v>
      </c>
      <c r="P254" s="3">
        <v>36.2838392</v>
      </c>
      <c r="Q254" s="3">
        <v>36.2838392</v>
      </c>
      <c r="R254" s="3">
        <v>36.2838392</v>
      </c>
      <c r="S254" s="3">
        <v>36.2838392</v>
      </c>
      <c r="T254" s="3">
        <v>36.2838392</v>
      </c>
      <c r="U254" s="3">
        <v>36.2838392</v>
      </c>
      <c r="V254" s="3">
        <v>36.2838392</v>
      </c>
      <c r="W254" s="3">
        <v>36.2838392</v>
      </c>
      <c r="X254" s="3">
        <v>36.2838392</v>
      </c>
      <c r="Y254" s="3">
        <v>36.2838392</v>
      </c>
      <c r="Z254" s="3">
        <v>36.2838392</v>
      </c>
      <c r="AA254" s="3">
        <v>36.2838392</v>
      </c>
      <c r="AB254" s="3">
        <v>36.2838392</v>
      </c>
      <c r="AC254" s="3">
        <v>36.2838392</v>
      </c>
      <c r="AD254" s="3">
        <v>36.2838392</v>
      </c>
      <c r="AE254" s="3">
        <v>36.2838392</v>
      </c>
      <c r="AF254" s="3">
        <v>36.2838392</v>
      </c>
      <c r="AG254" s="3">
        <v>36.2838392</v>
      </c>
      <c r="AH254" s="3">
        <v>36.2838392</v>
      </c>
      <c r="AI254" s="3">
        <v>36.2838392</v>
      </c>
      <c r="AJ254" s="4">
        <f t="shared" si="9"/>
        <v>0</v>
      </c>
    </row>
    <row r="255">
      <c r="A255" s="1" t="s">
        <v>513</v>
      </c>
      <c r="B255" s="1" t="s">
        <v>514</v>
      </c>
      <c r="C255" s="1" t="s">
        <v>7</v>
      </c>
      <c r="D255" s="1" t="s">
        <v>8</v>
      </c>
      <c r="E255" s="3">
        <v>31.6245086</v>
      </c>
      <c r="F255" s="3">
        <v>31.5688153</v>
      </c>
      <c r="G255" s="3">
        <v>31.6204672</v>
      </c>
      <c r="H255" s="3">
        <v>31.565509</v>
      </c>
      <c r="I255" s="3">
        <v>31.5124956</v>
      </c>
      <c r="J255" s="3">
        <v>31.4573439</v>
      </c>
      <c r="K255" s="3">
        <v>31.4015862</v>
      </c>
      <c r="L255" s="3">
        <v>31.3290221</v>
      </c>
      <c r="M255" s="3">
        <v>31.2794377</v>
      </c>
      <c r="N255" s="3">
        <v>31.221965</v>
      </c>
      <c r="O255" s="3">
        <v>31.1706902</v>
      </c>
      <c r="P255" s="3">
        <v>31.1358198</v>
      </c>
      <c r="Q255" s="3">
        <v>31.1012044</v>
      </c>
      <c r="R255" s="3">
        <v>31.0660899</v>
      </c>
      <c r="S255" s="3">
        <v>31.0313629</v>
      </c>
      <c r="T255" s="3">
        <v>30.996238</v>
      </c>
      <c r="U255" s="3">
        <v>30.9712308</v>
      </c>
      <c r="V255" s="3">
        <v>30.9450298</v>
      </c>
      <c r="W255" s="3">
        <v>30.9226052</v>
      </c>
      <c r="X255" s="3">
        <v>30.8967481</v>
      </c>
      <c r="Y255" s="3">
        <v>30.8699641</v>
      </c>
      <c r="Z255" s="3">
        <v>30.8443891</v>
      </c>
      <c r="AA255" s="3">
        <v>30.8198468</v>
      </c>
      <c r="AB255" s="3">
        <v>30.794674</v>
      </c>
      <c r="AC255" s="3">
        <v>30.769568</v>
      </c>
      <c r="AD255" s="3">
        <v>30.7442644</v>
      </c>
      <c r="AE255" s="3">
        <v>30.7164209</v>
      </c>
      <c r="AF255" s="5"/>
      <c r="AG255" s="5"/>
      <c r="AH255" s="5"/>
      <c r="AI255" s="5"/>
      <c r="AJ255" s="4">
        <f t="shared" si="9"/>
        <v>-31.6245086</v>
      </c>
    </row>
    <row r="256">
      <c r="A256" s="1" t="s">
        <v>515</v>
      </c>
      <c r="B256" s="1" t="s">
        <v>516</v>
      </c>
      <c r="C256" s="1" t="s">
        <v>7</v>
      </c>
      <c r="D256" s="1" t="s">
        <v>8</v>
      </c>
      <c r="E256" s="3">
        <v>62.2367491</v>
      </c>
      <c r="F256" s="3">
        <v>62.0664311</v>
      </c>
      <c r="G256" s="3">
        <v>61.8961131</v>
      </c>
      <c r="H256" s="3">
        <v>61.7257951</v>
      </c>
      <c r="I256" s="3">
        <v>61.555477</v>
      </c>
      <c r="J256" s="3">
        <v>61.385159</v>
      </c>
      <c r="K256" s="3">
        <v>61.214841</v>
      </c>
      <c r="L256" s="3">
        <v>61.044523</v>
      </c>
      <c r="M256" s="3">
        <v>60.8742049</v>
      </c>
      <c r="N256" s="3">
        <v>60.7038869</v>
      </c>
      <c r="O256" s="3">
        <v>60.5335689</v>
      </c>
      <c r="P256" s="3">
        <v>60.3632509</v>
      </c>
      <c r="Q256" s="3">
        <v>60.1929329</v>
      </c>
      <c r="R256" s="3">
        <v>60.0226148</v>
      </c>
      <c r="S256" s="3">
        <v>59.8522968</v>
      </c>
      <c r="T256" s="3">
        <v>59.6819788</v>
      </c>
      <c r="U256" s="3">
        <v>59.5116608</v>
      </c>
      <c r="V256" s="3">
        <v>59.3413428</v>
      </c>
      <c r="W256" s="3">
        <v>59.1710247</v>
      </c>
      <c r="X256" s="3">
        <v>59.0007067</v>
      </c>
      <c r="Y256" s="3">
        <v>58.8303887</v>
      </c>
      <c r="Z256" s="3">
        <v>58.659364</v>
      </c>
      <c r="AA256" s="3">
        <v>58.4883392</v>
      </c>
      <c r="AB256" s="3">
        <v>58.3173145</v>
      </c>
      <c r="AC256" s="3">
        <v>58.1462898</v>
      </c>
      <c r="AD256" s="3">
        <v>57.975265</v>
      </c>
      <c r="AE256" s="3">
        <v>57.8056537</v>
      </c>
      <c r="AF256" s="3">
        <v>57.6360424</v>
      </c>
      <c r="AG256" s="3">
        <v>57.4664311</v>
      </c>
      <c r="AH256" s="3">
        <v>57.2968198</v>
      </c>
      <c r="AI256" s="3">
        <v>57.1272085</v>
      </c>
      <c r="AJ256" s="4">
        <f t="shared" si="9"/>
        <v>-5.1095406</v>
      </c>
    </row>
    <row r="257">
      <c r="A257" s="1" t="s">
        <v>517</v>
      </c>
      <c r="B257" s="1" t="s">
        <v>518</v>
      </c>
      <c r="C257" s="1" t="s">
        <v>7</v>
      </c>
      <c r="D257" s="1" t="s">
        <v>8</v>
      </c>
      <c r="E257" s="3">
        <v>1.03983181</v>
      </c>
      <c r="F257" s="3">
        <v>1.03983181</v>
      </c>
      <c r="G257" s="3">
        <v>1.03983181</v>
      </c>
      <c r="H257" s="3">
        <v>1.03983181</v>
      </c>
      <c r="I257" s="3">
        <v>1.03983181</v>
      </c>
      <c r="J257" s="3">
        <v>1.03983181</v>
      </c>
      <c r="K257" s="3">
        <v>1.03983181</v>
      </c>
      <c r="L257" s="3">
        <v>1.03983181</v>
      </c>
      <c r="M257" s="3">
        <v>1.03983181</v>
      </c>
      <c r="N257" s="3">
        <v>1.03983181</v>
      </c>
      <c r="O257" s="3">
        <v>1.03983181</v>
      </c>
      <c r="P257" s="3">
        <v>1.03983181</v>
      </c>
      <c r="Q257" s="3">
        <v>1.03983181</v>
      </c>
      <c r="R257" s="3">
        <v>1.03983181</v>
      </c>
      <c r="S257" s="3">
        <v>1.03983181</v>
      </c>
      <c r="T257" s="3">
        <v>1.03983181</v>
      </c>
      <c r="U257" s="3">
        <v>1.03983181</v>
      </c>
      <c r="V257" s="3">
        <v>1.03983181</v>
      </c>
      <c r="W257" s="3">
        <v>1.03983181</v>
      </c>
      <c r="X257" s="3">
        <v>1.03983181</v>
      </c>
      <c r="Y257" s="3">
        <v>1.03983181</v>
      </c>
      <c r="Z257" s="3">
        <v>1.03983181</v>
      </c>
      <c r="AA257" s="3">
        <v>1.03983181</v>
      </c>
      <c r="AB257" s="3">
        <v>1.03983181</v>
      </c>
      <c r="AC257" s="3">
        <v>1.03983181</v>
      </c>
      <c r="AD257" s="3">
        <v>1.03983181</v>
      </c>
      <c r="AE257" s="3">
        <v>1.03983181</v>
      </c>
      <c r="AF257" s="3">
        <v>1.03983181</v>
      </c>
      <c r="AG257" s="3">
        <v>1.03983181</v>
      </c>
      <c r="AH257" s="3">
        <v>1.03983181</v>
      </c>
      <c r="AI257" s="3">
        <v>1.03983181</v>
      </c>
      <c r="AJ257" s="4">
        <f t="shared" si="9"/>
        <v>0</v>
      </c>
    </row>
    <row r="258">
      <c r="A258" s="1" t="s">
        <v>519</v>
      </c>
      <c r="B258" s="1" t="s">
        <v>520</v>
      </c>
      <c r="C258" s="1" t="s">
        <v>7</v>
      </c>
      <c r="D258" s="1" t="s">
        <v>8</v>
      </c>
      <c r="E258" s="3">
        <v>14.9552712</v>
      </c>
      <c r="F258" s="3">
        <v>14.9252652</v>
      </c>
      <c r="G258" s="3">
        <v>14.8952592</v>
      </c>
      <c r="H258" s="3">
        <v>14.8652532</v>
      </c>
      <c r="I258" s="3">
        <v>14.8352472</v>
      </c>
      <c r="J258" s="3">
        <v>14.8052412</v>
      </c>
      <c r="K258" s="3">
        <v>14.7752351</v>
      </c>
      <c r="L258" s="3">
        <v>14.7452291</v>
      </c>
      <c r="M258" s="3">
        <v>14.7152231</v>
      </c>
      <c r="N258" s="3">
        <v>14.6852171</v>
      </c>
      <c r="O258" s="3">
        <v>14.6552111</v>
      </c>
      <c r="P258" s="3">
        <v>14.6252051</v>
      </c>
      <c r="Q258" s="3">
        <v>14.595199</v>
      </c>
      <c r="R258" s="3">
        <v>14.565193</v>
      </c>
      <c r="S258" s="3">
        <v>14.535187</v>
      </c>
      <c r="T258" s="3">
        <v>14.505181</v>
      </c>
      <c r="U258" s="3">
        <v>14.475175</v>
      </c>
      <c r="V258" s="3">
        <v>14.4451689</v>
      </c>
      <c r="W258" s="3">
        <v>14.4151629</v>
      </c>
      <c r="X258" s="3">
        <v>14.3851569</v>
      </c>
      <c r="Y258" s="3">
        <v>14.3551509</v>
      </c>
      <c r="Z258" s="3">
        <v>14.3251449</v>
      </c>
      <c r="AA258" s="3">
        <v>14.2951389</v>
      </c>
      <c r="AB258" s="3">
        <v>14.2651328</v>
      </c>
      <c r="AC258" s="3">
        <v>14.2351268</v>
      </c>
      <c r="AD258" s="3">
        <v>14.2051208</v>
      </c>
      <c r="AE258" s="3">
        <v>14.1751148</v>
      </c>
      <c r="AF258" s="3">
        <v>14.1451088</v>
      </c>
      <c r="AG258" s="3">
        <v>14.1151028</v>
      </c>
      <c r="AH258" s="3">
        <v>14.0850967</v>
      </c>
      <c r="AI258" s="3">
        <v>14.0550907</v>
      </c>
      <c r="AJ258" s="4">
        <f t="shared" si="9"/>
        <v>-0.9001805</v>
      </c>
    </row>
    <row r="259">
      <c r="A259" s="1" t="s">
        <v>521</v>
      </c>
      <c r="B259" s="1" t="s">
        <v>522</v>
      </c>
      <c r="C259" s="1" t="s">
        <v>7</v>
      </c>
      <c r="D259" s="1" t="s">
        <v>8</v>
      </c>
      <c r="E259" s="3">
        <v>63.7780976</v>
      </c>
      <c r="F259" s="3">
        <v>63.7299399</v>
      </c>
      <c r="G259" s="3">
        <v>63.6817821</v>
      </c>
      <c r="H259" s="3">
        <v>63.6336243</v>
      </c>
      <c r="I259" s="3">
        <v>63.5854666</v>
      </c>
      <c r="J259" s="3">
        <v>63.5373088</v>
      </c>
      <c r="K259" s="3">
        <v>63.4891511</v>
      </c>
      <c r="L259" s="3">
        <v>63.4409933</v>
      </c>
      <c r="M259" s="3">
        <v>63.3928355</v>
      </c>
      <c r="N259" s="3">
        <v>63.3446778</v>
      </c>
      <c r="O259" s="3">
        <v>63.29652</v>
      </c>
      <c r="P259" s="3">
        <v>63.2483622</v>
      </c>
      <c r="Q259" s="3">
        <v>63.2002045</v>
      </c>
      <c r="R259" s="3">
        <v>63.1520467</v>
      </c>
      <c r="S259" s="3">
        <v>63.1038889</v>
      </c>
      <c r="T259" s="3">
        <v>63.0557312</v>
      </c>
      <c r="U259" s="3">
        <v>63.0075734</v>
      </c>
      <c r="V259" s="3">
        <v>62.9594156</v>
      </c>
      <c r="W259" s="3">
        <v>62.9112579</v>
      </c>
      <c r="X259" s="3">
        <v>62.8631001</v>
      </c>
      <c r="Y259" s="3">
        <v>62.8149424</v>
      </c>
      <c r="Z259" s="3">
        <v>62.5618047</v>
      </c>
      <c r="AA259" s="3">
        <v>62.3086671</v>
      </c>
      <c r="AB259" s="3">
        <v>62.0555294</v>
      </c>
      <c r="AC259" s="3">
        <v>61.8023917</v>
      </c>
      <c r="AD259" s="3">
        <v>61.5492541</v>
      </c>
      <c r="AE259" s="3">
        <v>61.295955</v>
      </c>
      <c r="AF259" s="3">
        <v>61.0428846</v>
      </c>
      <c r="AG259" s="3">
        <v>60.7897066</v>
      </c>
      <c r="AH259" s="3">
        <v>60.5365152</v>
      </c>
      <c r="AI259" s="3">
        <v>60.2833371</v>
      </c>
      <c r="AJ259" s="4">
        <f t="shared" si="9"/>
        <v>-3.4947605</v>
      </c>
    </row>
    <row r="260">
      <c r="A260" s="1" t="s">
        <v>523</v>
      </c>
      <c r="B260" s="1" t="s">
        <v>524</v>
      </c>
      <c r="C260" s="1" t="s">
        <v>7</v>
      </c>
      <c r="D260" s="1" t="s">
        <v>8</v>
      </c>
      <c r="E260" s="3">
        <v>48.666615</v>
      </c>
      <c r="F260" s="3">
        <v>48.5475249</v>
      </c>
      <c r="G260" s="3">
        <v>48.4284348</v>
      </c>
      <c r="H260" s="3">
        <v>48.3093447</v>
      </c>
      <c r="I260" s="3">
        <v>48.1902546</v>
      </c>
      <c r="J260" s="3">
        <v>48.0711645</v>
      </c>
      <c r="K260" s="3">
        <v>47.9520744</v>
      </c>
      <c r="L260" s="3">
        <v>47.8329844</v>
      </c>
      <c r="M260" s="3">
        <v>47.7138943</v>
      </c>
      <c r="N260" s="3">
        <v>47.5948042</v>
      </c>
      <c r="O260" s="3">
        <v>47.4757141</v>
      </c>
      <c r="P260" s="3">
        <v>47.356624</v>
      </c>
      <c r="Q260" s="3">
        <v>47.2375339</v>
      </c>
      <c r="R260" s="3">
        <v>47.1184438</v>
      </c>
      <c r="S260" s="3">
        <v>46.9993538</v>
      </c>
      <c r="T260" s="3">
        <v>46.8802637</v>
      </c>
      <c r="U260" s="3">
        <v>46.7611736</v>
      </c>
      <c r="V260" s="3">
        <v>46.6420835</v>
      </c>
      <c r="W260" s="3">
        <v>46.5229934</v>
      </c>
      <c r="X260" s="3">
        <v>46.4039033</v>
      </c>
      <c r="Y260" s="3">
        <v>46.2848132</v>
      </c>
      <c r="Z260" s="3">
        <v>46.1657231</v>
      </c>
      <c r="AA260" s="3">
        <v>46.0466331</v>
      </c>
      <c r="AB260" s="3">
        <v>45.927543</v>
      </c>
      <c r="AC260" s="3">
        <v>45.8084529</v>
      </c>
      <c r="AD260" s="3">
        <v>45.6893628</v>
      </c>
      <c r="AE260" s="3">
        <v>45.5702727</v>
      </c>
      <c r="AF260" s="3">
        <v>45.4511826</v>
      </c>
      <c r="AG260" s="3">
        <v>45.3320925</v>
      </c>
      <c r="AH260" s="3">
        <v>45.2130025</v>
      </c>
      <c r="AI260" s="3">
        <v>45.0939124</v>
      </c>
      <c r="AJ260" s="4">
        <f t="shared" si="9"/>
        <v>-3.5727026</v>
      </c>
    </row>
  </sheetData>
  <customSheetViews>
    <customSheetView guid="{3A85B77D-9C6B-40E9-9F9B-F96032D2154A}" filter="1" showAutoFilter="1">
      <autoFilter ref="$A$1:$AJ$260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0</v>
      </c>
      <c r="B1" s="6">
        <v>1990.0</v>
      </c>
      <c r="C1" s="6">
        <v>1991.0</v>
      </c>
      <c r="D1" s="6">
        <v>1992.0</v>
      </c>
      <c r="E1" s="6">
        <v>1993.0</v>
      </c>
      <c r="F1" s="6">
        <v>1994.0</v>
      </c>
      <c r="G1" s="6">
        <v>1995.0</v>
      </c>
      <c r="H1" s="6">
        <v>1996.0</v>
      </c>
      <c r="I1" s="6">
        <v>1997.0</v>
      </c>
      <c r="J1" s="6">
        <v>1998.0</v>
      </c>
      <c r="K1" s="6">
        <v>1999.0</v>
      </c>
      <c r="L1" s="6">
        <v>2000.0</v>
      </c>
      <c r="M1" s="6">
        <v>2001.0</v>
      </c>
      <c r="N1" s="6">
        <v>2002.0</v>
      </c>
      <c r="O1" s="6">
        <v>2003.0</v>
      </c>
      <c r="P1" s="6">
        <v>2004.0</v>
      </c>
      <c r="Q1" s="6">
        <v>2005.0</v>
      </c>
      <c r="R1" s="6">
        <v>2006.0</v>
      </c>
      <c r="S1" s="6">
        <v>2007.0</v>
      </c>
      <c r="T1" s="6">
        <v>2008.0</v>
      </c>
      <c r="U1" s="6">
        <v>2009.0</v>
      </c>
      <c r="V1" s="6">
        <v>2010.0</v>
      </c>
      <c r="W1" s="6">
        <v>2011.0</v>
      </c>
      <c r="X1" s="6">
        <v>2012.0</v>
      </c>
      <c r="Y1" s="6">
        <v>2013.0</v>
      </c>
      <c r="Z1" s="6">
        <v>2014.0</v>
      </c>
      <c r="AA1" s="6">
        <v>2015.0</v>
      </c>
      <c r="AB1" s="6">
        <v>2016.0</v>
      </c>
      <c r="AC1" s="6">
        <v>2017.0</v>
      </c>
      <c r="AD1" s="6">
        <v>2018.0</v>
      </c>
      <c r="AE1" s="6">
        <v>2019.0</v>
      </c>
      <c r="AF1" s="6">
        <v>2020.0</v>
      </c>
      <c r="AG1" s="6"/>
      <c r="AI1" s="6">
        <v>1990.0</v>
      </c>
      <c r="AJ1" s="6">
        <v>1991.0</v>
      </c>
      <c r="AK1" s="6">
        <v>1992.0</v>
      </c>
      <c r="AL1" s="6">
        <v>1993.0</v>
      </c>
      <c r="AM1" s="6">
        <v>1994.0</v>
      </c>
      <c r="AN1" s="6">
        <v>1995.0</v>
      </c>
      <c r="AO1" s="6">
        <v>1996.0</v>
      </c>
      <c r="AP1" s="6">
        <v>1997.0</v>
      </c>
      <c r="AQ1" s="6">
        <v>1998.0</v>
      </c>
      <c r="AR1" s="6">
        <v>1999.0</v>
      </c>
      <c r="AS1" s="6">
        <v>2000.0</v>
      </c>
      <c r="AT1" s="6">
        <v>2001.0</v>
      </c>
      <c r="AU1" s="6">
        <v>2002.0</v>
      </c>
      <c r="AV1" s="6">
        <v>2003.0</v>
      </c>
      <c r="AW1" s="6">
        <v>2004.0</v>
      </c>
      <c r="AX1" s="6">
        <v>2005.0</v>
      </c>
      <c r="AY1" s="6">
        <v>2006.0</v>
      </c>
      <c r="AZ1" s="6">
        <v>2007.0</v>
      </c>
      <c r="BA1" s="6">
        <v>2008.0</v>
      </c>
      <c r="BB1" s="6">
        <v>2009.0</v>
      </c>
      <c r="BC1" s="6">
        <v>2010.0</v>
      </c>
      <c r="BD1" s="6">
        <v>2011.0</v>
      </c>
      <c r="BE1" s="6">
        <v>2012.0</v>
      </c>
      <c r="BF1" s="6">
        <v>2013.0</v>
      </c>
      <c r="BG1" s="6">
        <v>2014.0</v>
      </c>
      <c r="BH1" s="6">
        <v>2015.0</v>
      </c>
      <c r="BI1" s="6">
        <v>2016.0</v>
      </c>
      <c r="BJ1" s="6">
        <v>2017.0</v>
      </c>
      <c r="BK1" s="6">
        <v>2018.0</v>
      </c>
      <c r="BL1" s="6">
        <v>2019.0</v>
      </c>
      <c r="BM1" s="6">
        <v>2020.0</v>
      </c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</row>
    <row r="2">
      <c r="A2" s="1" t="s">
        <v>381</v>
      </c>
      <c r="B2" s="3">
        <v>36.113867</v>
      </c>
      <c r="C2" s="3">
        <v>37.340699</v>
      </c>
      <c r="D2" s="3">
        <v>38.567531</v>
      </c>
      <c r="E2" s="3">
        <v>39.794363</v>
      </c>
      <c r="F2" s="3">
        <v>41.021195</v>
      </c>
      <c r="G2" s="3">
        <v>42.2480271</v>
      </c>
      <c r="H2" s="3">
        <v>43.4748591</v>
      </c>
      <c r="I2" s="3">
        <v>44.7016911</v>
      </c>
      <c r="J2" s="3">
        <v>45.9285231</v>
      </c>
      <c r="K2" s="3">
        <v>47.1553551</v>
      </c>
      <c r="L2" s="3">
        <v>48.3821871</v>
      </c>
      <c r="M2" s="3">
        <v>49.0845547</v>
      </c>
      <c r="N2" s="3">
        <v>49.7869222</v>
      </c>
      <c r="O2" s="3">
        <v>50.4892897</v>
      </c>
      <c r="P2" s="3">
        <v>51.1916573</v>
      </c>
      <c r="Q2" s="3">
        <v>51.8940248</v>
      </c>
      <c r="R2" s="3">
        <v>52.5963923</v>
      </c>
      <c r="S2" s="3">
        <v>53.2987599</v>
      </c>
      <c r="T2" s="3">
        <v>54.0011274</v>
      </c>
      <c r="U2" s="3">
        <v>54.7034949</v>
      </c>
      <c r="V2" s="3">
        <v>55.4058625</v>
      </c>
      <c r="W2" s="3">
        <v>55.4606539</v>
      </c>
      <c r="X2" s="3">
        <v>55.5154453</v>
      </c>
      <c r="Y2" s="3">
        <v>55.5702368</v>
      </c>
      <c r="Z2" s="3">
        <v>55.6250282</v>
      </c>
      <c r="AA2" s="3">
        <v>55.6798196</v>
      </c>
      <c r="AB2" s="3">
        <v>55.735062</v>
      </c>
      <c r="AC2" s="3">
        <v>55.7903044</v>
      </c>
      <c r="AD2" s="3">
        <v>55.8455468</v>
      </c>
      <c r="AE2" s="3">
        <v>55.9007892</v>
      </c>
      <c r="AF2" s="3">
        <v>55.9560316</v>
      </c>
      <c r="AG2" s="7" t="b">
        <f>DASHBOARD!I13</f>
        <v>1</v>
      </c>
      <c r="AH2" s="8" t="str">
        <f>IFERROR(__xludf.DUMMYFUNCTION("QUERY(A2:AG21,""where AG = TRUE"",0)"),"Puerto Rico")</f>
        <v>Puerto Rico</v>
      </c>
      <c r="AI2" s="8">
        <f>IFERROR(__xludf.DUMMYFUNCTION("""COMPUTED_VALUE"""),36.113867)</f>
        <v>36.113867</v>
      </c>
      <c r="AJ2" s="8">
        <f>IFERROR(__xludf.DUMMYFUNCTION("""COMPUTED_VALUE"""),37.340699)</f>
        <v>37.340699</v>
      </c>
      <c r="AK2" s="8">
        <f>IFERROR(__xludf.DUMMYFUNCTION("""COMPUTED_VALUE"""),38.567531)</f>
        <v>38.567531</v>
      </c>
      <c r="AL2" s="8">
        <f>IFERROR(__xludf.DUMMYFUNCTION("""COMPUTED_VALUE"""),39.794363)</f>
        <v>39.794363</v>
      </c>
      <c r="AM2" s="8">
        <f>IFERROR(__xludf.DUMMYFUNCTION("""COMPUTED_VALUE"""),41.021195)</f>
        <v>41.021195</v>
      </c>
      <c r="AN2" s="8">
        <f>IFERROR(__xludf.DUMMYFUNCTION("""COMPUTED_VALUE"""),42.2480271)</f>
        <v>42.2480271</v>
      </c>
      <c r="AO2" s="8">
        <f>IFERROR(__xludf.DUMMYFUNCTION("""COMPUTED_VALUE"""),43.4748591)</f>
        <v>43.4748591</v>
      </c>
      <c r="AP2" s="8">
        <f>IFERROR(__xludf.DUMMYFUNCTION("""COMPUTED_VALUE"""),44.7016911)</f>
        <v>44.7016911</v>
      </c>
      <c r="AQ2" s="8">
        <f>IFERROR(__xludf.DUMMYFUNCTION("""COMPUTED_VALUE"""),45.9285231)</f>
        <v>45.9285231</v>
      </c>
      <c r="AR2" s="8">
        <f>IFERROR(__xludf.DUMMYFUNCTION("""COMPUTED_VALUE"""),47.1553551)</f>
        <v>47.1553551</v>
      </c>
      <c r="AS2" s="8">
        <f>IFERROR(__xludf.DUMMYFUNCTION("""COMPUTED_VALUE"""),48.3821871)</f>
        <v>48.3821871</v>
      </c>
      <c r="AT2" s="8">
        <f>IFERROR(__xludf.DUMMYFUNCTION("""COMPUTED_VALUE"""),49.0845547)</f>
        <v>49.0845547</v>
      </c>
      <c r="AU2" s="8">
        <f>IFERROR(__xludf.DUMMYFUNCTION("""COMPUTED_VALUE"""),49.7869222)</f>
        <v>49.7869222</v>
      </c>
      <c r="AV2" s="8">
        <f>IFERROR(__xludf.DUMMYFUNCTION("""COMPUTED_VALUE"""),50.4892897)</f>
        <v>50.4892897</v>
      </c>
      <c r="AW2" s="8">
        <f>IFERROR(__xludf.DUMMYFUNCTION("""COMPUTED_VALUE"""),51.1916573)</f>
        <v>51.1916573</v>
      </c>
      <c r="AX2" s="8">
        <f>IFERROR(__xludf.DUMMYFUNCTION("""COMPUTED_VALUE"""),51.8940248)</f>
        <v>51.8940248</v>
      </c>
      <c r="AY2" s="8">
        <f>IFERROR(__xludf.DUMMYFUNCTION("""COMPUTED_VALUE"""),52.5963923)</f>
        <v>52.5963923</v>
      </c>
      <c r="AZ2" s="8">
        <f>IFERROR(__xludf.DUMMYFUNCTION("""COMPUTED_VALUE"""),53.2987599)</f>
        <v>53.2987599</v>
      </c>
      <c r="BA2" s="8">
        <f>IFERROR(__xludf.DUMMYFUNCTION("""COMPUTED_VALUE"""),54.0011274)</f>
        <v>54.0011274</v>
      </c>
      <c r="BB2" s="8">
        <f>IFERROR(__xludf.DUMMYFUNCTION("""COMPUTED_VALUE"""),54.7034949)</f>
        <v>54.7034949</v>
      </c>
      <c r="BC2" s="8">
        <f>IFERROR(__xludf.DUMMYFUNCTION("""COMPUTED_VALUE"""),55.4058625)</f>
        <v>55.4058625</v>
      </c>
      <c r="BD2" s="8">
        <f>IFERROR(__xludf.DUMMYFUNCTION("""COMPUTED_VALUE"""),55.4606539)</f>
        <v>55.4606539</v>
      </c>
      <c r="BE2" s="8">
        <f>IFERROR(__xludf.DUMMYFUNCTION("""COMPUTED_VALUE"""),55.5154453)</f>
        <v>55.5154453</v>
      </c>
      <c r="BF2" s="8">
        <f>IFERROR(__xludf.DUMMYFUNCTION("""COMPUTED_VALUE"""),55.5702368)</f>
        <v>55.5702368</v>
      </c>
      <c r="BG2" s="8">
        <f>IFERROR(__xludf.DUMMYFUNCTION("""COMPUTED_VALUE"""),55.6250282)</f>
        <v>55.6250282</v>
      </c>
      <c r="BH2" s="8">
        <f>IFERROR(__xludf.DUMMYFUNCTION("""COMPUTED_VALUE"""),55.6798196)</f>
        <v>55.6798196</v>
      </c>
      <c r="BI2" s="8">
        <f>IFERROR(__xludf.DUMMYFUNCTION("""COMPUTED_VALUE"""),55.735062)</f>
        <v>55.735062</v>
      </c>
      <c r="BJ2" s="8">
        <f>IFERROR(__xludf.DUMMYFUNCTION("""COMPUTED_VALUE"""),55.7903044)</f>
        <v>55.7903044</v>
      </c>
      <c r="BK2" s="8">
        <f>IFERROR(__xludf.DUMMYFUNCTION("""COMPUTED_VALUE"""),55.8455468)</f>
        <v>55.8455468</v>
      </c>
      <c r="BL2" s="8">
        <f>IFERROR(__xludf.DUMMYFUNCTION("""COMPUTED_VALUE"""),55.9007892)</f>
        <v>55.9007892</v>
      </c>
      <c r="BM2" s="8">
        <f>IFERROR(__xludf.DUMMYFUNCTION("""COMPUTED_VALUE"""),55.9560316)</f>
        <v>55.9560316</v>
      </c>
      <c r="BN2" s="8" t="b">
        <f>IFERROR(__xludf.DUMMYFUNCTION("""COMPUTED_VALUE"""),TRUE)</f>
        <v>1</v>
      </c>
      <c r="BO2" s="8"/>
      <c r="BP2" s="8"/>
      <c r="BQ2" s="8"/>
      <c r="BR2" s="8"/>
      <c r="BS2" s="8"/>
      <c r="BT2" s="8"/>
      <c r="BU2" s="8"/>
      <c r="BV2" s="8"/>
      <c r="BW2" s="8"/>
      <c r="BX2" s="8"/>
    </row>
    <row r="3">
      <c r="A3" s="1" t="s">
        <v>509</v>
      </c>
      <c r="B3" s="3">
        <v>28.8056776</v>
      </c>
      <c r="C3" s="3">
        <v>29.5455283</v>
      </c>
      <c r="D3" s="3">
        <v>30.285379</v>
      </c>
      <c r="E3" s="3">
        <v>31.0252297</v>
      </c>
      <c r="F3" s="3">
        <v>31.7650803</v>
      </c>
      <c r="G3" s="3">
        <v>32.504931</v>
      </c>
      <c r="H3" s="3">
        <v>33.2447817</v>
      </c>
      <c r="I3" s="3">
        <v>33.9846324</v>
      </c>
      <c r="J3" s="3">
        <v>34.7244831</v>
      </c>
      <c r="K3" s="3">
        <v>35.4643338</v>
      </c>
      <c r="L3" s="3">
        <v>37.883688</v>
      </c>
      <c r="M3" s="3">
        <v>38.3956283</v>
      </c>
      <c r="N3" s="3">
        <v>38.9788826</v>
      </c>
      <c r="O3" s="3">
        <v>39.556513</v>
      </c>
      <c r="P3" s="3">
        <v>40.0738027</v>
      </c>
      <c r="Q3" s="3">
        <v>40.5910923</v>
      </c>
      <c r="R3" s="3">
        <v>41.108382</v>
      </c>
      <c r="S3" s="3">
        <v>41.6256716</v>
      </c>
      <c r="T3" s="3">
        <v>42.1429613</v>
      </c>
      <c r="U3" s="3">
        <v>42.6602509</v>
      </c>
      <c r="V3" s="3">
        <v>43.1775406</v>
      </c>
      <c r="W3" s="3">
        <v>43.6121521</v>
      </c>
      <c r="X3" s="3">
        <v>44.0467636</v>
      </c>
      <c r="Y3" s="3">
        <v>44.4813752</v>
      </c>
      <c r="Z3" s="3">
        <v>44.9159867</v>
      </c>
      <c r="AA3" s="3">
        <v>45.3505983</v>
      </c>
      <c r="AB3" s="3">
        <v>46.3691425</v>
      </c>
      <c r="AC3" s="3">
        <v>46.4907602</v>
      </c>
      <c r="AD3" s="3">
        <v>46.7355436</v>
      </c>
      <c r="AE3" s="3">
        <v>46.980327</v>
      </c>
      <c r="AF3" s="3">
        <v>47.2251105</v>
      </c>
      <c r="AG3" s="7" t="b">
        <f>DASHBOARD!I14</f>
        <v>0</v>
      </c>
      <c r="AH3" s="7" t="str">
        <f>IFERROR(__xludf.DUMMYFUNCTION("""COMPUTED_VALUE"""),"Cuba")</f>
        <v>Cuba</v>
      </c>
      <c r="AI3" s="7">
        <f>IFERROR(__xludf.DUMMYFUNCTION("""COMPUTED_VALUE"""),19.1620112)</f>
        <v>19.1620112</v>
      </c>
      <c r="AJ3" s="7">
        <f>IFERROR(__xludf.DUMMYFUNCTION("""COMPUTED_VALUE"""),19.5130354)</f>
        <v>19.5130354</v>
      </c>
      <c r="AK3" s="7">
        <f>IFERROR(__xludf.DUMMYFUNCTION("""COMPUTED_VALUE"""),19.8640596)</f>
        <v>19.8640596</v>
      </c>
      <c r="AL3" s="7">
        <f>IFERROR(__xludf.DUMMYFUNCTION("""COMPUTED_VALUE"""),20.2150838)</f>
        <v>20.2150838</v>
      </c>
      <c r="AM3" s="7">
        <f>IFERROR(__xludf.DUMMYFUNCTION("""COMPUTED_VALUE"""),20.566108)</f>
        <v>20.566108</v>
      </c>
      <c r="AN3" s="7">
        <f>IFERROR(__xludf.DUMMYFUNCTION("""COMPUTED_VALUE"""),20.9171322)</f>
        <v>20.9171322</v>
      </c>
      <c r="AO3" s="7">
        <f>IFERROR(__xludf.DUMMYFUNCTION("""COMPUTED_VALUE"""),21.2681564)</f>
        <v>21.2681564</v>
      </c>
      <c r="AP3" s="7">
        <f>IFERROR(__xludf.DUMMYFUNCTION("""COMPUTED_VALUE"""),21.6191806)</f>
        <v>21.6191806</v>
      </c>
      <c r="AQ3" s="7">
        <f>IFERROR(__xludf.DUMMYFUNCTION("""COMPUTED_VALUE"""),21.9702048)</f>
        <v>21.9702048</v>
      </c>
      <c r="AR3" s="7">
        <f>IFERROR(__xludf.DUMMYFUNCTION("""COMPUTED_VALUE"""),22.3212291)</f>
        <v>22.3212291</v>
      </c>
      <c r="AS3" s="7">
        <f>IFERROR(__xludf.DUMMYFUNCTION("""COMPUTED_VALUE"""),22.6722533)</f>
        <v>22.6722533</v>
      </c>
      <c r="AT3" s="7">
        <f>IFERROR(__xludf.DUMMYFUNCTION("""COMPUTED_VALUE"""),23.1350093)</f>
        <v>23.1350093</v>
      </c>
      <c r="AU3" s="7">
        <f>IFERROR(__xludf.DUMMYFUNCTION("""COMPUTED_VALUE"""),23.8217878)</f>
        <v>23.8217878</v>
      </c>
      <c r="AV3" s="7">
        <f>IFERROR(__xludf.DUMMYFUNCTION("""COMPUTED_VALUE"""),24.2866541)</f>
        <v>24.2866541</v>
      </c>
      <c r="AW3" s="7">
        <f>IFERROR(__xludf.DUMMYFUNCTION("""COMPUTED_VALUE"""),24.7514331)</f>
        <v>24.7514331</v>
      </c>
      <c r="AX3" s="7">
        <f>IFERROR(__xludf.DUMMYFUNCTION("""COMPUTED_VALUE"""),25.2113867)</f>
        <v>25.2113867</v>
      </c>
      <c r="AY3" s="7">
        <f>IFERROR(__xludf.DUMMYFUNCTION("""COMPUTED_VALUE"""),25.6807291)</f>
        <v>25.6807291</v>
      </c>
      <c r="AZ3" s="7">
        <f>IFERROR(__xludf.DUMMYFUNCTION("""COMPUTED_VALUE"""),26.1452461)</f>
        <v>26.1452461</v>
      </c>
      <c r="BA3" s="7">
        <f>IFERROR(__xludf.DUMMYFUNCTION("""COMPUTED_VALUE"""),26.6121759)</f>
        <v>26.6121759</v>
      </c>
      <c r="BB3" s="7">
        <f>IFERROR(__xludf.DUMMYFUNCTION("""COMPUTED_VALUE"""),27.0791056)</f>
        <v>27.0791056</v>
      </c>
      <c r="BC3" s="7">
        <f>IFERROR(__xludf.DUMMYFUNCTION("""COMPUTED_VALUE"""),27.5460353)</f>
        <v>27.5460353</v>
      </c>
      <c r="BD3" s="7">
        <f>IFERROR(__xludf.DUMMYFUNCTION("""COMPUTED_VALUE"""),27.9086307)</f>
        <v>27.9086307</v>
      </c>
      <c r="BE3" s="7">
        <f>IFERROR(__xludf.DUMMYFUNCTION("""COMPUTED_VALUE"""),28.4372099)</f>
        <v>28.4372099</v>
      </c>
      <c r="BF3" s="7">
        <f>IFERROR(__xludf.DUMMYFUNCTION("""COMPUTED_VALUE"""),29.5835732)</f>
        <v>29.5835732</v>
      </c>
      <c r="BG3" s="7">
        <f>IFERROR(__xludf.DUMMYFUNCTION("""COMPUTED_VALUE"""),30.124976)</f>
        <v>30.124976</v>
      </c>
      <c r="BH3" s="7">
        <f>IFERROR(__xludf.DUMMYFUNCTION("""COMPUTED_VALUE"""),30.585975)</f>
        <v>30.585975</v>
      </c>
      <c r="BI3" s="7">
        <f>IFERROR(__xludf.DUMMYFUNCTION("""COMPUTED_VALUE"""),31.1514802)</f>
        <v>31.1514802</v>
      </c>
      <c r="BJ3" s="7">
        <f>IFERROR(__xludf.DUMMYFUNCTION("""COMPUTED_VALUE"""),31.2331407)</f>
        <v>31.2331407</v>
      </c>
      <c r="BK3" s="7">
        <f>IFERROR(__xludf.DUMMYFUNCTION("""COMPUTED_VALUE"""),31.2331407)</f>
        <v>31.2331407</v>
      </c>
      <c r="BL3" s="7">
        <f>IFERROR(__xludf.DUMMYFUNCTION("""COMPUTED_VALUE"""),31.2331407)</f>
        <v>31.2331407</v>
      </c>
      <c r="BM3" s="7">
        <f>IFERROR(__xludf.DUMMYFUNCTION("""COMPUTED_VALUE"""),31.2331407)</f>
        <v>31.2331407</v>
      </c>
      <c r="BN3" s="7" t="b">
        <f>IFERROR(__xludf.DUMMYFUNCTION("""COMPUTED_VALUE"""),TRUE)</f>
        <v>1</v>
      </c>
      <c r="BO3" s="7"/>
      <c r="BP3" s="7"/>
      <c r="BQ3" s="7"/>
      <c r="BR3" s="7"/>
      <c r="BS3" s="7"/>
      <c r="BT3" s="7"/>
      <c r="BU3" s="7"/>
      <c r="BV3" s="7"/>
      <c r="BW3" s="7"/>
      <c r="BX3" s="7"/>
    </row>
    <row r="4">
      <c r="A4" s="1" t="s">
        <v>71</v>
      </c>
      <c r="B4" s="3">
        <v>53.6506646</v>
      </c>
      <c r="C4" s="3">
        <v>53.8631509</v>
      </c>
      <c r="D4" s="3">
        <v>54.0756373</v>
      </c>
      <c r="E4" s="3">
        <v>54.2881236</v>
      </c>
      <c r="F4" s="3">
        <v>63.9807035</v>
      </c>
      <c r="G4" s="3">
        <v>64.2301508</v>
      </c>
      <c r="H4" s="3">
        <v>64.479598</v>
      </c>
      <c r="I4" s="3">
        <v>64.7290452</v>
      </c>
      <c r="J4" s="3">
        <v>64.9784925</v>
      </c>
      <c r="K4" s="3">
        <v>65.2279397</v>
      </c>
      <c r="L4" s="3">
        <v>65.4773869</v>
      </c>
      <c r="M4" s="3">
        <v>65.7268593</v>
      </c>
      <c r="N4" s="3">
        <v>65.9763317</v>
      </c>
      <c r="O4" s="3">
        <v>66.225804</v>
      </c>
      <c r="P4" s="3">
        <v>69.4103943</v>
      </c>
      <c r="Q4" s="3">
        <v>69.6708818</v>
      </c>
      <c r="R4" s="3">
        <v>69.9313692</v>
      </c>
      <c r="S4" s="3">
        <v>70.1918567</v>
      </c>
      <c r="T4" s="3">
        <v>70.4523441</v>
      </c>
      <c r="U4" s="3">
        <v>70.7128315</v>
      </c>
      <c r="V4" s="3">
        <v>70.973319</v>
      </c>
      <c r="W4" s="3">
        <v>71.0252118</v>
      </c>
      <c r="X4" s="3">
        <v>71.0771047</v>
      </c>
      <c r="Y4" s="3">
        <v>71.1289976</v>
      </c>
      <c r="Z4" s="3">
        <v>71.1808904</v>
      </c>
      <c r="AA4" s="3">
        <v>71.2327833</v>
      </c>
      <c r="AB4" s="3">
        <v>71.2342701</v>
      </c>
      <c r="AC4" s="3">
        <v>71.2861787</v>
      </c>
      <c r="AD4" s="3">
        <v>71.345569</v>
      </c>
      <c r="AE4" s="3">
        <v>71.397483</v>
      </c>
      <c r="AF4" s="3">
        <v>71.449397</v>
      </c>
      <c r="AG4" s="7" t="b">
        <f>DASHBOARD!I15</f>
        <v>0</v>
      </c>
      <c r="AH4" s="7" t="str">
        <f>IFERROR(__xludf.DUMMYFUNCTION("""COMPUTED_VALUE"""),"Dominican Republic")</f>
        <v>Dominican Republic</v>
      </c>
      <c r="AI4" s="7">
        <f>IFERROR(__xludf.DUMMYFUNCTION("""COMPUTED_VALUE"""),33.0136618)</f>
        <v>33.0136618</v>
      </c>
      <c r="AJ4" s="7">
        <f>IFERROR(__xludf.DUMMYFUNCTION("""COMPUTED_VALUE"""),33.7952391)</f>
        <v>33.7952391</v>
      </c>
      <c r="AK4" s="7">
        <f>IFERROR(__xludf.DUMMYFUNCTION("""COMPUTED_VALUE"""),34.5768164)</f>
        <v>34.5768164</v>
      </c>
      <c r="AL4" s="7">
        <f>IFERROR(__xludf.DUMMYFUNCTION("""COMPUTED_VALUE"""),35.3583937)</f>
        <v>35.3583937</v>
      </c>
      <c r="AM4" s="7">
        <f>IFERROR(__xludf.DUMMYFUNCTION("""COMPUTED_VALUE"""),36.139971)</f>
        <v>36.139971</v>
      </c>
      <c r="AN4" s="7">
        <f>IFERROR(__xludf.DUMMYFUNCTION("""COMPUTED_VALUE"""),36.9215483)</f>
        <v>36.9215483</v>
      </c>
      <c r="AO4" s="7">
        <f>IFERROR(__xludf.DUMMYFUNCTION("""COMPUTED_VALUE"""),37.7031256)</f>
        <v>37.7031256</v>
      </c>
      <c r="AP4" s="7">
        <f>IFERROR(__xludf.DUMMYFUNCTION("""COMPUTED_VALUE"""),38.484703)</f>
        <v>38.484703</v>
      </c>
      <c r="AQ4" s="7">
        <f>IFERROR(__xludf.DUMMYFUNCTION("""COMPUTED_VALUE"""),39.2662803)</f>
        <v>39.2662803</v>
      </c>
      <c r="AR4" s="7">
        <f>IFERROR(__xludf.DUMMYFUNCTION("""COMPUTED_VALUE"""),40.0478576)</f>
        <v>40.0478576</v>
      </c>
      <c r="AS4" s="7">
        <f>IFERROR(__xludf.DUMMYFUNCTION("""COMPUTED_VALUE"""),40.8294349)</f>
        <v>40.8294349</v>
      </c>
      <c r="AT4" s="7">
        <f>IFERROR(__xludf.DUMMYFUNCTION("""COMPUTED_VALUE"""),41.0377769)</f>
        <v>41.0377769</v>
      </c>
      <c r="AU4" s="7">
        <f>IFERROR(__xludf.DUMMYFUNCTION("""COMPUTED_VALUE"""),41.2461188)</f>
        <v>41.2461188</v>
      </c>
      <c r="AV4" s="7">
        <f>IFERROR(__xludf.DUMMYFUNCTION("""COMPUTED_VALUE"""),41.4544608)</f>
        <v>41.4544608</v>
      </c>
      <c r="AW4" s="7">
        <f>IFERROR(__xludf.DUMMYFUNCTION("""COMPUTED_VALUE"""),41.6628027)</f>
        <v>41.6628027</v>
      </c>
      <c r="AX4" s="7">
        <f>IFERROR(__xludf.DUMMYFUNCTION("""COMPUTED_VALUE"""),41.8711447)</f>
        <v>41.8711447</v>
      </c>
      <c r="AY4" s="7">
        <f>IFERROR(__xludf.DUMMYFUNCTION("""COMPUTED_VALUE"""),42.0794866)</f>
        <v>42.0794866</v>
      </c>
      <c r="AZ4" s="7">
        <f>IFERROR(__xludf.DUMMYFUNCTION("""COMPUTED_VALUE"""),42.2878286)</f>
        <v>42.2878286</v>
      </c>
      <c r="BA4" s="7">
        <f>IFERROR(__xludf.DUMMYFUNCTION("""COMPUTED_VALUE"""),42.4961706)</f>
        <v>42.4961706</v>
      </c>
      <c r="BB4" s="7">
        <f>IFERROR(__xludf.DUMMYFUNCTION("""COMPUTED_VALUE"""),42.7045125)</f>
        <v>42.7045125</v>
      </c>
      <c r="BC4" s="7">
        <f>IFERROR(__xludf.DUMMYFUNCTION("""COMPUTED_VALUE"""),42.9128545)</f>
        <v>42.9128545</v>
      </c>
      <c r="BD4" s="7">
        <f>IFERROR(__xludf.DUMMYFUNCTION("""COMPUTED_VALUE"""),43.0392465)</f>
        <v>43.0392465</v>
      </c>
      <c r="BE4" s="7">
        <f>IFERROR(__xludf.DUMMYFUNCTION("""COMPUTED_VALUE"""),43.1656386)</f>
        <v>43.1656386</v>
      </c>
      <c r="BF4" s="7">
        <f>IFERROR(__xludf.DUMMYFUNCTION("""COMPUTED_VALUE"""),43.2920306)</f>
        <v>43.2920306</v>
      </c>
      <c r="BG4" s="7">
        <f>IFERROR(__xludf.DUMMYFUNCTION("""COMPUTED_VALUE"""),43.4184227)</f>
        <v>43.4184227</v>
      </c>
      <c r="BH4" s="7">
        <f>IFERROR(__xludf.DUMMYFUNCTION("""COMPUTED_VALUE"""),43.5448147)</f>
        <v>43.5448147</v>
      </c>
      <c r="BI4" s="7">
        <f>IFERROR(__xludf.DUMMYFUNCTION("""COMPUTED_VALUE"""),43.7122749)</f>
        <v>43.7122749</v>
      </c>
      <c r="BJ4" s="7">
        <f>IFERROR(__xludf.DUMMYFUNCTION("""COMPUTED_VALUE"""),43.879735)</f>
        <v>43.879735</v>
      </c>
      <c r="BK4" s="7">
        <f>IFERROR(__xludf.DUMMYFUNCTION("""COMPUTED_VALUE"""),44.0471952)</f>
        <v>44.0471952</v>
      </c>
      <c r="BL4" s="7">
        <f>IFERROR(__xludf.DUMMYFUNCTION("""COMPUTED_VALUE"""),44.2146554)</f>
        <v>44.2146554</v>
      </c>
      <c r="BM4" s="7">
        <f>IFERROR(__xludf.DUMMYFUNCTION("""COMPUTED_VALUE"""),44.3821155)</f>
        <v>44.3821155</v>
      </c>
      <c r="BN4" s="7" t="b">
        <f>IFERROR(__xludf.DUMMYFUNCTION("""COMPUTED_VALUE"""),TRUE)</f>
        <v>1</v>
      </c>
      <c r="BO4" s="7"/>
      <c r="BP4" s="7"/>
      <c r="BQ4" s="7"/>
      <c r="BR4" s="7"/>
      <c r="BS4" s="7"/>
      <c r="BT4" s="7"/>
      <c r="BU4" s="7"/>
      <c r="BV4" s="7"/>
      <c r="BW4" s="7"/>
      <c r="BX4" s="7"/>
    </row>
    <row r="5">
      <c r="A5" s="1" t="s">
        <v>323</v>
      </c>
      <c r="B5" s="3">
        <v>46.5427509</v>
      </c>
      <c r="C5" s="3">
        <v>46.5427509</v>
      </c>
      <c r="D5" s="3">
        <v>46.5427509</v>
      </c>
      <c r="E5" s="3">
        <v>46.5427509</v>
      </c>
      <c r="F5" s="3">
        <v>46.5427509</v>
      </c>
      <c r="G5" s="3">
        <v>46.5427509</v>
      </c>
      <c r="H5" s="3">
        <v>46.5427509</v>
      </c>
      <c r="I5" s="3">
        <v>46.5427509</v>
      </c>
      <c r="J5" s="3">
        <v>46.5427509</v>
      </c>
      <c r="K5" s="3">
        <v>46.5427509</v>
      </c>
      <c r="L5" s="3">
        <v>46.5427509</v>
      </c>
      <c r="M5" s="3">
        <v>46.5427509</v>
      </c>
      <c r="N5" s="3">
        <v>46.5427509</v>
      </c>
      <c r="O5" s="3">
        <v>46.5427509</v>
      </c>
      <c r="P5" s="3">
        <v>46.5427509</v>
      </c>
      <c r="Q5" s="3">
        <v>46.5427509</v>
      </c>
      <c r="R5" s="3">
        <v>55.5092937</v>
      </c>
      <c r="S5" s="3">
        <v>57.0037175</v>
      </c>
      <c r="T5" s="3">
        <v>58.4981413</v>
      </c>
      <c r="U5" s="3">
        <v>59.9925651</v>
      </c>
      <c r="V5" s="3">
        <v>61.4869888</v>
      </c>
      <c r="W5" s="3">
        <v>61.4869888</v>
      </c>
      <c r="X5" s="3">
        <v>61.4869888</v>
      </c>
      <c r="Y5" s="3">
        <v>61.4869888</v>
      </c>
      <c r="Z5" s="3">
        <v>61.4869888</v>
      </c>
      <c r="AA5" s="3">
        <v>61.4869888</v>
      </c>
      <c r="AB5" s="3">
        <v>61.4869888</v>
      </c>
      <c r="AC5" s="3">
        <v>61.4869888</v>
      </c>
      <c r="AD5" s="3">
        <v>61.4869888</v>
      </c>
      <c r="AE5" s="3">
        <v>61.4869888</v>
      </c>
      <c r="AF5" s="3">
        <v>61.4869888</v>
      </c>
      <c r="AG5" s="7" t="b">
        <f>DASHBOARD!I16</f>
        <v>0</v>
      </c>
      <c r="AH5" s="7" t="str">
        <f>IFERROR(__xludf.DUMMYFUNCTION("""COMPUTED_VALUE"""),"Fiji")</f>
        <v>Fiji</v>
      </c>
      <c r="AI5" s="7">
        <f>IFERROR(__xludf.DUMMYFUNCTION("""COMPUTED_VALUE"""),51.4334975)</f>
        <v>51.4334975</v>
      </c>
      <c r="AJ5" s="7">
        <f>IFERROR(__xludf.DUMMYFUNCTION("""COMPUTED_VALUE"""),51.7990148)</f>
        <v>51.7990148</v>
      </c>
      <c r="AK5" s="7">
        <f>IFERROR(__xludf.DUMMYFUNCTION("""COMPUTED_VALUE"""),52.164532)</f>
        <v>52.164532</v>
      </c>
      <c r="AL5" s="7">
        <f>IFERROR(__xludf.DUMMYFUNCTION("""COMPUTED_VALUE"""),52.5300493)</f>
        <v>52.5300493</v>
      </c>
      <c r="AM5" s="7">
        <f>IFERROR(__xludf.DUMMYFUNCTION("""COMPUTED_VALUE"""),52.8955665)</f>
        <v>52.8955665</v>
      </c>
      <c r="AN5" s="7">
        <f>IFERROR(__xludf.DUMMYFUNCTION("""COMPUTED_VALUE"""),53.2610837)</f>
        <v>53.2610837</v>
      </c>
      <c r="AO5" s="7">
        <f>IFERROR(__xludf.DUMMYFUNCTION("""COMPUTED_VALUE"""),53.626601)</f>
        <v>53.626601</v>
      </c>
      <c r="AP5" s="7">
        <f>IFERROR(__xludf.DUMMYFUNCTION("""COMPUTED_VALUE"""),53.9921182)</f>
        <v>53.9921182</v>
      </c>
      <c r="AQ5" s="7">
        <f>IFERROR(__xludf.DUMMYFUNCTION("""COMPUTED_VALUE"""),54.3576355)</f>
        <v>54.3576355</v>
      </c>
      <c r="AR5" s="7">
        <f>IFERROR(__xludf.DUMMYFUNCTION("""COMPUTED_VALUE"""),54.7231527)</f>
        <v>54.7231527</v>
      </c>
      <c r="AS5" s="7">
        <f>IFERROR(__xludf.DUMMYFUNCTION("""COMPUTED_VALUE"""),55.08867)</f>
        <v>55.08867</v>
      </c>
      <c r="AT5" s="7">
        <f>IFERROR(__xludf.DUMMYFUNCTION("""COMPUTED_VALUE"""),55.4541325)</f>
        <v>55.4541325</v>
      </c>
      <c r="AU5" s="7">
        <f>IFERROR(__xludf.DUMMYFUNCTION("""COMPUTED_VALUE"""),55.819595)</f>
        <v>55.819595</v>
      </c>
      <c r="AV5" s="7">
        <f>IFERROR(__xludf.DUMMYFUNCTION("""COMPUTED_VALUE"""),56.1850575)</f>
        <v>56.1850575</v>
      </c>
      <c r="AW5" s="7">
        <f>IFERROR(__xludf.DUMMYFUNCTION("""COMPUTED_VALUE"""),56.55052)</f>
        <v>56.55052</v>
      </c>
      <c r="AX5" s="7">
        <f>IFERROR(__xludf.DUMMYFUNCTION("""COMPUTED_VALUE"""),56.9159825)</f>
        <v>56.9159825</v>
      </c>
      <c r="AY5" s="7">
        <f>IFERROR(__xludf.DUMMYFUNCTION("""COMPUTED_VALUE"""),57.281445)</f>
        <v>57.281445</v>
      </c>
      <c r="AZ5" s="7">
        <f>IFERROR(__xludf.DUMMYFUNCTION("""COMPUTED_VALUE"""),57.6469075)</f>
        <v>57.6469075</v>
      </c>
      <c r="BA5" s="7">
        <f>IFERROR(__xludf.DUMMYFUNCTION("""COMPUTED_VALUE"""),58.01237)</f>
        <v>58.01237</v>
      </c>
      <c r="BB5" s="7">
        <f>IFERROR(__xludf.DUMMYFUNCTION("""COMPUTED_VALUE"""),58.3778325)</f>
        <v>58.3778325</v>
      </c>
      <c r="BC5" s="7">
        <f>IFERROR(__xludf.DUMMYFUNCTION("""COMPUTED_VALUE"""),58.743295)</f>
        <v>58.743295</v>
      </c>
      <c r="BD5" s="7">
        <f>IFERROR(__xludf.DUMMYFUNCTION("""COMPUTED_VALUE"""),59.1087028)</f>
        <v>59.1087028</v>
      </c>
      <c r="BE5" s="7">
        <f>IFERROR(__xludf.DUMMYFUNCTION("""COMPUTED_VALUE"""),59.4741106)</f>
        <v>59.4741106</v>
      </c>
      <c r="BF5" s="7">
        <f>IFERROR(__xludf.DUMMYFUNCTION("""COMPUTED_VALUE"""),59.8395183)</f>
        <v>59.8395183</v>
      </c>
      <c r="BG5" s="7">
        <f>IFERROR(__xludf.DUMMYFUNCTION("""COMPUTED_VALUE"""),60.2049261)</f>
        <v>60.2049261</v>
      </c>
      <c r="BH5" s="7">
        <f>IFERROR(__xludf.DUMMYFUNCTION("""COMPUTED_VALUE"""),60.5703339)</f>
        <v>60.5703339</v>
      </c>
      <c r="BI5" s="7">
        <f>IFERROR(__xludf.DUMMYFUNCTION("""COMPUTED_VALUE"""),60.9359606)</f>
        <v>60.9359606</v>
      </c>
      <c r="BJ5" s="7">
        <f>IFERROR(__xludf.DUMMYFUNCTION("""COMPUTED_VALUE"""),61.3015873)</f>
        <v>61.3015873</v>
      </c>
      <c r="BK5" s="7">
        <f>IFERROR(__xludf.DUMMYFUNCTION("""COMPUTED_VALUE"""),61.667214)</f>
        <v>61.667214</v>
      </c>
      <c r="BL5" s="7">
        <f>IFERROR(__xludf.DUMMYFUNCTION("""COMPUTED_VALUE"""),62.0328407)</f>
        <v>62.0328407</v>
      </c>
      <c r="BM5" s="7">
        <f>IFERROR(__xludf.DUMMYFUNCTION("""COMPUTED_VALUE"""),62.3984674)</f>
        <v>62.3984674</v>
      </c>
      <c r="BN5" s="7" t="b">
        <f>IFERROR(__xludf.DUMMYFUNCTION("""COMPUTED_VALUE"""),TRUE)</f>
        <v>1</v>
      </c>
      <c r="BO5" s="7"/>
      <c r="BP5" s="7"/>
      <c r="BQ5" s="7"/>
      <c r="BR5" s="7"/>
      <c r="BS5" s="7"/>
      <c r="BT5" s="7"/>
      <c r="BU5" s="7"/>
      <c r="BV5" s="7"/>
      <c r="BW5" s="7"/>
      <c r="BX5" s="7"/>
    </row>
    <row r="6">
      <c r="A6" s="1" t="s">
        <v>107</v>
      </c>
      <c r="B6" s="3">
        <v>19.1620112</v>
      </c>
      <c r="C6" s="3">
        <v>19.5130354</v>
      </c>
      <c r="D6" s="3">
        <v>19.8640596</v>
      </c>
      <c r="E6" s="3">
        <v>20.2150838</v>
      </c>
      <c r="F6" s="3">
        <v>20.566108</v>
      </c>
      <c r="G6" s="3">
        <v>20.9171322</v>
      </c>
      <c r="H6" s="3">
        <v>21.2681564</v>
      </c>
      <c r="I6" s="3">
        <v>21.6191806</v>
      </c>
      <c r="J6" s="3">
        <v>21.9702048</v>
      </c>
      <c r="K6" s="3">
        <v>22.3212291</v>
      </c>
      <c r="L6" s="3">
        <v>22.6722533</v>
      </c>
      <c r="M6" s="3">
        <v>23.1350093</v>
      </c>
      <c r="N6" s="3">
        <v>23.8217878</v>
      </c>
      <c r="O6" s="3">
        <v>24.2866541</v>
      </c>
      <c r="P6" s="3">
        <v>24.7514331</v>
      </c>
      <c r="Q6" s="3">
        <v>25.2113867</v>
      </c>
      <c r="R6" s="3">
        <v>25.6807291</v>
      </c>
      <c r="S6" s="3">
        <v>26.1452461</v>
      </c>
      <c r="T6" s="3">
        <v>26.6121759</v>
      </c>
      <c r="U6" s="3">
        <v>27.0791056</v>
      </c>
      <c r="V6" s="3">
        <v>27.5460353</v>
      </c>
      <c r="W6" s="3">
        <v>27.9086307</v>
      </c>
      <c r="X6" s="3">
        <v>28.4372099</v>
      </c>
      <c r="Y6" s="3">
        <v>29.5835732</v>
      </c>
      <c r="Z6" s="3">
        <v>30.124976</v>
      </c>
      <c r="AA6" s="3">
        <v>30.585975</v>
      </c>
      <c r="AB6" s="3">
        <v>31.1514802</v>
      </c>
      <c r="AC6" s="3">
        <v>31.2331407</v>
      </c>
      <c r="AD6" s="3">
        <v>31.2331407</v>
      </c>
      <c r="AE6" s="3">
        <v>31.2331407</v>
      </c>
      <c r="AF6" s="3">
        <v>31.2331407</v>
      </c>
      <c r="AG6" s="7" t="b">
        <f>DASHBOARD!I17</f>
        <v>1</v>
      </c>
      <c r="AH6" s="7" t="str">
        <f>IFERROR(__xludf.DUMMYFUNCTION("""COMPUTED_VALUE"""),"Cabo Verde")</f>
        <v>Cabo Verde</v>
      </c>
      <c r="AI6" s="7">
        <f>IFERROR(__xludf.DUMMYFUNCTION("""COMPUTED_VALUE"""),3.81637717)</f>
        <v>3.81637717</v>
      </c>
      <c r="AJ6" s="7">
        <f>IFERROR(__xludf.DUMMYFUNCTION("""COMPUTED_VALUE"""),4.42034739)</f>
        <v>4.42034739</v>
      </c>
      <c r="AK6" s="7">
        <f>IFERROR(__xludf.DUMMYFUNCTION("""COMPUTED_VALUE"""),5.02431762)</f>
        <v>5.02431762</v>
      </c>
      <c r="AL6" s="7">
        <f>IFERROR(__xludf.DUMMYFUNCTION("""COMPUTED_VALUE"""),5.62828784)</f>
        <v>5.62828784</v>
      </c>
      <c r="AM6" s="7">
        <f>IFERROR(__xludf.DUMMYFUNCTION("""COMPUTED_VALUE"""),6.23225806)</f>
        <v>6.23225806</v>
      </c>
      <c r="AN6" s="7">
        <f>IFERROR(__xludf.DUMMYFUNCTION("""COMPUTED_VALUE"""),6.83622829)</f>
        <v>6.83622829</v>
      </c>
      <c r="AO6" s="7">
        <f>IFERROR(__xludf.DUMMYFUNCTION("""COMPUTED_VALUE"""),7.44019851)</f>
        <v>7.44019851</v>
      </c>
      <c r="AP6" s="7">
        <f>IFERROR(__xludf.DUMMYFUNCTION("""COMPUTED_VALUE"""),8.04416873)</f>
        <v>8.04416873</v>
      </c>
      <c r="AQ6" s="7">
        <f>IFERROR(__xludf.DUMMYFUNCTION("""COMPUTED_VALUE"""),8.64813896)</f>
        <v>8.64813896</v>
      </c>
      <c r="AR6" s="7">
        <f>IFERROR(__xludf.DUMMYFUNCTION("""COMPUTED_VALUE"""),9.25210918)</f>
        <v>9.25210918</v>
      </c>
      <c r="AS6" s="7">
        <f>IFERROR(__xludf.DUMMYFUNCTION("""COMPUTED_VALUE"""),9.8560794)</f>
        <v>9.8560794</v>
      </c>
      <c r="AT6" s="7">
        <f>IFERROR(__xludf.DUMMYFUNCTION("""COMPUTED_VALUE"""),9.93052109)</f>
        <v>9.93052109</v>
      </c>
      <c r="AU6" s="7">
        <f>IFERROR(__xludf.DUMMYFUNCTION("""COMPUTED_VALUE"""),10.0049628)</f>
        <v>10.0049628</v>
      </c>
      <c r="AV6" s="7">
        <f>IFERROR(__xludf.DUMMYFUNCTION("""COMPUTED_VALUE"""),10.0794045)</f>
        <v>10.0794045</v>
      </c>
      <c r="AW6" s="7">
        <f>IFERROR(__xludf.DUMMYFUNCTION("""COMPUTED_VALUE"""),10.1538462)</f>
        <v>10.1538462</v>
      </c>
      <c r="AX6" s="7">
        <f>IFERROR(__xludf.DUMMYFUNCTION("""COMPUTED_VALUE"""),10.2282878)</f>
        <v>10.2282878</v>
      </c>
      <c r="AY6" s="7">
        <f>IFERROR(__xludf.DUMMYFUNCTION("""COMPUTED_VALUE"""),10.3027295)</f>
        <v>10.3027295</v>
      </c>
      <c r="AZ6" s="7">
        <f>IFERROR(__xludf.DUMMYFUNCTION("""COMPUTED_VALUE"""),10.3771712)</f>
        <v>10.3771712</v>
      </c>
      <c r="BA6" s="7">
        <f>IFERROR(__xludf.DUMMYFUNCTION("""COMPUTED_VALUE"""),10.4516129)</f>
        <v>10.4516129</v>
      </c>
      <c r="BB6" s="7">
        <f>IFERROR(__xludf.DUMMYFUNCTION("""COMPUTED_VALUE"""),10.5260546)</f>
        <v>10.5260546</v>
      </c>
      <c r="BC6" s="7">
        <f>IFERROR(__xludf.DUMMYFUNCTION("""COMPUTED_VALUE"""),10.6004963)</f>
        <v>10.6004963</v>
      </c>
      <c r="BD6" s="7">
        <f>IFERROR(__xludf.DUMMYFUNCTION("""COMPUTED_VALUE"""),10.674938)</f>
        <v>10.674938</v>
      </c>
      <c r="BE6" s="7">
        <f>IFERROR(__xludf.DUMMYFUNCTION("""COMPUTED_VALUE"""),10.7493797)</f>
        <v>10.7493797</v>
      </c>
      <c r="BF6" s="7">
        <f>IFERROR(__xludf.DUMMYFUNCTION("""COMPUTED_VALUE"""),10.8238213)</f>
        <v>10.8238213</v>
      </c>
      <c r="BG6" s="7">
        <f>IFERROR(__xludf.DUMMYFUNCTION("""COMPUTED_VALUE"""),10.898263)</f>
        <v>10.898263</v>
      </c>
      <c r="BH6" s="7">
        <f>IFERROR(__xludf.DUMMYFUNCTION("""COMPUTED_VALUE"""),10.9727047)</f>
        <v>10.9727047</v>
      </c>
      <c r="BI6" s="7">
        <f>IFERROR(__xludf.DUMMYFUNCTION("""COMPUTED_VALUE"""),11.0471464)</f>
        <v>11.0471464</v>
      </c>
      <c r="BJ6" s="7">
        <f>IFERROR(__xludf.DUMMYFUNCTION("""COMPUTED_VALUE"""),11.1215881)</f>
        <v>11.1215881</v>
      </c>
      <c r="BK6" s="7">
        <f>IFERROR(__xludf.DUMMYFUNCTION("""COMPUTED_VALUE"""),11.1960298)</f>
        <v>11.1960298</v>
      </c>
      <c r="BL6" s="7">
        <f>IFERROR(__xludf.DUMMYFUNCTION("""COMPUTED_VALUE"""),11.2704715)</f>
        <v>11.2704715</v>
      </c>
      <c r="BM6" s="7">
        <f>IFERROR(__xludf.DUMMYFUNCTION("""COMPUTED_VALUE"""),11.3449132)</f>
        <v>11.3449132</v>
      </c>
      <c r="BN6" s="7" t="b">
        <f>IFERROR(__xludf.DUMMYFUNCTION("""COMPUTED_VALUE"""),TRUE)</f>
        <v>1</v>
      </c>
      <c r="BO6" s="7"/>
      <c r="BP6" s="7"/>
      <c r="BQ6" s="7"/>
      <c r="BR6" s="7"/>
      <c r="BS6" s="7"/>
      <c r="BT6" s="7"/>
      <c r="BU6" s="7"/>
      <c r="BV6" s="7"/>
      <c r="BW6" s="7"/>
      <c r="BX6" s="7"/>
    </row>
    <row r="7">
      <c r="A7" s="1" t="s">
        <v>125</v>
      </c>
      <c r="B7" s="3">
        <v>33.0136618</v>
      </c>
      <c r="C7" s="3">
        <v>33.7952391</v>
      </c>
      <c r="D7" s="3">
        <v>34.5768164</v>
      </c>
      <c r="E7" s="3">
        <v>35.3583937</v>
      </c>
      <c r="F7" s="3">
        <v>36.139971</v>
      </c>
      <c r="G7" s="3">
        <v>36.9215483</v>
      </c>
      <c r="H7" s="3">
        <v>37.7031256</v>
      </c>
      <c r="I7" s="3">
        <v>38.484703</v>
      </c>
      <c r="J7" s="3">
        <v>39.2662803</v>
      </c>
      <c r="K7" s="3">
        <v>40.0478576</v>
      </c>
      <c r="L7" s="3">
        <v>40.8294349</v>
      </c>
      <c r="M7" s="3">
        <v>41.0377769</v>
      </c>
      <c r="N7" s="3">
        <v>41.2461188</v>
      </c>
      <c r="O7" s="3">
        <v>41.4544608</v>
      </c>
      <c r="P7" s="3">
        <v>41.6628027</v>
      </c>
      <c r="Q7" s="3">
        <v>41.8711447</v>
      </c>
      <c r="R7" s="3">
        <v>42.0794866</v>
      </c>
      <c r="S7" s="3">
        <v>42.2878286</v>
      </c>
      <c r="T7" s="3">
        <v>42.4961706</v>
      </c>
      <c r="U7" s="3">
        <v>42.7045125</v>
      </c>
      <c r="V7" s="3">
        <v>42.9128545</v>
      </c>
      <c r="W7" s="3">
        <v>43.0392465</v>
      </c>
      <c r="X7" s="3">
        <v>43.1656386</v>
      </c>
      <c r="Y7" s="3">
        <v>43.2920306</v>
      </c>
      <c r="Z7" s="3">
        <v>43.4184227</v>
      </c>
      <c r="AA7" s="3">
        <v>43.5448147</v>
      </c>
      <c r="AB7" s="3">
        <v>43.7122749</v>
      </c>
      <c r="AC7" s="3">
        <v>43.879735</v>
      </c>
      <c r="AD7" s="3">
        <v>44.0471952</v>
      </c>
      <c r="AE7" s="3">
        <v>44.2146554</v>
      </c>
      <c r="AF7" s="3">
        <v>44.3821155</v>
      </c>
      <c r="AG7" s="7" t="b">
        <f>DASHBOARD!I18</f>
        <v>1</v>
      </c>
      <c r="AH7" s="7" t="str">
        <f>IFERROR(__xludf.DUMMYFUNCTION("""COMPUTED_VALUE"""),"Guam")</f>
        <v>Guam</v>
      </c>
      <c r="AI7" s="7">
        <f>IFERROR(__xludf.DUMMYFUNCTION("""COMPUTED_VALUE"""),44.4444444)</f>
        <v>44.4444444</v>
      </c>
      <c r="AJ7" s="7">
        <f>IFERROR(__xludf.DUMMYFUNCTION("""COMPUTED_VALUE"""),44.4444444)</f>
        <v>44.4444444</v>
      </c>
      <c r="AK7" s="7">
        <f>IFERROR(__xludf.DUMMYFUNCTION("""COMPUTED_VALUE"""),44.4444444)</f>
        <v>44.4444444</v>
      </c>
      <c r="AL7" s="7">
        <f>IFERROR(__xludf.DUMMYFUNCTION("""COMPUTED_VALUE"""),44.4444444)</f>
        <v>44.4444444</v>
      </c>
      <c r="AM7" s="7">
        <f>IFERROR(__xludf.DUMMYFUNCTION("""COMPUTED_VALUE"""),44.4444444)</f>
        <v>44.4444444</v>
      </c>
      <c r="AN7" s="7">
        <f>IFERROR(__xludf.DUMMYFUNCTION("""COMPUTED_VALUE"""),44.4444444)</f>
        <v>44.4444444</v>
      </c>
      <c r="AO7" s="7">
        <f>IFERROR(__xludf.DUMMYFUNCTION("""COMPUTED_VALUE"""),44.4444444)</f>
        <v>44.4444444</v>
      </c>
      <c r="AP7" s="7">
        <f>IFERROR(__xludf.DUMMYFUNCTION("""COMPUTED_VALUE"""),44.4444444)</f>
        <v>44.4444444</v>
      </c>
      <c r="AQ7" s="7">
        <f>IFERROR(__xludf.DUMMYFUNCTION("""COMPUTED_VALUE"""),44.4444444)</f>
        <v>44.4444444</v>
      </c>
      <c r="AR7" s="7">
        <f>IFERROR(__xludf.DUMMYFUNCTION("""COMPUTED_VALUE"""),44.4444444)</f>
        <v>44.4444444</v>
      </c>
      <c r="AS7" s="7">
        <f>IFERROR(__xludf.DUMMYFUNCTION("""COMPUTED_VALUE"""),44.4444444)</f>
        <v>44.4444444</v>
      </c>
      <c r="AT7" s="7">
        <f>IFERROR(__xludf.DUMMYFUNCTION("""COMPUTED_VALUE"""),44.4444444)</f>
        <v>44.4444444</v>
      </c>
      <c r="AU7" s="7">
        <f>IFERROR(__xludf.DUMMYFUNCTION("""COMPUTED_VALUE"""),44.4444444)</f>
        <v>44.4444444</v>
      </c>
      <c r="AV7" s="7">
        <f>IFERROR(__xludf.DUMMYFUNCTION("""COMPUTED_VALUE"""),44.4444444)</f>
        <v>44.4444444</v>
      </c>
      <c r="AW7" s="7">
        <f>IFERROR(__xludf.DUMMYFUNCTION("""COMPUTED_VALUE"""),44.4444444)</f>
        <v>44.4444444</v>
      </c>
      <c r="AX7" s="7">
        <f>IFERROR(__xludf.DUMMYFUNCTION("""COMPUTED_VALUE"""),44.4444444)</f>
        <v>44.4444444</v>
      </c>
      <c r="AY7" s="7">
        <f>IFERROR(__xludf.DUMMYFUNCTION("""COMPUTED_VALUE"""),44.4444444)</f>
        <v>44.4444444</v>
      </c>
      <c r="AZ7" s="7">
        <f>IFERROR(__xludf.DUMMYFUNCTION("""COMPUTED_VALUE"""),44.4444444)</f>
        <v>44.4444444</v>
      </c>
      <c r="BA7" s="7">
        <f>IFERROR(__xludf.DUMMYFUNCTION("""COMPUTED_VALUE"""),44.4444444)</f>
        <v>44.4444444</v>
      </c>
      <c r="BB7" s="7">
        <f>IFERROR(__xludf.DUMMYFUNCTION("""COMPUTED_VALUE"""),44.4444444)</f>
        <v>44.4444444</v>
      </c>
      <c r="BC7" s="7">
        <f>IFERROR(__xludf.DUMMYFUNCTION("""COMPUTED_VALUE"""),44.4444444)</f>
        <v>44.4444444</v>
      </c>
      <c r="BD7" s="7">
        <f>IFERROR(__xludf.DUMMYFUNCTION("""COMPUTED_VALUE"""),44.8148148)</f>
        <v>44.8148148</v>
      </c>
      <c r="BE7" s="7">
        <f>IFERROR(__xludf.DUMMYFUNCTION("""COMPUTED_VALUE"""),45.1851852)</f>
        <v>45.1851852</v>
      </c>
      <c r="BF7" s="7">
        <f>IFERROR(__xludf.DUMMYFUNCTION("""COMPUTED_VALUE"""),45.5555556)</f>
        <v>45.5555556</v>
      </c>
      <c r="BG7" s="7">
        <f>IFERROR(__xludf.DUMMYFUNCTION("""COMPUTED_VALUE"""),45.9259259)</f>
        <v>45.9259259</v>
      </c>
      <c r="BH7" s="7">
        <f>IFERROR(__xludf.DUMMYFUNCTION("""COMPUTED_VALUE"""),46.2962963)</f>
        <v>46.2962963</v>
      </c>
      <c r="BI7" s="7">
        <f>IFERROR(__xludf.DUMMYFUNCTION("""COMPUTED_VALUE"""),51.8518519)</f>
        <v>51.8518519</v>
      </c>
      <c r="BJ7" s="7">
        <f>IFERROR(__xludf.DUMMYFUNCTION("""COMPUTED_VALUE"""),51.8518519)</f>
        <v>51.8518519</v>
      </c>
      <c r="BK7" s="7">
        <f>IFERROR(__xludf.DUMMYFUNCTION("""COMPUTED_VALUE"""),51.8518519)</f>
        <v>51.8518519</v>
      </c>
      <c r="BL7" s="7">
        <f>IFERROR(__xludf.DUMMYFUNCTION("""COMPUTED_VALUE"""),51.8518519)</f>
        <v>51.8518519</v>
      </c>
      <c r="BM7" s="7">
        <f>IFERROR(__xludf.DUMMYFUNCTION("""COMPUTED_VALUE"""),51.8518519)</f>
        <v>51.8518519</v>
      </c>
      <c r="BN7" s="7" t="b">
        <f>IFERROR(__xludf.DUMMYFUNCTION("""COMPUTED_VALUE"""),TRUE)</f>
        <v>1</v>
      </c>
      <c r="BO7" s="7"/>
      <c r="BP7" s="7"/>
      <c r="BQ7" s="7"/>
      <c r="BR7" s="7"/>
      <c r="BS7" s="7"/>
      <c r="BT7" s="7"/>
      <c r="BU7" s="7"/>
      <c r="BV7" s="7"/>
      <c r="BW7" s="7"/>
      <c r="BX7" s="7"/>
    </row>
    <row r="8">
      <c r="A8" s="1" t="s">
        <v>159</v>
      </c>
      <c r="B8" s="3">
        <v>51.4334975</v>
      </c>
      <c r="C8" s="3">
        <v>51.7990148</v>
      </c>
      <c r="D8" s="3">
        <v>52.164532</v>
      </c>
      <c r="E8" s="3">
        <v>52.5300493</v>
      </c>
      <c r="F8" s="3">
        <v>52.8955665</v>
      </c>
      <c r="G8" s="3">
        <v>53.2610837</v>
      </c>
      <c r="H8" s="3">
        <v>53.626601</v>
      </c>
      <c r="I8" s="3">
        <v>53.9921182</v>
      </c>
      <c r="J8" s="3">
        <v>54.3576355</v>
      </c>
      <c r="K8" s="3">
        <v>54.7231527</v>
      </c>
      <c r="L8" s="3">
        <v>55.08867</v>
      </c>
      <c r="M8" s="3">
        <v>55.4541325</v>
      </c>
      <c r="N8" s="3">
        <v>55.819595</v>
      </c>
      <c r="O8" s="3">
        <v>56.1850575</v>
      </c>
      <c r="P8" s="3">
        <v>56.55052</v>
      </c>
      <c r="Q8" s="3">
        <v>56.9159825</v>
      </c>
      <c r="R8" s="3">
        <v>57.281445</v>
      </c>
      <c r="S8" s="3">
        <v>57.6469075</v>
      </c>
      <c r="T8" s="3">
        <v>58.01237</v>
      </c>
      <c r="U8" s="3">
        <v>58.3778325</v>
      </c>
      <c r="V8" s="3">
        <v>58.743295</v>
      </c>
      <c r="W8" s="3">
        <v>59.1087028</v>
      </c>
      <c r="X8" s="3">
        <v>59.4741106</v>
      </c>
      <c r="Y8" s="3">
        <v>59.8395183</v>
      </c>
      <c r="Z8" s="3">
        <v>60.2049261</v>
      </c>
      <c r="AA8" s="3">
        <v>60.5703339</v>
      </c>
      <c r="AB8" s="3">
        <v>60.9359606</v>
      </c>
      <c r="AC8" s="3">
        <v>61.3015873</v>
      </c>
      <c r="AD8" s="3">
        <v>61.667214</v>
      </c>
      <c r="AE8" s="3">
        <v>62.0328407</v>
      </c>
      <c r="AF8" s="3">
        <v>62.3984674</v>
      </c>
      <c r="AG8" s="7" t="b">
        <f>DASHBOARD!I19</f>
        <v>1</v>
      </c>
      <c r="AH8" s="7" t="str">
        <f>IFERROR(__xludf.DUMMYFUNCTION("""COMPUTED_VALUE"""),"Uruguay")</f>
        <v>Uruguay</v>
      </c>
      <c r="AI8" s="7">
        <f>IFERROR(__xludf.DUMMYFUNCTION("""COMPUTED_VALUE"""),4.55947892)</f>
        <v>4.55947892</v>
      </c>
      <c r="AJ8" s="7">
        <f>IFERROR(__xludf.DUMMYFUNCTION("""COMPUTED_VALUE"""),4.88572735)</f>
        <v>4.88572735</v>
      </c>
      <c r="AK8" s="7">
        <f>IFERROR(__xludf.DUMMYFUNCTION("""COMPUTED_VALUE"""),5.21197577)</f>
        <v>5.21197577</v>
      </c>
      <c r="AL8" s="7">
        <f>IFERROR(__xludf.DUMMYFUNCTION("""COMPUTED_VALUE"""),5.5382242)</f>
        <v>5.5382242</v>
      </c>
      <c r="AM8" s="7">
        <f>IFERROR(__xludf.DUMMYFUNCTION("""COMPUTED_VALUE"""),5.86447263)</f>
        <v>5.86447263</v>
      </c>
      <c r="AN8" s="7">
        <f>IFERROR(__xludf.DUMMYFUNCTION("""COMPUTED_VALUE"""),6.19072106)</f>
        <v>6.19072106</v>
      </c>
      <c r="AO8" s="7">
        <f>IFERROR(__xludf.DUMMYFUNCTION("""COMPUTED_VALUE"""),6.51696949)</f>
        <v>6.51696949</v>
      </c>
      <c r="AP8" s="7">
        <f>IFERROR(__xludf.DUMMYFUNCTION("""COMPUTED_VALUE"""),6.84321792)</f>
        <v>6.84321792</v>
      </c>
      <c r="AQ8" s="7">
        <f>IFERROR(__xludf.DUMMYFUNCTION("""COMPUTED_VALUE"""),7.16946635)</f>
        <v>7.16946635</v>
      </c>
      <c r="AR8" s="7">
        <f>IFERROR(__xludf.DUMMYFUNCTION("""COMPUTED_VALUE"""),7.49571478)</f>
        <v>7.49571478</v>
      </c>
      <c r="AS8" s="7">
        <f>IFERROR(__xludf.DUMMYFUNCTION("""COMPUTED_VALUE"""),7.8219632)</f>
        <v>7.8219632</v>
      </c>
      <c r="AT8" s="7">
        <f>IFERROR(__xludf.DUMMYFUNCTION("""COMPUTED_VALUE"""),8.02896812)</f>
        <v>8.02896812</v>
      </c>
      <c r="AU8" s="7">
        <f>IFERROR(__xludf.DUMMYFUNCTION("""COMPUTED_VALUE"""),8.23597303)</f>
        <v>8.23597303</v>
      </c>
      <c r="AV8" s="7">
        <f>IFERROR(__xludf.DUMMYFUNCTION("""COMPUTED_VALUE"""),8.44297795)</f>
        <v>8.44297795</v>
      </c>
      <c r="AW8" s="7">
        <f>IFERROR(__xludf.DUMMYFUNCTION("""COMPUTED_VALUE"""),8.64998286)</f>
        <v>8.64998286</v>
      </c>
      <c r="AX8" s="7">
        <f>IFERROR(__xludf.DUMMYFUNCTION("""COMPUTED_VALUE"""),8.85698777)</f>
        <v>8.85698777</v>
      </c>
      <c r="AY8" s="7">
        <f>IFERROR(__xludf.DUMMYFUNCTION("""COMPUTED_VALUE"""),9.06399269)</f>
        <v>9.06399269</v>
      </c>
      <c r="AZ8" s="7">
        <f>IFERROR(__xludf.DUMMYFUNCTION("""COMPUTED_VALUE"""),9.2709976)</f>
        <v>9.2709976</v>
      </c>
      <c r="BA8" s="7">
        <f>IFERROR(__xludf.DUMMYFUNCTION("""COMPUTED_VALUE"""),9.47800251)</f>
        <v>9.47800251</v>
      </c>
      <c r="BB8" s="7">
        <f>IFERROR(__xludf.DUMMYFUNCTION("""COMPUTED_VALUE"""),9.68500743)</f>
        <v>9.68500743</v>
      </c>
      <c r="BC8" s="7">
        <f>IFERROR(__xludf.DUMMYFUNCTION("""COMPUTED_VALUE"""),9.89201234)</f>
        <v>9.89201234</v>
      </c>
      <c r="BD8" s="7">
        <f>IFERROR(__xludf.DUMMYFUNCTION("""COMPUTED_VALUE"""),10.1076448)</f>
        <v>10.1076448</v>
      </c>
      <c r="BE8" s="7">
        <f>IFERROR(__xludf.DUMMYFUNCTION("""COMPUTED_VALUE"""),10.3232773)</f>
        <v>10.3232773</v>
      </c>
      <c r="BF8" s="7">
        <f>IFERROR(__xludf.DUMMYFUNCTION("""COMPUTED_VALUE"""),10.5389098)</f>
        <v>10.5389098</v>
      </c>
      <c r="BG8" s="7">
        <f>IFERROR(__xludf.DUMMYFUNCTION("""COMPUTED_VALUE"""),10.7545423)</f>
        <v>10.7545423</v>
      </c>
      <c r="BH8" s="7">
        <f>IFERROR(__xludf.DUMMYFUNCTION("""COMPUTED_VALUE"""),10.9701748)</f>
        <v>10.9701748</v>
      </c>
      <c r="BI8" s="7">
        <f>IFERROR(__xludf.DUMMYFUNCTION("""COMPUTED_VALUE"""),11.1244429)</f>
        <v>11.1244429</v>
      </c>
      <c r="BJ8" s="7">
        <f>IFERROR(__xludf.DUMMYFUNCTION("""COMPUTED_VALUE"""),11.2444292)</f>
        <v>11.2444292</v>
      </c>
      <c r="BK8" s="7">
        <f>IFERROR(__xludf.DUMMYFUNCTION("""COMPUTED_VALUE"""),11.3644155)</f>
        <v>11.3644155</v>
      </c>
      <c r="BL8" s="7">
        <f>IFERROR(__xludf.DUMMYFUNCTION("""COMPUTED_VALUE"""),11.4844018)</f>
        <v>11.4844018</v>
      </c>
      <c r="BM8" s="7">
        <f>IFERROR(__xludf.DUMMYFUNCTION("""COMPUTED_VALUE"""),11.6043881)</f>
        <v>11.6043881</v>
      </c>
      <c r="BN8" s="7" t="b">
        <f>IFERROR(__xludf.DUMMYFUNCTION("""COMPUTED_VALUE"""),TRUE)</f>
        <v>1</v>
      </c>
      <c r="BO8" s="7"/>
      <c r="BP8" s="7"/>
      <c r="BQ8" s="7"/>
      <c r="BR8" s="7"/>
      <c r="BS8" s="7"/>
      <c r="BT8" s="7"/>
      <c r="BU8" s="7"/>
      <c r="BV8" s="7"/>
      <c r="BW8" s="7"/>
      <c r="BX8" s="7"/>
    </row>
    <row r="9">
      <c r="A9" s="1" t="s">
        <v>147</v>
      </c>
      <c r="B9" s="3">
        <v>27.8405014</v>
      </c>
      <c r="C9" s="3">
        <v>28.4790706</v>
      </c>
      <c r="D9" s="3">
        <v>29.1176398</v>
      </c>
      <c r="E9" s="3">
        <v>29.756209</v>
      </c>
      <c r="F9" s="3">
        <v>30.3947782</v>
      </c>
      <c r="G9" s="3">
        <v>31.0333473</v>
      </c>
      <c r="H9" s="3">
        <v>31.6719165</v>
      </c>
      <c r="I9" s="3">
        <v>32.3104857</v>
      </c>
      <c r="J9" s="3">
        <v>32.9490549</v>
      </c>
      <c r="K9" s="3">
        <v>33.5876241</v>
      </c>
      <c r="L9" s="3">
        <v>34.2563727</v>
      </c>
      <c r="M9" s="3">
        <v>34.5805003</v>
      </c>
      <c r="N9" s="3">
        <v>34.8353078</v>
      </c>
      <c r="O9" s="3">
        <v>35.1141864</v>
      </c>
      <c r="P9" s="3">
        <v>35.4070556</v>
      </c>
      <c r="Q9" s="3">
        <v>35.7042517</v>
      </c>
      <c r="R9" s="3">
        <v>36.0029981</v>
      </c>
      <c r="S9" s="3">
        <v>36.2844203</v>
      </c>
      <c r="T9" s="3">
        <v>36.5979511</v>
      </c>
      <c r="U9" s="3">
        <v>36.8992881</v>
      </c>
      <c r="V9" s="3">
        <v>37.0899382</v>
      </c>
      <c r="W9" s="3">
        <v>37.1019205</v>
      </c>
      <c r="X9" s="3">
        <v>37.0797785</v>
      </c>
      <c r="Y9" s="3">
        <v>37.0821135</v>
      </c>
      <c r="Z9" s="3">
        <v>37.0844485</v>
      </c>
      <c r="AA9" s="3">
        <v>37.1275325</v>
      </c>
      <c r="AB9" s="3">
        <v>37.1428686</v>
      </c>
      <c r="AC9" s="3">
        <v>37.1522339</v>
      </c>
      <c r="AD9" s="3">
        <v>37.1566468</v>
      </c>
      <c r="AE9" s="3">
        <v>37.1652336</v>
      </c>
      <c r="AF9" s="3">
        <v>37.1738204</v>
      </c>
      <c r="AG9" s="7" t="b">
        <f>DASHBOARD!I20</f>
        <v>0</v>
      </c>
      <c r="AH9" s="7" t="str">
        <f>IFERROR(__xludf.DUMMYFUNCTION("""COMPUTED_VALUE"""),"St. Martin (French part)")</f>
        <v>St. Martin (French part)</v>
      </c>
      <c r="AI9" s="7">
        <f>IFERROR(__xludf.DUMMYFUNCTION("""COMPUTED_VALUE"""),18.3823529)</f>
        <v>18.3823529</v>
      </c>
      <c r="AJ9" s="7">
        <f>IFERROR(__xludf.DUMMYFUNCTION("""COMPUTED_VALUE"""),18.3823529)</f>
        <v>18.3823529</v>
      </c>
      <c r="AK9" s="7">
        <f>IFERROR(__xludf.DUMMYFUNCTION("""COMPUTED_VALUE"""),18.3823529)</f>
        <v>18.3823529</v>
      </c>
      <c r="AL9" s="7">
        <f>IFERROR(__xludf.DUMMYFUNCTION("""COMPUTED_VALUE"""),18.3823529)</f>
        <v>18.3823529</v>
      </c>
      <c r="AM9" s="7">
        <f>IFERROR(__xludf.DUMMYFUNCTION("""COMPUTED_VALUE"""),18.3823529)</f>
        <v>18.3823529</v>
      </c>
      <c r="AN9" s="7">
        <f>IFERROR(__xludf.DUMMYFUNCTION("""COMPUTED_VALUE"""),18.3823529)</f>
        <v>18.3823529</v>
      </c>
      <c r="AO9" s="7">
        <f>IFERROR(__xludf.DUMMYFUNCTION("""COMPUTED_VALUE"""),18.3823529)</f>
        <v>18.3823529</v>
      </c>
      <c r="AP9" s="7">
        <f>IFERROR(__xludf.DUMMYFUNCTION("""COMPUTED_VALUE"""),18.3823529)</f>
        <v>18.3823529</v>
      </c>
      <c r="AQ9" s="7">
        <f>IFERROR(__xludf.DUMMYFUNCTION("""COMPUTED_VALUE"""),18.3823529)</f>
        <v>18.3823529</v>
      </c>
      <c r="AR9" s="7">
        <f>IFERROR(__xludf.DUMMYFUNCTION("""COMPUTED_VALUE"""),18.3823529)</f>
        <v>18.3823529</v>
      </c>
      <c r="AS9" s="7">
        <f>IFERROR(__xludf.DUMMYFUNCTION("""COMPUTED_VALUE"""),22.7941176)</f>
        <v>22.7941176</v>
      </c>
      <c r="AT9" s="7">
        <f>IFERROR(__xludf.DUMMYFUNCTION("""COMPUTED_VALUE"""),18.3823529)</f>
        <v>18.3823529</v>
      </c>
      <c r="AU9" s="7">
        <f>IFERROR(__xludf.DUMMYFUNCTION("""COMPUTED_VALUE"""),18.3823529)</f>
        <v>18.3823529</v>
      </c>
      <c r="AV9" s="7">
        <f>IFERROR(__xludf.DUMMYFUNCTION("""COMPUTED_VALUE"""),18.3823529)</f>
        <v>18.3823529</v>
      </c>
      <c r="AW9" s="7">
        <f>IFERROR(__xludf.DUMMYFUNCTION("""COMPUTED_VALUE"""),18.3823529)</f>
        <v>18.3823529</v>
      </c>
      <c r="AX9" s="7">
        <f>IFERROR(__xludf.DUMMYFUNCTION("""COMPUTED_VALUE"""),18.3823529)</f>
        <v>18.3823529</v>
      </c>
      <c r="AY9" s="7">
        <f>IFERROR(__xludf.DUMMYFUNCTION("""COMPUTED_VALUE"""),18.3823529)</f>
        <v>18.3823529</v>
      </c>
      <c r="AZ9" s="7">
        <f>IFERROR(__xludf.DUMMYFUNCTION("""COMPUTED_VALUE"""),18.3823529)</f>
        <v>18.3823529</v>
      </c>
      <c r="BA9" s="7">
        <f>IFERROR(__xludf.DUMMYFUNCTION("""COMPUTED_VALUE"""),18.3823529)</f>
        <v>18.3823529</v>
      </c>
      <c r="BB9" s="7">
        <f>IFERROR(__xludf.DUMMYFUNCTION("""COMPUTED_VALUE"""),18.3823529)</f>
        <v>18.3823529</v>
      </c>
      <c r="BC9" s="7">
        <f>IFERROR(__xludf.DUMMYFUNCTION("""COMPUTED_VALUE"""),22.7941176)</f>
        <v>22.7941176</v>
      </c>
      <c r="BD9" s="7">
        <f>IFERROR(__xludf.DUMMYFUNCTION("""COMPUTED_VALUE"""),24.8)</f>
        <v>24.8</v>
      </c>
      <c r="BE9" s="7">
        <f>IFERROR(__xludf.DUMMYFUNCTION("""COMPUTED_VALUE"""),24.8)</f>
        <v>24.8</v>
      </c>
      <c r="BF9" s="7">
        <f>IFERROR(__xludf.DUMMYFUNCTION("""COMPUTED_VALUE"""),24.8)</f>
        <v>24.8</v>
      </c>
      <c r="BG9" s="7">
        <f>IFERROR(__xludf.DUMMYFUNCTION("""COMPUTED_VALUE"""),24.8)</f>
        <v>24.8</v>
      </c>
      <c r="BH9" s="7">
        <f>IFERROR(__xludf.DUMMYFUNCTION("""COMPUTED_VALUE"""),24.8)</f>
        <v>24.8</v>
      </c>
      <c r="BI9" s="7">
        <f>IFERROR(__xludf.DUMMYFUNCTION("""COMPUTED_VALUE"""),24.8)</f>
        <v>24.8</v>
      </c>
      <c r="BJ9" s="7">
        <f>IFERROR(__xludf.DUMMYFUNCTION("""COMPUTED_VALUE"""),24.8)</f>
        <v>24.8</v>
      </c>
      <c r="BK9" s="7">
        <f>IFERROR(__xludf.DUMMYFUNCTION("""COMPUTED_VALUE"""),24.8)</f>
        <v>24.8</v>
      </c>
      <c r="BL9" s="7">
        <f>IFERROR(__xludf.DUMMYFUNCTION("""COMPUTED_VALUE"""),24.8)</f>
        <v>24.8</v>
      </c>
      <c r="BM9" s="7">
        <f>IFERROR(__xludf.DUMMYFUNCTION("""COMPUTED_VALUE"""),24.8)</f>
        <v>24.8</v>
      </c>
      <c r="BN9" s="7" t="b">
        <f>IFERROR(__xludf.DUMMYFUNCTION("""COMPUTED_VALUE"""),TRUE)</f>
        <v>1</v>
      </c>
      <c r="BO9" s="7"/>
      <c r="BP9" s="7"/>
      <c r="BQ9" s="7"/>
      <c r="BR9" s="7"/>
      <c r="BS9" s="7"/>
      <c r="BT9" s="7"/>
      <c r="BU9" s="7"/>
      <c r="BV9" s="7"/>
      <c r="BW9" s="7"/>
      <c r="BX9" s="7"/>
    </row>
    <row r="10">
      <c r="A10" s="1" t="s">
        <v>101</v>
      </c>
      <c r="B10" s="3">
        <v>3.81637717</v>
      </c>
      <c r="C10" s="3">
        <v>4.42034739</v>
      </c>
      <c r="D10" s="3">
        <v>5.02431762</v>
      </c>
      <c r="E10" s="3">
        <v>5.62828784</v>
      </c>
      <c r="F10" s="3">
        <v>6.23225806</v>
      </c>
      <c r="G10" s="3">
        <v>6.83622829</v>
      </c>
      <c r="H10" s="3">
        <v>7.44019851</v>
      </c>
      <c r="I10" s="3">
        <v>8.04416873</v>
      </c>
      <c r="J10" s="3">
        <v>8.64813896</v>
      </c>
      <c r="K10" s="3">
        <v>9.25210918</v>
      </c>
      <c r="L10" s="3">
        <v>9.8560794</v>
      </c>
      <c r="M10" s="3">
        <v>9.93052109</v>
      </c>
      <c r="N10" s="3">
        <v>10.0049628</v>
      </c>
      <c r="O10" s="3">
        <v>10.0794045</v>
      </c>
      <c r="P10" s="3">
        <v>10.1538462</v>
      </c>
      <c r="Q10" s="3">
        <v>10.2282878</v>
      </c>
      <c r="R10" s="3">
        <v>10.3027295</v>
      </c>
      <c r="S10" s="3">
        <v>10.3771712</v>
      </c>
      <c r="T10" s="3">
        <v>10.4516129</v>
      </c>
      <c r="U10" s="3">
        <v>10.5260546</v>
      </c>
      <c r="V10" s="3">
        <v>10.6004963</v>
      </c>
      <c r="W10" s="3">
        <v>10.674938</v>
      </c>
      <c r="X10" s="3">
        <v>10.7493797</v>
      </c>
      <c r="Y10" s="3">
        <v>10.8238213</v>
      </c>
      <c r="Z10" s="3">
        <v>10.898263</v>
      </c>
      <c r="AA10" s="3">
        <v>10.9727047</v>
      </c>
      <c r="AB10" s="3">
        <v>11.0471464</v>
      </c>
      <c r="AC10" s="3">
        <v>11.1215881</v>
      </c>
      <c r="AD10" s="3">
        <v>11.1960298</v>
      </c>
      <c r="AE10" s="3">
        <v>11.2704715</v>
      </c>
      <c r="AF10" s="3">
        <v>11.3449132</v>
      </c>
      <c r="AG10" s="7" t="b">
        <f>DASHBOARD!I21</f>
        <v>1</v>
      </c>
      <c r="AH10" s="7" t="str">
        <f>IFERROR(__xludf.DUMMYFUNCTION("""COMPUTED_VALUE"""),"Belarus")</f>
        <v>Belarus</v>
      </c>
      <c r="AI10" s="7">
        <f>IFERROR(__xludf.DUMMYFUNCTION("""COMPUTED_VALUE"""),38.355354)</f>
        <v>38.355354</v>
      </c>
      <c r="AJ10" s="7">
        <f>IFERROR(__xludf.DUMMYFUNCTION("""COMPUTED_VALUE"""),38.8414514)</f>
        <v>38.8414514</v>
      </c>
      <c r="AK10" s="7">
        <f>IFERROR(__xludf.DUMMYFUNCTION("""COMPUTED_VALUE"""),38.8414514)</f>
        <v>38.8414514</v>
      </c>
      <c r="AL10" s="7">
        <f>IFERROR(__xludf.DUMMYFUNCTION("""COMPUTED_VALUE"""),39.0845001)</f>
        <v>39.0845001</v>
      </c>
      <c r="AM10" s="7">
        <f>IFERROR(__xludf.DUMMYFUNCTION("""COMPUTED_VALUE"""),39.3275488)</f>
        <v>39.3275488</v>
      </c>
      <c r="AN10" s="7">
        <f>IFERROR(__xludf.DUMMYFUNCTION("""COMPUTED_VALUE"""),39.5705975)</f>
        <v>39.5705975</v>
      </c>
      <c r="AO10" s="7">
        <f>IFERROR(__xludf.DUMMYFUNCTION("""COMPUTED_VALUE"""),39.8136462)</f>
        <v>39.8136462</v>
      </c>
      <c r="AP10" s="7">
        <f>IFERROR(__xludf.DUMMYFUNCTION("""COMPUTED_VALUE"""),40.0566949)</f>
        <v>40.0566949</v>
      </c>
      <c r="AQ10" s="7">
        <f>IFERROR(__xludf.DUMMYFUNCTION("""COMPUTED_VALUE"""),40.2997436)</f>
        <v>40.2997436</v>
      </c>
      <c r="AR10" s="7">
        <f>IFERROR(__xludf.DUMMYFUNCTION("""COMPUTED_VALUE"""),40.5427923)</f>
        <v>40.5427923</v>
      </c>
      <c r="AS10" s="7">
        <f>IFERROR(__xludf.DUMMYFUNCTION("""COMPUTED_VALUE"""),40.7858411)</f>
        <v>40.7858411</v>
      </c>
      <c r="AT10" s="7">
        <f>IFERROR(__xludf.DUMMYFUNCTION("""COMPUTED_VALUE"""),40.9618418)</f>
        <v>40.9618418</v>
      </c>
      <c r="AU10" s="7">
        <f>IFERROR(__xludf.DUMMYFUNCTION("""COMPUTED_VALUE"""),41.1398708)</f>
        <v>41.1398708</v>
      </c>
      <c r="AV10" s="7">
        <f>IFERROR(__xludf.DUMMYFUNCTION("""COMPUTED_VALUE"""),41.3158803)</f>
        <v>41.3158803</v>
      </c>
      <c r="AW10" s="7">
        <f>IFERROR(__xludf.DUMMYFUNCTION("""COMPUTED_VALUE"""),41.4959815)</f>
        <v>41.4959815</v>
      </c>
      <c r="AX10" s="7">
        <f>IFERROR(__xludf.DUMMYFUNCTION("""COMPUTED_VALUE"""),41.6678992)</f>
        <v>41.6678992</v>
      </c>
      <c r="AY10" s="7">
        <f>IFERROR(__xludf.DUMMYFUNCTION("""COMPUTED_VALUE"""),41.8294726)</f>
        <v>41.8294726</v>
      </c>
      <c r="AZ10" s="7">
        <f>IFERROR(__xludf.DUMMYFUNCTION("""COMPUTED_VALUE"""),42.0054214)</f>
        <v>42.0054214</v>
      </c>
      <c r="BA10" s="7">
        <f>IFERROR(__xludf.DUMMYFUNCTION("""COMPUTED_VALUE"""),42.1813701)</f>
        <v>42.1813701</v>
      </c>
      <c r="BB10" s="7">
        <f>IFERROR(__xludf.DUMMYFUNCTION("""COMPUTED_VALUE"""),42.3740262)</f>
        <v>42.3740262</v>
      </c>
      <c r="BC10" s="7">
        <f>IFERROR(__xludf.DUMMYFUNCTION("""COMPUTED_VALUE"""),42.5332676)</f>
        <v>42.5332676</v>
      </c>
      <c r="BD10" s="7">
        <f>IFERROR(__xludf.DUMMYFUNCTION("""COMPUTED_VALUE"""),42.5346213)</f>
        <v>42.5346213</v>
      </c>
      <c r="BE10" s="7">
        <f>IFERROR(__xludf.DUMMYFUNCTION("""COMPUTED_VALUE"""),42.5380711)</f>
        <v>42.5380711</v>
      </c>
      <c r="BF10" s="7">
        <f>IFERROR(__xludf.DUMMYFUNCTION("""COMPUTED_VALUE"""),42.5419402)</f>
        <v>42.5419402</v>
      </c>
      <c r="BG10" s="7">
        <f>IFERROR(__xludf.DUMMYFUNCTION("""COMPUTED_VALUE"""),42.5317653)</f>
        <v>42.5317653</v>
      </c>
      <c r="BH10" s="7">
        <f>IFERROR(__xludf.DUMMYFUNCTION("""COMPUTED_VALUE"""),42.5341663)</f>
        <v>42.5341663</v>
      </c>
      <c r="BI10" s="7">
        <f>IFERROR(__xludf.DUMMYFUNCTION("""COMPUTED_VALUE"""),42.9069699)</f>
        <v>42.9069699</v>
      </c>
      <c r="BJ10" s="7">
        <f>IFERROR(__xludf.DUMMYFUNCTION("""COMPUTED_VALUE"""),42.9779792)</f>
        <v>42.9779792</v>
      </c>
      <c r="BK10" s="7">
        <f>IFERROR(__xludf.DUMMYFUNCTION("""COMPUTED_VALUE"""),43.0515322)</f>
        <v>43.0515322</v>
      </c>
      <c r="BL10" s="7">
        <f>IFERROR(__xludf.DUMMYFUNCTION("""COMPUTED_VALUE"""),43.1229678)</f>
        <v>43.1229678</v>
      </c>
      <c r="BM10" s="7">
        <f>IFERROR(__xludf.DUMMYFUNCTION("""COMPUTED_VALUE"""),43.1944034)</f>
        <v>43.1944034</v>
      </c>
      <c r="BN10" s="7" t="b">
        <f>IFERROR(__xludf.DUMMYFUNCTION("""COMPUTED_VALUE"""),TRUE)</f>
        <v>1</v>
      </c>
      <c r="BO10" s="7"/>
      <c r="BP10" s="7"/>
      <c r="BQ10" s="7"/>
      <c r="BR10" s="7"/>
      <c r="BS10" s="7"/>
      <c r="BT10" s="7"/>
      <c r="BU10" s="7"/>
      <c r="BV10" s="7"/>
      <c r="BW10" s="7"/>
      <c r="BX10" s="7"/>
    </row>
    <row r="11">
      <c r="A11" s="1" t="s">
        <v>193</v>
      </c>
      <c r="B11" s="3">
        <v>44.4444444</v>
      </c>
      <c r="C11" s="3">
        <v>44.4444444</v>
      </c>
      <c r="D11" s="3">
        <v>44.4444444</v>
      </c>
      <c r="E11" s="3">
        <v>44.4444444</v>
      </c>
      <c r="F11" s="3">
        <v>44.4444444</v>
      </c>
      <c r="G11" s="3">
        <v>44.4444444</v>
      </c>
      <c r="H11" s="3">
        <v>44.4444444</v>
      </c>
      <c r="I11" s="3">
        <v>44.4444444</v>
      </c>
      <c r="J11" s="3">
        <v>44.4444444</v>
      </c>
      <c r="K11" s="3">
        <v>44.4444444</v>
      </c>
      <c r="L11" s="3">
        <v>44.4444444</v>
      </c>
      <c r="M11" s="3">
        <v>44.4444444</v>
      </c>
      <c r="N11" s="3">
        <v>44.4444444</v>
      </c>
      <c r="O11" s="3">
        <v>44.4444444</v>
      </c>
      <c r="P11" s="3">
        <v>44.4444444</v>
      </c>
      <c r="Q11" s="3">
        <v>44.4444444</v>
      </c>
      <c r="R11" s="3">
        <v>44.4444444</v>
      </c>
      <c r="S11" s="3">
        <v>44.4444444</v>
      </c>
      <c r="T11" s="3">
        <v>44.4444444</v>
      </c>
      <c r="U11" s="3">
        <v>44.4444444</v>
      </c>
      <c r="V11" s="3">
        <v>44.4444444</v>
      </c>
      <c r="W11" s="3">
        <v>44.8148148</v>
      </c>
      <c r="X11" s="3">
        <v>45.1851852</v>
      </c>
      <c r="Y11" s="3">
        <v>45.5555556</v>
      </c>
      <c r="Z11" s="3">
        <v>45.9259259</v>
      </c>
      <c r="AA11" s="3">
        <v>46.2962963</v>
      </c>
      <c r="AB11" s="3">
        <v>51.8518519</v>
      </c>
      <c r="AC11" s="3">
        <v>51.8518519</v>
      </c>
      <c r="AD11" s="3">
        <v>51.8518519</v>
      </c>
      <c r="AE11" s="3">
        <v>51.8518519</v>
      </c>
      <c r="AF11" s="3">
        <v>51.8518519</v>
      </c>
      <c r="AG11" s="7" t="b">
        <f>DASHBOARD!I22</f>
        <v>1</v>
      </c>
      <c r="AH11" s="7" t="str">
        <f>IFERROR(__xludf.DUMMYFUNCTION("""COMPUTED_VALUE"""),"Greece")</f>
        <v>Greece</v>
      </c>
      <c r="AI11" s="7">
        <f>IFERROR(__xludf.DUMMYFUNCTION("""COMPUTED_VALUE"""),25.59)</f>
        <v>25.59</v>
      </c>
      <c r="AJ11" s="7">
        <f>IFERROR(__xludf.DUMMYFUNCTION("""COMPUTED_VALUE"""),25.8240411)</f>
        <v>25.8240411</v>
      </c>
      <c r="AK11" s="7">
        <f>IFERROR(__xludf.DUMMYFUNCTION("""COMPUTED_VALUE"""),26.0580815)</f>
        <v>26.0580815</v>
      </c>
      <c r="AL11" s="7">
        <f>IFERROR(__xludf.DUMMYFUNCTION("""COMPUTED_VALUE"""),26.2921226)</f>
        <v>26.2921226</v>
      </c>
      <c r="AM11" s="7">
        <f>IFERROR(__xludf.DUMMYFUNCTION("""COMPUTED_VALUE"""),26.5261629)</f>
        <v>26.5261629</v>
      </c>
      <c r="AN11" s="7">
        <f>IFERROR(__xludf.DUMMYFUNCTION("""COMPUTED_VALUE"""),26.760204)</f>
        <v>26.760204</v>
      </c>
      <c r="AO11" s="7">
        <f>IFERROR(__xludf.DUMMYFUNCTION("""COMPUTED_VALUE"""),26.9942452)</f>
        <v>26.9942452</v>
      </c>
      <c r="AP11" s="7">
        <f>IFERROR(__xludf.DUMMYFUNCTION("""COMPUTED_VALUE"""),27.2282855)</f>
        <v>27.2282855</v>
      </c>
      <c r="AQ11" s="7">
        <f>IFERROR(__xludf.DUMMYFUNCTION("""COMPUTED_VALUE"""),27.4623266)</f>
        <v>27.4623266</v>
      </c>
      <c r="AR11" s="7">
        <f>IFERROR(__xludf.DUMMYFUNCTION("""COMPUTED_VALUE"""),27.696367)</f>
        <v>27.696367</v>
      </c>
      <c r="AS11" s="7">
        <f>IFERROR(__xludf.DUMMYFUNCTION("""COMPUTED_VALUE"""),27.9304081)</f>
        <v>27.9304081</v>
      </c>
      <c r="AT11" s="7">
        <f>IFERROR(__xludf.DUMMYFUNCTION("""COMPUTED_VALUE"""),28.164367)</f>
        <v>28.164367</v>
      </c>
      <c r="AU11" s="7">
        <f>IFERROR(__xludf.DUMMYFUNCTION("""COMPUTED_VALUE"""),28.3983266)</f>
        <v>28.3983266</v>
      </c>
      <c r="AV11" s="7">
        <f>IFERROR(__xludf.DUMMYFUNCTION("""COMPUTED_VALUE"""),28.6322855)</f>
        <v>28.6322855</v>
      </c>
      <c r="AW11" s="7">
        <f>IFERROR(__xludf.DUMMYFUNCTION("""COMPUTED_VALUE"""),28.8662452)</f>
        <v>28.8662452</v>
      </c>
      <c r="AX11" s="7">
        <f>IFERROR(__xludf.DUMMYFUNCTION("""COMPUTED_VALUE"""),29.100204)</f>
        <v>29.100204</v>
      </c>
      <c r="AY11" s="7">
        <f>IFERROR(__xludf.DUMMYFUNCTION("""COMPUTED_VALUE"""),29.3341629)</f>
        <v>29.3341629</v>
      </c>
      <c r="AZ11" s="7">
        <f>IFERROR(__xludf.DUMMYFUNCTION("""COMPUTED_VALUE"""),29.5681226)</f>
        <v>29.5681226</v>
      </c>
      <c r="BA11" s="7">
        <f>IFERROR(__xludf.DUMMYFUNCTION("""COMPUTED_VALUE"""),29.8020815)</f>
        <v>29.8020815</v>
      </c>
      <c r="BB11" s="7">
        <f>IFERROR(__xludf.DUMMYFUNCTION("""COMPUTED_VALUE"""),30.0360411)</f>
        <v>30.0360411</v>
      </c>
      <c r="BC11" s="7">
        <f>IFERROR(__xludf.DUMMYFUNCTION("""COMPUTED_VALUE"""),30.27)</f>
        <v>30.27</v>
      </c>
      <c r="BD11" s="7">
        <f>IFERROR(__xludf.DUMMYFUNCTION("""COMPUTED_VALUE"""),30.27)</f>
        <v>30.27</v>
      </c>
      <c r="BE11" s="7">
        <f>IFERROR(__xludf.DUMMYFUNCTION("""COMPUTED_VALUE"""),30.27)</f>
        <v>30.27</v>
      </c>
      <c r="BF11" s="7">
        <f>IFERROR(__xludf.DUMMYFUNCTION("""COMPUTED_VALUE"""),30.27)</f>
        <v>30.27</v>
      </c>
      <c r="BG11" s="7">
        <f>IFERROR(__xludf.DUMMYFUNCTION("""COMPUTED_VALUE"""),30.27)</f>
        <v>30.27</v>
      </c>
      <c r="BH11" s="7">
        <f>IFERROR(__xludf.DUMMYFUNCTION("""COMPUTED_VALUE"""),30.27)</f>
        <v>30.27</v>
      </c>
      <c r="BI11" s="7">
        <f>IFERROR(__xludf.DUMMYFUNCTION("""COMPUTED_VALUE"""),30.2699767)</f>
        <v>30.2699767</v>
      </c>
      <c r="BJ11" s="7">
        <f>IFERROR(__xludf.DUMMYFUNCTION("""COMPUTED_VALUE"""),30.2699767)</f>
        <v>30.2699767</v>
      </c>
      <c r="BK11" s="7">
        <f>IFERROR(__xludf.DUMMYFUNCTION("""COMPUTED_VALUE"""),30.2699767)</f>
        <v>30.2699767</v>
      </c>
      <c r="BL11" s="7">
        <f>IFERROR(__xludf.DUMMYFUNCTION("""COMPUTED_VALUE"""),30.2699767)</f>
        <v>30.2699767</v>
      </c>
      <c r="BM11" s="7">
        <f>IFERROR(__xludf.DUMMYFUNCTION("""COMPUTED_VALUE"""),30.2699767)</f>
        <v>30.2699767</v>
      </c>
      <c r="BN11" s="7" t="b">
        <f>IFERROR(__xludf.DUMMYFUNCTION("""COMPUTED_VALUE"""),TRUE)</f>
        <v>1</v>
      </c>
      <c r="BO11" s="7"/>
      <c r="BP11" s="7"/>
      <c r="BQ11" s="7"/>
      <c r="BR11" s="7"/>
      <c r="BS11" s="7"/>
      <c r="BT11" s="7"/>
      <c r="BU11" s="7"/>
      <c r="BV11" s="7"/>
      <c r="BW11" s="7"/>
      <c r="BX11" s="7"/>
    </row>
    <row r="12">
      <c r="A12" s="1" t="s">
        <v>495</v>
      </c>
      <c r="B12" s="3">
        <v>4.55947892</v>
      </c>
      <c r="C12" s="3">
        <v>4.88572735</v>
      </c>
      <c r="D12" s="3">
        <v>5.21197577</v>
      </c>
      <c r="E12" s="3">
        <v>5.5382242</v>
      </c>
      <c r="F12" s="3">
        <v>5.86447263</v>
      </c>
      <c r="G12" s="3">
        <v>6.19072106</v>
      </c>
      <c r="H12" s="3">
        <v>6.51696949</v>
      </c>
      <c r="I12" s="3">
        <v>6.84321792</v>
      </c>
      <c r="J12" s="3">
        <v>7.16946635</v>
      </c>
      <c r="K12" s="3">
        <v>7.49571478</v>
      </c>
      <c r="L12" s="3">
        <v>7.8219632</v>
      </c>
      <c r="M12" s="3">
        <v>8.02896812</v>
      </c>
      <c r="N12" s="3">
        <v>8.23597303</v>
      </c>
      <c r="O12" s="3">
        <v>8.44297795</v>
      </c>
      <c r="P12" s="3">
        <v>8.64998286</v>
      </c>
      <c r="Q12" s="3">
        <v>8.85698777</v>
      </c>
      <c r="R12" s="3">
        <v>9.06399269</v>
      </c>
      <c r="S12" s="3">
        <v>9.2709976</v>
      </c>
      <c r="T12" s="3">
        <v>9.47800251</v>
      </c>
      <c r="U12" s="3">
        <v>9.68500743</v>
      </c>
      <c r="V12" s="3">
        <v>9.89201234</v>
      </c>
      <c r="W12" s="3">
        <v>10.1076448</v>
      </c>
      <c r="X12" s="3">
        <v>10.3232773</v>
      </c>
      <c r="Y12" s="3">
        <v>10.5389098</v>
      </c>
      <c r="Z12" s="3">
        <v>10.7545423</v>
      </c>
      <c r="AA12" s="3">
        <v>10.9701748</v>
      </c>
      <c r="AB12" s="3">
        <v>11.1244429</v>
      </c>
      <c r="AC12" s="3">
        <v>11.2444292</v>
      </c>
      <c r="AD12" s="3">
        <v>11.3644155</v>
      </c>
      <c r="AE12" s="3">
        <v>11.4844018</v>
      </c>
      <c r="AF12" s="3">
        <v>11.6043881</v>
      </c>
      <c r="AG12" s="7" t="b">
        <f>DASHBOARD!I23</f>
        <v>1</v>
      </c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</row>
    <row r="13">
      <c r="A13" s="1" t="s">
        <v>237</v>
      </c>
      <c r="B13" s="3">
        <v>48.132964</v>
      </c>
      <c r="C13" s="3">
        <v>48.1303786</v>
      </c>
      <c r="D13" s="3">
        <v>48.1277932</v>
      </c>
      <c r="E13" s="3">
        <v>48.1252078</v>
      </c>
      <c r="F13" s="3">
        <v>48.1226223</v>
      </c>
      <c r="G13" s="3">
        <v>48.1200369</v>
      </c>
      <c r="H13" s="3">
        <v>48.1174515</v>
      </c>
      <c r="I13" s="3">
        <v>48.1148661</v>
      </c>
      <c r="J13" s="3">
        <v>48.1122807</v>
      </c>
      <c r="K13" s="3">
        <v>48.1096953</v>
      </c>
      <c r="L13" s="3">
        <v>48.1071099</v>
      </c>
      <c r="M13" s="3">
        <v>48.4529086</v>
      </c>
      <c r="N13" s="3">
        <v>48.7987073</v>
      </c>
      <c r="O13" s="3">
        <v>49.144506</v>
      </c>
      <c r="P13" s="3">
        <v>49.4903047</v>
      </c>
      <c r="Q13" s="3">
        <v>49.8361034</v>
      </c>
      <c r="R13" s="3">
        <v>50.1819021</v>
      </c>
      <c r="S13" s="3">
        <v>50.5277008</v>
      </c>
      <c r="T13" s="3">
        <v>50.8734995</v>
      </c>
      <c r="U13" s="3">
        <v>51.2192982</v>
      </c>
      <c r="V13" s="3">
        <v>51.565097</v>
      </c>
      <c r="W13" s="3">
        <v>51.9161588</v>
      </c>
      <c r="X13" s="3">
        <v>52.2672207</v>
      </c>
      <c r="Y13" s="3">
        <v>52.6182825</v>
      </c>
      <c r="Z13" s="3">
        <v>52.9693444</v>
      </c>
      <c r="AA13" s="3">
        <v>53.3204063</v>
      </c>
      <c r="AB13" s="3">
        <v>53.6786704</v>
      </c>
      <c r="AC13" s="3">
        <v>54.0378578</v>
      </c>
      <c r="AD13" s="3">
        <v>54.3970452</v>
      </c>
      <c r="AE13" s="3">
        <v>54.7553093</v>
      </c>
      <c r="AF13" s="3">
        <v>55.1144968</v>
      </c>
      <c r="AG13" s="7" t="b">
        <f>DASHBOARD!I24</f>
        <v>0</v>
      </c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</row>
    <row r="14">
      <c r="A14" s="1" t="s">
        <v>373</v>
      </c>
      <c r="B14" s="5"/>
      <c r="C14" s="3">
        <v>83.2456522</v>
      </c>
      <c r="D14" s="3">
        <v>83.5565217</v>
      </c>
      <c r="E14" s="3">
        <v>83.8673913</v>
      </c>
      <c r="F14" s="3">
        <v>84.1782609</v>
      </c>
      <c r="G14" s="3">
        <v>84.4891304</v>
      </c>
      <c r="H14" s="3">
        <v>84.8</v>
      </c>
      <c r="I14" s="3">
        <v>85.1108696</v>
      </c>
      <c r="J14" s="3">
        <v>85.4217391</v>
      </c>
      <c r="K14" s="3">
        <v>85.7326087</v>
      </c>
      <c r="L14" s="3">
        <v>86.0434783</v>
      </c>
      <c r="M14" s="3">
        <v>86.2565217</v>
      </c>
      <c r="N14" s="3">
        <v>86.4695652</v>
      </c>
      <c r="O14" s="3">
        <v>86.6826087</v>
      </c>
      <c r="P14" s="3">
        <v>86.8956522</v>
      </c>
      <c r="Q14" s="3">
        <v>87.1086957</v>
      </c>
      <c r="R14" s="3">
        <v>87.3217391</v>
      </c>
      <c r="S14" s="3">
        <v>87.5347826</v>
      </c>
      <c r="T14" s="3">
        <v>87.7478261</v>
      </c>
      <c r="U14" s="3">
        <v>87.9608696</v>
      </c>
      <c r="V14" s="3">
        <v>88.173913</v>
      </c>
      <c r="W14" s="3">
        <v>88.3608696</v>
      </c>
      <c r="X14" s="3">
        <v>88.5478261</v>
      </c>
      <c r="Y14" s="3">
        <v>88.7347826</v>
      </c>
      <c r="Z14" s="3">
        <v>88.9217391</v>
      </c>
      <c r="AA14" s="3">
        <v>89.1086957</v>
      </c>
      <c r="AB14" s="3">
        <v>89.3043478</v>
      </c>
      <c r="AC14" s="3">
        <v>89.4782609</v>
      </c>
      <c r="AD14" s="3">
        <v>89.673913</v>
      </c>
      <c r="AE14" s="3">
        <v>89.8478261</v>
      </c>
      <c r="AF14" s="3">
        <v>90.0217391</v>
      </c>
      <c r="AG14" s="7" t="b">
        <f>DASHBOARD!I25</f>
        <v>0</v>
      </c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</row>
    <row r="15">
      <c r="A15" s="1" t="s">
        <v>87</v>
      </c>
      <c r="B15" s="3">
        <v>16.6733254</v>
      </c>
      <c r="C15" s="3">
        <v>16.8840486</v>
      </c>
      <c r="D15" s="3">
        <v>17.0947717</v>
      </c>
      <c r="E15" s="3">
        <v>17.3054948</v>
      </c>
      <c r="F15" s="3">
        <v>17.516218</v>
      </c>
      <c r="G15" s="3">
        <v>17.7268471</v>
      </c>
      <c r="H15" s="3">
        <v>17.9375881</v>
      </c>
      <c r="I15" s="3">
        <v>18.1483103</v>
      </c>
      <c r="J15" s="3">
        <v>18.3590326</v>
      </c>
      <c r="K15" s="3">
        <v>18.5697548</v>
      </c>
      <c r="L15" s="3">
        <v>18.780497</v>
      </c>
      <c r="M15" s="3">
        <v>19.0310067</v>
      </c>
      <c r="N15" s="3">
        <v>19.2815169</v>
      </c>
      <c r="O15" s="3">
        <v>19.5320281</v>
      </c>
      <c r="P15" s="3">
        <v>19.7825365</v>
      </c>
      <c r="Q15" s="3">
        <v>20.0330482</v>
      </c>
      <c r="R15" s="3">
        <v>20.2835579</v>
      </c>
      <c r="S15" s="3">
        <v>20.534068</v>
      </c>
      <c r="T15" s="3">
        <v>20.7845782</v>
      </c>
      <c r="U15" s="3">
        <v>21.0350872</v>
      </c>
      <c r="V15" s="3">
        <v>21.2855969</v>
      </c>
      <c r="W15" s="3">
        <v>21.4910962</v>
      </c>
      <c r="X15" s="3">
        <v>21.696596</v>
      </c>
      <c r="Y15" s="3">
        <v>21.9020949</v>
      </c>
      <c r="Z15" s="3">
        <v>22.1075946</v>
      </c>
      <c r="AA15" s="3">
        <v>22.3130942</v>
      </c>
      <c r="AB15" s="3">
        <v>22.5428773</v>
      </c>
      <c r="AC15" s="3">
        <v>22.7423103</v>
      </c>
      <c r="AD15" s="3">
        <v>22.9417354</v>
      </c>
      <c r="AE15" s="3">
        <v>23.1411655</v>
      </c>
      <c r="AF15" s="3">
        <v>23.3405957</v>
      </c>
      <c r="AG15" s="7" t="b">
        <f>DASHBOARD!I26</f>
        <v>0</v>
      </c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</row>
    <row r="16">
      <c r="A16" s="1" t="s">
        <v>295</v>
      </c>
      <c r="B16" s="3">
        <v>18.3823529</v>
      </c>
      <c r="C16" s="3">
        <v>18.3823529</v>
      </c>
      <c r="D16" s="3">
        <v>18.3823529</v>
      </c>
      <c r="E16" s="3">
        <v>18.3823529</v>
      </c>
      <c r="F16" s="3">
        <v>18.3823529</v>
      </c>
      <c r="G16" s="3">
        <v>18.3823529</v>
      </c>
      <c r="H16" s="3">
        <v>18.3823529</v>
      </c>
      <c r="I16" s="3">
        <v>18.3823529</v>
      </c>
      <c r="J16" s="3">
        <v>18.3823529</v>
      </c>
      <c r="K16" s="3">
        <v>18.3823529</v>
      </c>
      <c r="L16" s="3">
        <v>22.7941176</v>
      </c>
      <c r="M16" s="3">
        <v>18.3823529</v>
      </c>
      <c r="N16" s="3">
        <v>18.3823529</v>
      </c>
      <c r="O16" s="3">
        <v>18.3823529</v>
      </c>
      <c r="P16" s="3">
        <v>18.3823529</v>
      </c>
      <c r="Q16" s="3">
        <v>18.3823529</v>
      </c>
      <c r="R16" s="3">
        <v>18.3823529</v>
      </c>
      <c r="S16" s="3">
        <v>18.3823529</v>
      </c>
      <c r="T16" s="3">
        <v>18.3823529</v>
      </c>
      <c r="U16" s="3">
        <v>18.3823529</v>
      </c>
      <c r="V16" s="3">
        <v>22.7941176</v>
      </c>
      <c r="W16" s="3">
        <v>24.8</v>
      </c>
      <c r="X16" s="3">
        <v>24.8</v>
      </c>
      <c r="Y16" s="3">
        <v>24.8</v>
      </c>
      <c r="Z16" s="3">
        <v>24.8</v>
      </c>
      <c r="AA16" s="3">
        <v>24.8</v>
      </c>
      <c r="AB16" s="3">
        <v>24.8</v>
      </c>
      <c r="AC16" s="3">
        <v>24.8</v>
      </c>
      <c r="AD16" s="3">
        <v>24.8</v>
      </c>
      <c r="AE16" s="3">
        <v>24.8</v>
      </c>
      <c r="AF16" s="3">
        <v>24.8</v>
      </c>
      <c r="AG16" s="7" t="b">
        <f>DASHBOARD!I27</f>
        <v>1</v>
      </c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</row>
    <row r="17">
      <c r="A17" s="1" t="s">
        <v>235</v>
      </c>
      <c r="B17" s="3">
        <v>25.805821</v>
      </c>
      <c r="C17" s="3">
        <v>26.0708578</v>
      </c>
      <c r="D17" s="3">
        <v>26.3358947</v>
      </c>
      <c r="E17" s="3">
        <v>26.6009316</v>
      </c>
      <c r="F17" s="3">
        <v>26.8659685</v>
      </c>
      <c r="G17" s="3">
        <v>27.1310054</v>
      </c>
      <c r="H17" s="3">
        <v>27.3960423</v>
      </c>
      <c r="I17" s="3">
        <v>27.6610792</v>
      </c>
      <c r="J17" s="3">
        <v>27.9261161</v>
      </c>
      <c r="K17" s="3">
        <v>28.191153</v>
      </c>
      <c r="L17" s="3">
        <v>28.4561899</v>
      </c>
      <c r="M17" s="3">
        <v>28.6801843</v>
      </c>
      <c r="N17" s="3">
        <v>28.9041787</v>
      </c>
      <c r="O17" s="3">
        <v>29.1252023</v>
      </c>
      <c r="P17" s="3">
        <v>29.3491739</v>
      </c>
      <c r="Q17" s="3">
        <v>29.5731454</v>
      </c>
      <c r="R17" s="3">
        <v>29.797117</v>
      </c>
      <c r="S17" s="3">
        <v>30.0210886</v>
      </c>
      <c r="T17" s="3">
        <v>30.2450602</v>
      </c>
      <c r="U17" s="3">
        <v>30.4690318</v>
      </c>
      <c r="V17" s="3">
        <v>30.6930033</v>
      </c>
      <c r="W17" s="3">
        <v>30.8759366</v>
      </c>
      <c r="X17" s="3">
        <v>31.0588699</v>
      </c>
      <c r="Y17" s="3">
        <v>31.2418032</v>
      </c>
      <c r="Z17" s="3">
        <v>31.4247365</v>
      </c>
      <c r="AA17" s="3">
        <v>31.6076698</v>
      </c>
      <c r="AB17" s="3">
        <v>31.7906099</v>
      </c>
      <c r="AC17" s="3">
        <v>31.97355</v>
      </c>
      <c r="AD17" s="3">
        <v>31.7687502</v>
      </c>
      <c r="AE17" s="3">
        <v>31.9494844</v>
      </c>
      <c r="AF17" s="3">
        <v>32.1302187</v>
      </c>
      <c r="AG17" s="7" t="b">
        <f>DASHBOARD!I28</f>
        <v>0</v>
      </c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</row>
    <row r="18">
      <c r="A18" s="1" t="s">
        <v>49</v>
      </c>
      <c r="B18" s="3">
        <v>30.073217</v>
      </c>
      <c r="C18" s="3">
        <v>30.1166049</v>
      </c>
      <c r="D18" s="3">
        <v>30.1599928</v>
      </c>
      <c r="E18" s="3">
        <v>30.2033806</v>
      </c>
      <c r="F18" s="3">
        <v>30.2467685</v>
      </c>
      <c r="G18" s="3">
        <v>30.2901564</v>
      </c>
      <c r="H18" s="3">
        <v>30.3335442</v>
      </c>
      <c r="I18" s="3">
        <v>30.3769321</v>
      </c>
      <c r="J18" s="3">
        <v>30.42032</v>
      </c>
      <c r="K18" s="3">
        <v>30.4637079</v>
      </c>
      <c r="L18" s="3">
        <v>30.5070957</v>
      </c>
      <c r="M18" s="3">
        <v>30.8343126</v>
      </c>
      <c r="N18" s="3">
        <v>31.6856618</v>
      </c>
      <c r="O18" s="3">
        <v>32.0272134</v>
      </c>
      <c r="P18" s="3">
        <v>32.3630011</v>
      </c>
      <c r="Q18" s="3">
        <v>32.7319588</v>
      </c>
      <c r="R18" s="3">
        <v>33.0682132</v>
      </c>
      <c r="S18" s="3">
        <v>33.4076052</v>
      </c>
      <c r="T18" s="3">
        <v>33.7409078</v>
      </c>
      <c r="U18" s="3">
        <v>34.0899042</v>
      </c>
      <c r="V18" s="3">
        <v>34.4233604</v>
      </c>
      <c r="W18" s="3">
        <v>34.6002211</v>
      </c>
      <c r="X18" s="3">
        <v>34.7770818</v>
      </c>
      <c r="Y18" s="3">
        <v>34.9539425</v>
      </c>
      <c r="Z18" s="3">
        <v>35.1308032</v>
      </c>
      <c r="AA18" s="3">
        <v>35.307664</v>
      </c>
      <c r="AB18" s="3">
        <v>35.3813559</v>
      </c>
      <c r="AC18" s="3">
        <v>35.5011054</v>
      </c>
      <c r="AD18" s="3">
        <v>35.6208548</v>
      </c>
      <c r="AE18" s="3">
        <v>35.7406043</v>
      </c>
      <c r="AF18" s="3">
        <v>35.8603537</v>
      </c>
      <c r="AG18" s="7" t="b">
        <f>DASHBOARD!I29</f>
        <v>0</v>
      </c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</row>
    <row r="19">
      <c r="A19" s="1" t="s">
        <v>161</v>
      </c>
      <c r="B19" s="3">
        <v>26.3639452</v>
      </c>
      <c r="C19" s="3">
        <v>26.5195428</v>
      </c>
      <c r="D19" s="3">
        <v>26.6751405</v>
      </c>
      <c r="E19" s="3">
        <v>26.8307382</v>
      </c>
      <c r="F19" s="3">
        <v>26.9863359</v>
      </c>
      <c r="G19" s="3">
        <v>27.1419336</v>
      </c>
      <c r="H19" s="3">
        <v>27.2975313</v>
      </c>
      <c r="I19" s="3">
        <v>27.4531289</v>
      </c>
      <c r="J19" s="3">
        <v>27.6087266</v>
      </c>
      <c r="K19" s="3">
        <v>27.7643243</v>
      </c>
      <c r="L19" s="3">
        <v>27.919871</v>
      </c>
      <c r="M19" s="3">
        <v>28.1264211</v>
      </c>
      <c r="N19" s="3">
        <v>28.3329711</v>
      </c>
      <c r="O19" s="3">
        <v>28.5238936</v>
      </c>
      <c r="P19" s="3">
        <v>28.7460713</v>
      </c>
      <c r="Q19" s="3">
        <v>28.9531501</v>
      </c>
      <c r="R19" s="3">
        <v>29.1597039</v>
      </c>
      <c r="S19" s="3">
        <v>29.3662578</v>
      </c>
      <c r="T19" s="3">
        <v>29.5728116</v>
      </c>
      <c r="U19" s="3">
        <v>29.7793654</v>
      </c>
      <c r="V19" s="3">
        <v>29.9859193</v>
      </c>
      <c r="W19" s="3">
        <v>30.1382322</v>
      </c>
      <c r="X19" s="3">
        <v>30.2905451</v>
      </c>
      <c r="Y19" s="3">
        <v>30.442858</v>
      </c>
      <c r="Z19" s="3">
        <v>30.5951709</v>
      </c>
      <c r="AA19" s="3">
        <v>30.7474838</v>
      </c>
      <c r="AB19" s="3">
        <v>30.8997967</v>
      </c>
      <c r="AC19" s="3">
        <v>31.0521096</v>
      </c>
      <c r="AD19" s="3">
        <v>31.2044226</v>
      </c>
      <c r="AE19" s="3">
        <v>31.3567355</v>
      </c>
      <c r="AF19" s="3">
        <v>31.5090484</v>
      </c>
      <c r="AG19" s="7" t="b">
        <f>DASHBOARD!I30</f>
        <v>0</v>
      </c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</row>
    <row r="20">
      <c r="A20" s="1" t="s">
        <v>57</v>
      </c>
      <c r="B20" s="3">
        <v>38.355354</v>
      </c>
      <c r="C20" s="3">
        <v>38.8414514</v>
      </c>
      <c r="D20" s="3">
        <v>38.8414514</v>
      </c>
      <c r="E20" s="3">
        <v>39.0845001</v>
      </c>
      <c r="F20" s="3">
        <v>39.3275488</v>
      </c>
      <c r="G20" s="3">
        <v>39.5705975</v>
      </c>
      <c r="H20" s="3">
        <v>39.8136462</v>
      </c>
      <c r="I20" s="3">
        <v>40.0566949</v>
      </c>
      <c r="J20" s="3">
        <v>40.2997436</v>
      </c>
      <c r="K20" s="3">
        <v>40.5427923</v>
      </c>
      <c r="L20" s="3">
        <v>40.7858411</v>
      </c>
      <c r="M20" s="3">
        <v>40.9618418</v>
      </c>
      <c r="N20" s="3">
        <v>41.1398708</v>
      </c>
      <c r="O20" s="3">
        <v>41.3158803</v>
      </c>
      <c r="P20" s="3">
        <v>41.4959815</v>
      </c>
      <c r="Q20" s="3">
        <v>41.6678992</v>
      </c>
      <c r="R20" s="3">
        <v>41.8294726</v>
      </c>
      <c r="S20" s="3">
        <v>42.0054214</v>
      </c>
      <c r="T20" s="3">
        <v>42.1813701</v>
      </c>
      <c r="U20" s="3">
        <v>42.3740262</v>
      </c>
      <c r="V20" s="3">
        <v>42.5332676</v>
      </c>
      <c r="W20" s="3">
        <v>42.5346213</v>
      </c>
      <c r="X20" s="3">
        <v>42.5380711</v>
      </c>
      <c r="Y20" s="3">
        <v>42.5419402</v>
      </c>
      <c r="Z20" s="3">
        <v>42.5317653</v>
      </c>
      <c r="AA20" s="3">
        <v>42.5341663</v>
      </c>
      <c r="AB20" s="3">
        <v>42.9069699</v>
      </c>
      <c r="AC20" s="3">
        <v>42.9779792</v>
      </c>
      <c r="AD20" s="3">
        <v>43.0515322</v>
      </c>
      <c r="AE20" s="3">
        <v>43.1229678</v>
      </c>
      <c r="AF20" s="3">
        <v>43.1944034</v>
      </c>
      <c r="AG20" s="7" t="b">
        <f>DASHBOARD!I31</f>
        <v>1</v>
      </c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</row>
    <row r="21">
      <c r="A21" s="1" t="s">
        <v>185</v>
      </c>
      <c r="B21" s="3">
        <v>25.59</v>
      </c>
      <c r="C21" s="3">
        <v>25.8240411</v>
      </c>
      <c r="D21" s="3">
        <v>26.0580815</v>
      </c>
      <c r="E21" s="3">
        <v>26.2921226</v>
      </c>
      <c r="F21" s="3">
        <v>26.5261629</v>
      </c>
      <c r="G21" s="3">
        <v>26.760204</v>
      </c>
      <c r="H21" s="3">
        <v>26.9942452</v>
      </c>
      <c r="I21" s="3">
        <v>27.2282855</v>
      </c>
      <c r="J21" s="3">
        <v>27.4623266</v>
      </c>
      <c r="K21" s="3">
        <v>27.696367</v>
      </c>
      <c r="L21" s="3">
        <v>27.9304081</v>
      </c>
      <c r="M21" s="3">
        <v>28.164367</v>
      </c>
      <c r="N21" s="3">
        <v>28.3983266</v>
      </c>
      <c r="O21" s="3">
        <v>28.6322855</v>
      </c>
      <c r="P21" s="3">
        <v>28.8662452</v>
      </c>
      <c r="Q21" s="3">
        <v>29.100204</v>
      </c>
      <c r="R21" s="3">
        <v>29.3341629</v>
      </c>
      <c r="S21" s="3">
        <v>29.5681226</v>
      </c>
      <c r="T21" s="3">
        <v>29.8020815</v>
      </c>
      <c r="U21" s="3">
        <v>30.0360411</v>
      </c>
      <c r="V21" s="3">
        <v>30.27</v>
      </c>
      <c r="W21" s="3">
        <v>30.27</v>
      </c>
      <c r="X21" s="3">
        <v>30.27</v>
      </c>
      <c r="Y21" s="3">
        <v>30.27</v>
      </c>
      <c r="Z21" s="3">
        <v>30.27</v>
      </c>
      <c r="AA21" s="3">
        <v>30.27</v>
      </c>
      <c r="AB21" s="3">
        <v>30.2699767</v>
      </c>
      <c r="AC21" s="3">
        <v>30.2699767</v>
      </c>
      <c r="AD21" s="3">
        <v>30.2699767</v>
      </c>
      <c r="AE21" s="3">
        <v>30.2699767</v>
      </c>
      <c r="AF21" s="3">
        <v>30.2699767</v>
      </c>
      <c r="AG21" s="7" t="b">
        <f>DASHBOARD!I32</f>
        <v>1</v>
      </c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</row>
    <row r="22"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</row>
    <row r="23"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</row>
    <row r="24"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</row>
    <row r="1000">
      <c r="AG1000" s="3" t="b">
        <v>0</v>
      </c>
      <c r="AH1000" s="3" t="b">
        <v>0</v>
      </c>
      <c r="AI1000" s="3" t="b">
        <v>0</v>
      </c>
      <c r="AJ1000" s="3" t="b">
        <v>0</v>
      </c>
      <c r="AK1000" s="3" t="b">
        <v>0</v>
      </c>
      <c r="AL1000" s="3" t="b">
        <v>0</v>
      </c>
      <c r="AM1000" s="3" t="b">
        <v>0</v>
      </c>
      <c r="AN1000" s="3" t="b">
        <v>0</v>
      </c>
      <c r="AO1000" s="3" t="b">
        <v>0</v>
      </c>
      <c r="AP1000" s="3" t="b">
        <v>0</v>
      </c>
      <c r="AQ1000" s="3" t="b">
        <v>0</v>
      </c>
      <c r="AR1000" s="3" t="b">
        <v>0</v>
      </c>
      <c r="AS1000" s="3" t="b">
        <v>0</v>
      </c>
      <c r="AT1000" s="3" t="b">
        <v>0</v>
      </c>
      <c r="AU1000" s="3" t="b">
        <v>0</v>
      </c>
      <c r="AV1000" s="3" t="b">
        <v>0</v>
      </c>
      <c r="AW1000" s="3" t="b">
        <v>0</v>
      </c>
      <c r="AX1000" s="3" t="b">
        <v>0</v>
      </c>
      <c r="AY1000" s="3" t="b">
        <v>0</v>
      </c>
      <c r="AZ1000" s="3" t="b">
        <v>0</v>
      </c>
      <c r="BA1000" s="3" t="b">
        <v>0</v>
      </c>
      <c r="BB1000" s="3" t="b">
        <v>0</v>
      </c>
      <c r="BC1000" s="3" t="b">
        <v>0</v>
      </c>
      <c r="BD1000" s="3" t="b">
        <v>0</v>
      </c>
      <c r="BE1000" s="3" t="b">
        <v>0</v>
      </c>
      <c r="BF1000" s="3" t="b">
        <v>0</v>
      </c>
      <c r="BG1000" s="3" t="b">
        <v>0</v>
      </c>
      <c r="BH1000" s="3" t="b">
        <v>0</v>
      </c>
      <c r="BI1000" s="3" t="b">
        <v>0</v>
      </c>
      <c r="BJ1000" s="3" t="b">
        <v>0</v>
      </c>
      <c r="BK1000" s="3" t="b">
        <v>0</v>
      </c>
      <c r="BL1000" s="3" t="b">
        <v>0</v>
      </c>
      <c r="BM1000" s="3" t="b">
        <v>0</v>
      </c>
      <c r="BN1000" s="3" t="b">
        <v>0</v>
      </c>
      <c r="BO1000" s="3" t="b">
        <v>0</v>
      </c>
      <c r="BP1000" s="3" t="b">
        <v>0</v>
      </c>
      <c r="BQ1000" s="3" t="b">
        <v>0</v>
      </c>
      <c r="BR1000" s="3" t="b">
        <v>0</v>
      </c>
      <c r="BS1000" s="3" t="b">
        <v>0</v>
      </c>
      <c r="BT1000" s="3" t="b">
        <v>0</v>
      </c>
      <c r="BU1000" s="3" t="b">
        <v>0</v>
      </c>
      <c r="BV1000" s="3" t="b">
        <v>0</v>
      </c>
      <c r="BW1000" s="3" t="b">
        <v>0</v>
      </c>
      <c r="BX1000" s="3" t="b"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4.43"/>
    <col customWidth="1" min="2" max="2" width="0.43"/>
    <col customWidth="1" min="3" max="3" width="38.71"/>
    <col customWidth="1" min="4" max="4" width="24.0"/>
  </cols>
  <sheetData>
    <row r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>
      <c r="A2" s="9"/>
      <c r="B2" s="9"/>
      <c r="C2" s="9"/>
      <c r="D2" s="9"/>
      <c r="E2" s="9"/>
      <c r="F2" s="10" t="s">
        <v>525</v>
      </c>
      <c r="O2" s="9"/>
      <c r="P2" s="9"/>
      <c r="Q2" s="9"/>
      <c r="R2" s="9"/>
    </row>
    <row r="3">
      <c r="A3" s="9"/>
      <c r="B3" s="9"/>
      <c r="C3" s="9"/>
      <c r="D3" s="9"/>
      <c r="E3" s="9"/>
      <c r="O3" s="9"/>
      <c r="P3" s="9"/>
      <c r="Q3" s="9"/>
      <c r="R3" s="9"/>
    </row>
    <row r="4">
      <c r="A4" s="9"/>
      <c r="B4" s="9"/>
      <c r="C4" s="9"/>
      <c r="D4" s="9"/>
      <c r="E4" s="9"/>
      <c r="O4" s="9"/>
      <c r="P4" s="9"/>
      <c r="Q4" s="9"/>
      <c r="R4" s="9"/>
    </row>
    <row r="5">
      <c r="A5" s="9"/>
      <c r="B5" s="9"/>
      <c r="C5" s="9"/>
      <c r="D5" s="9"/>
      <c r="E5" s="9"/>
      <c r="O5" s="9"/>
      <c r="P5" s="9"/>
      <c r="Q5" s="9"/>
      <c r="R5" s="9"/>
    </row>
    <row r="6">
      <c r="A6" s="9"/>
      <c r="B6" s="9"/>
      <c r="C6" s="9"/>
      <c r="D6" s="9"/>
      <c r="E6" s="9"/>
      <c r="O6" s="9"/>
      <c r="P6" s="9"/>
      <c r="Q6" s="9"/>
      <c r="R6" s="9"/>
    </row>
    <row r="7">
      <c r="A7" s="9"/>
      <c r="B7" s="11" t="s">
        <v>526</v>
      </c>
      <c r="C7" s="9"/>
      <c r="D7" s="9"/>
      <c r="E7" s="9"/>
      <c r="O7" s="9"/>
      <c r="P7" s="9"/>
      <c r="Q7" s="9"/>
      <c r="R7" s="9"/>
    </row>
    <row r="8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ht="58.5" customHeight="1">
      <c r="A9" s="12" t="s">
        <v>527</v>
      </c>
      <c r="D9" s="13"/>
      <c r="E9" s="13"/>
      <c r="F9" s="13"/>
      <c r="G9" s="14" t="s">
        <v>528</v>
      </c>
      <c r="K9" s="15"/>
      <c r="L9" s="15"/>
      <c r="M9" s="15"/>
      <c r="N9" s="15"/>
      <c r="O9" s="15"/>
      <c r="P9" s="15"/>
      <c r="Q9" s="15"/>
      <c r="R9" s="15"/>
    </row>
    <row r="10" ht="54.0" customHeight="1">
      <c r="A10" s="13"/>
      <c r="B10" s="13"/>
      <c r="C10" s="16" t="s">
        <v>529</v>
      </c>
      <c r="D10" s="16" t="s">
        <v>530</v>
      </c>
      <c r="E10" s="13"/>
      <c r="F10" s="13"/>
      <c r="G10" s="17" t="s">
        <v>531</v>
      </c>
      <c r="J10" s="15"/>
      <c r="K10" s="15"/>
      <c r="L10" s="15"/>
      <c r="M10" s="15"/>
      <c r="N10" s="15"/>
      <c r="O10" s="15"/>
      <c r="P10" s="15"/>
      <c r="Q10" s="15"/>
      <c r="R10" s="15"/>
    </row>
    <row r="11">
      <c r="A11" s="13"/>
      <c r="B11" s="13"/>
      <c r="C11" s="18" t="s">
        <v>509</v>
      </c>
      <c r="D11" s="19">
        <f>VLOOKUP(C11,'Data to work with'!A2:AF21,32,FALSE)</f>
        <v>47.2251105</v>
      </c>
      <c r="E11" s="13"/>
      <c r="F11" s="13"/>
      <c r="J11" s="15"/>
      <c r="K11" s="15"/>
      <c r="L11" s="15"/>
      <c r="M11" s="15"/>
      <c r="N11" s="15"/>
      <c r="O11" s="15"/>
      <c r="P11" s="15"/>
      <c r="Q11" s="15"/>
      <c r="R11" s="15"/>
    </row>
    <row r="12">
      <c r="A12" s="13"/>
      <c r="B12" s="13"/>
      <c r="C12" s="13"/>
      <c r="D12" s="13"/>
      <c r="E12" s="13"/>
      <c r="F12" s="13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</row>
    <row r="13">
      <c r="A13" s="13"/>
      <c r="B13" s="13"/>
      <c r="C13" s="13"/>
      <c r="D13" s="13"/>
      <c r="E13" s="13"/>
      <c r="F13" s="13"/>
      <c r="G13" s="20" t="s">
        <v>381</v>
      </c>
      <c r="I13" s="21" t="b">
        <v>1</v>
      </c>
      <c r="J13" s="15"/>
      <c r="K13" s="15"/>
      <c r="L13" s="15"/>
      <c r="M13" s="15"/>
      <c r="N13" s="15"/>
      <c r="O13" s="15"/>
      <c r="P13" s="15"/>
      <c r="Q13" s="15"/>
      <c r="R13" s="15"/>
    </row>
    <row r="14">
      <c r="A14" s="13"/>
      <c r="B14" s="13"/>
      <c r="C14" s="13"/>
      <c r="D14" s="13"/>
      <c r="E14" s="13"/>
      <c r="F14" s="13"/>
      <c r="G14" s="20" t="s">
        <v>509</v>
      </c>
      <c r="I14" s="21" t="b">
        <v>0</v>
      </c>
      <c r="J14" s="15"/>
      <c r="K14" s="15"/>
      <c r="L14" s="15"/>
      <c r="M14" s="15"/>
      <c r="N14" s="15"/>
      <c r="O14" s="15"/>
      <c r="P14" s="15"/>
      <c r="Q14" s="15"/>
      <c r="R14" s="15"/>
    </row>
    <row r="15">
      <c r="A15" s="13"/>
      <c r="B15" s="13"/>
      <c r="C15" s="13"/>
      <c r="D15" s="13"/>
      <c r="E15" s="13"/>
      <c r="F15" s="13"/>
      <c r="G15" s="20" t="s">
        <v>71</v>
      </c>
      <c r="I15" s="21" t="b">
        <v>0</v>
      </c>
      <c r="J15" s="15"/>
      <c r="K15" s="15"/>
      <c r="L15" s="15"/>
      <c r="M15" s="15"/>
      <c r="N15" s="15"/>
      <c r="O15" s="15"/>
      <c r="P15" s="15"/>
      <c r="Q15" s="15"/>
      <c r="R15" s="15"/>
    </row>
    <row r="16">
      <c r="A16" s="13"/>
      <c r="B16" s="13"/>
      <c r="C16" s="13"/>
      <c r="D16" s="13"/>
      <c r="E16" s="13"/>
      <c r="F16" s="13"/>
      <c r="G16" s="20" t="s">
        <v>323</v>
      </c>
      <c r="I16" s="21" t="b">
        <v>0</v>
      </c>
      <c r="J16" s="15"/>
      <c r="K16" s="15"/>
      <c r="L16" s="15"/>
      <c r="M16" s="15"/>
      <c r="N16" s="15"/>
      <c r="O16" s="15"/>
      <c r="P16" s="15"/>
      <c r="Q16" s="15"/>
      <c r="R16" s="15"/>
    </row>
    <row r="17">
      <c r="A17" s="13"/>
      <c r="B17" s="13"/>
      <c r="C17" s="13"/>
      <c r="D17" s="13"/>
      <c r="E17" s="13"/>
      <c r="F17" s="13"/>
      <c r="G17" s="20" t="s">
        <v>107</v>
      </c>
      <c r="I17" s="21" t="b">
        <v>1</v>
      </c>
      <c r="J17" s="15"/>
      <c r="K17" s="15"/>
      <c r="L17" s="15"/>
      <c r="M17" s="15"/>
      <c r="N17" s="15"/>
      <c r="O17" s="15"/>
      <c r="P17" s="15"/>
      <c r="Q17" s="15"/>
      <c r="R17" s="15"/>
    </row>
    <row r="18">
      <c r="A18" s="13"/>
      <c r="B18" s="13"/>
      <c r="C18" s="13"/>
      <c r="D18" s="13"/>
      <c r="E18" s="13"/>
      <c r="F18" s="13"/>
      <c r="G18" s="20" t="s">
        <v>125</v>
      </c>
      <c r="I18" s="21" t="b">
        <v>1</v>
      </c>
      <c r="J18" s="15"/>
      <c r="K18" s="15"/>
      <c r="L18" s="15"/>
      <c r="M18" s="15"/>
      <c r="N18" s="15"/>
      <c r="O18" s="15"/>
      <c r="P18" s="15"/>
      <c r="Q18" s="15"/>
      <c r="R18" s="15"/>
    </row>
    <row r="19">
      <c r="A19" s="13"/>
      <c r="B19" s="13"/>
      <c r="C19" s="13"/>
      <c r="D19" s="13"/>
      <c r="E19" s="13"/>
      <c r="F19" s="13"/>
      <c r="G19" s="20" t="s">
        <v>159</v>
      </c>
      <c r="I19" s="21" t="b">
        <v>1</v>
      </c>
      <c r="J19" s="15"/>
      <c r="K19" s="15"/>
      <c r="L19" s="15"/>
      <c r="M19" s="15"/>
      <c r="N19" s="15"/>
      <c r="O19" s="15"/>
      <c r="P19" s="15"/>
      <c r="Q19" s="15"/>
      <c r="R19" s="15"/>
    </row>
    <row r="20">
      <c r="A20" s="13"/>
      <c r="B20" s="13"/>
      <c r="C20" s="13"/>
      <c r="D20" s="13"/>
      <c r="E20" s="13"/>
      <c r="F20" s="13"/>
      <c r="G20" s="20" t="s">
        <v>147</v>
      </c>
      <c r="I20" s="21" t="b">
        <v>0</v>
      </c>
      <c r="J20" s="15"/>
      <c r="K20" s="15"/>
      <c r="L20" s="15"/>
      <c r="M20" s="15"/>
      <c r="N20" s="15"/>
      <c r="O20" s="15"/>
      <c r="P20" s="15"/>
      <c r="Q20" s="15"/>
      <c r="R20" s="15"/>
    </row>
    <row r="21">
      <c r="A21" s="13"/>
      <c r="B21" s="13"/>
      <c r="C21" s="13"/>
      <c r="D21" s="13"/>
      <c r="E21" s="13"/>
      <c r="F21" s="13"/>
      <c r="G21" s="20" t="s">
        <v>101</v>
      </c>
      <c r="I21" s="21" t="b">
        <v>1</v>
      </c>
      <c r="J21" s="15"/>
      <c r="K21" s="15"/>
      <c r="L21" s="15"/>
      <c r="M21" s="15"/>
      <c r="N21" s="15"/>
      <c r="O21" s="15"/>
      <c r="P21" s="15"/>
      <c r="Q21" s="15"/>
      <c r="R21" s="15"/>
    </row>
    <row r="22">
      <c r="A22" s="13"/>
      <c r="B22" s="13"/>
      <c r="C22" s="13"/>
      <c r="D22" s="13"/>
      <c r="E22" s="13"/>
      <c r="F22" s="13"/>
      <c r="G22" s="20" t="s">
        <v>193</v>
      </c>
      <c r="I22" s="21" t="b">
        <v>1</v>
      </c>
      <c r="J22" s="15"/>
      <c r="K22" s="15"/>
      <c r="L22" s="15"/>
      <c r="M22" s="15"/>
      <c r="N22" s="15"/>
      <c r="O22" s="15"/>
      <c r="P22" s="15"/>
      <c r="Q22" s="15"/>
      <c r="R22" s="15"/>
    </row>
    <row r="23">
      <c r="A23" s="13"/>
      <c r="B23" s="13"/>
      <c r="C23" s="13"/>
      <c r="D23" s="13"/>
      <c r="E23" s="13"/>
      <c r="F23" s="13"/>
      <c r="G23" s="20" t="s">
        <v>495</v>
      </c>
      <c r="I23" s="21" t="b">
        <v>1</v>
      </c>
      <c r="J23" s="15"/>
      <c r="K23" s="15"/>
      <c r="L23" s="15"/>
      <c r="M23" s="15"/>
      <c r="N23" s="15"/>
      <c r="O23" s="15"/>
      <c r="P23" s="15"/>
      <c r="Q23" s="15"/>
      <c r="R23" s="15"/>
    </row>
    <row r="24">
      <c r="A24" s="13"/>
      <c r="B24" s="13"/>
      <c r="C24" s="13"/>
      <c r="D24" s="13"/>
      <c r="E24" s="13"/>
      <c r="F24" s="13"/>
      <c r="G24" s="20" t="s">
        <v>237</v>
      </c>
      <c r="I24" s="21" t="b">
        <v>0</v>
      </c>
      <c r="J24" s="15"/>
      <c r="K24" s="15"/>
      <c r="L24" s="15"/>
      <c r="M24" s="15"/>
      <c r="N24" s="15"/>
      <c r="O24" s="15"/>
      <c r="P24" s="15"/>
      <c r="Q24" s="15"/>
      <c r="R24" s="15"/>
    </row>
    <row r="25">
      <c r="A25" s="13"/>
      <c r="B25" s="13"/>
      <c r="C25" s="13"/>
      <c r="D25" s="13"/>
      <c r="E25" s="13"/>
      <c r="F25" s="13"/>
      <c r="G25" s="20" t="s">
        <v>373</v>
      </c>
      <c r="I25" s="21" t="b">
        <v>0</v>
      </c>
      <c r="J25" s="15"/>
      <c r="K25" s="15"/>
      <c r="L25" s="15"/>
      <c r="M25" s="15"/>
      <c r="N25" s="15"/>
      <c r="O25" s="15"/>
      <c r="P25" s="15"/>
      <c r="Q25" s="15"/>
      <c r="R25" s="15"/>
    </row>
    <row r="26">
      <c r="A26" s="13"/>
      <c r="B26" s="13"/>
      <c r="C26" s="13"/>
      <c r="D26" s="13"/>
      <c r="E26" s="13"/>
      <c r="F26" s="13"/>
      <c r="G26" s="20" t="s">
        <v>87</v>
      </c>
      <c r="I26" s="21" t="b">
        <v>0</v>
      </c>
      <c r="J26" s="15"/>
      <c r="K26" s="15"/>
      <c r="L26" s="15"/>
      <c r="M26" s="15"/>
      <c r="N26" s="15"/>
      <c r="O26" s="15"/>
      <c r="P26" s="15"/>
      <c r="Q26" s="15"/>
      <c r="R26" s="15"/>
    </row>
    <row r="27">
      <c r="A27" s="13"/>
      <c r="B27" s="13"/>
      <c r="C27" s="13"/>
      <c r="D27" s="13"/>
      <c r="E27" s="13"/>
      <c r="F27" s="13"/>
      <c r="G27" s="20" t="s">
        <v>295</v>
      </c>
      <c r="I27" s="21" t="b">
        <v>1</v>
      </c>
      <c r="J27" s="15"/>
      <c r="K27" s="15"/>
      <c r="L27" s="15"/>
      <c r="M27" s="15"/>
      <c r="N27" s="15"/>
      <c r="O27" s="15"/>
      <c r="P27" s="15"/>
      <c r="Q27" s="15"/>
      <c r="R27" s="15"/>
    </row>
    <row r="28">
      <c r="A28" s="13"/>
      <c r="B28" s="13"/>
      <c r="C28" s="13"/>
      <c r="D28" s="13"/>
      <c r="E28" s="13"/>
      <c r="F28" s="13"/>
      <c r="G28" s="20" t="s">
        <v>235</v>
      </c>
      <c r="I28" s="21" t="b">
        <v>0</v>
      </c>
      <c r="J28" s="15"/>
      <c r="K28" s="15"/>
      <c r="L28" s="15"/>
      <c r="M28" s="15"/>
      <c r="N28" s="15"/>
      <c r="O28" s="15"/>
      <c r="P28" s="15"/>
      <c r="Q28" s="15"/>
      <c r="R28" s="15"/>
    </row>
    <row r="29">
      <c r="A29" s="13"/>
      <c r="B29" s="13"/>
      <c r="C29" s="13"/>
      <c r="D29" s="13"/>
      <c r="E29" s="13"/>
      <c r="F29" s="13"/>
      <c r="G29" s="20" t="s">
        <v>49</v>
      </c>
      <c r="I29" s="21" t="b">
        <v>0</v>
      </c>
      <c r="J29" s="15"/>
      <c r="K29" s="15"/>
      <c r="L29" s="15"/>
      <c r="M29" s="15"/>
      <c r="N29" s="15"/>
      <c r="O29" s="15"/>
      <c r="P29" s="15"/>
      <c r="Q29" s="15"/>
      <c r="R29" s="15"/>
    </row>
    <row r="30">
      <c r="A30" s="13"/>
      <c r="B30" s="13"/>
      <c r="C30" s="13"/>
      <c r="D30" s="13"/>
      <c r="E30" s="13"/>
      <c r="F30" s="13"/>
      <c r="G30" s="20" t="s">
        <v>161</v>
      </c>
      <c r="I30" s="21" t="b">
        <v>0</v>
      </c>
      <c r="J30" s="15"/>
      <c r="K30" s="15"/>
      <c r="L30" s="15"/>
      <c r="M30" s="15"/>
      <c r="N30" s="15"/>
      <c r="O30" s="15"/>
      <c r="P30" s="15"/>
      <c r="Q30" s="15"/>
      <c r="R30" s="15"/>
    </row>
    <row r="31">
      <c r="A31" s="13"/>
      <c r="B31" s="13"/>
      <c r="C31" s="13"/>
      <c r="D31" s="13"/>
      <c r="E31" s="13"/>
      <c r="F31" s="13"/>
      <c r="G31" s="20" t="s">
        <v>57</v>
      </c>
      <c r="I31" s="21" t="b">
        <v>1</v>
      </c>
      <c r="J31" s="15"/>
      <c r="K31" s="15"/>
      <c r="L31" s="15"/>
      <c r="M31" s="15"/>
      <c r="N31" s="15"/>
      <c r="O31" s="15"/>
      <c r="P31" s="15"/>
      <c r="Q31" s="15"/>
      <c r="R31" s="15"/>
    </row>
    <row r="32">
      <c r="A32" s="13"/>
      <c r="B32" s="13"/>
      <c r="C32" s="13"/>
      <c r="D32" s="13"/>
      <c r="E32" s="13"/>
      <c r="F32" s="13"/>
      <c r="G32" s="20" t="s">
        <v>185</v>
      </c>
      <c r="I32" s="21" t="b">
        <v>1</v>
      </c>
      <c r="J32" s="15"/>
      <c r="K32" s="15"/>
      <c r="L32" s="15"/>
      <c r="M32" s="15"/>
      <c r="N32" s="15"/>
      <c r="O32" s="15"/>
      <c r="P32" s="15"/>
      <c r="Q32" s="15"/>
      <c r="R32" s="15"/>
    </row>
    <row r="33">
      <c r="A33" s="13"/>
      <c r="B33" s="13"/>
      <c r="C33" s="13"/>
      <c r="D33" s="13"/>
      <c r="E33" s="13"/>
      <c r="F33" s="13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</row>
    <row r="34">
      <c r="A34" s="13"/>
      <c r="B34" s="13"/>
      <c r="C34" s="13"/>
      <c r="D34" s="13"/>
      <c r="E34" s="13"/>
      <c r="F34" s="13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</row>
    <row r="35">
      <c r="A35" s="13"/>
      <c r="B35" s="13"/>
      <c r="C35" s="13"/>
      <c r="D35" s="13"/>
      <c r="E35" s="13"/>
      <c r="F35" s="13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</row>
  </sheetData>
  <mergeCells count="24">
    <mergeCell ref="F2:N7"/>
    <mergeCell ref="A9:C9"/>
    <mergeCell ref="G9:J9"/>
    <mergeCell ref="G10:I11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30:H30"/>
    <mergeCell ref="G31:H31"/>
    <mergeCell ref="G32:H32"/>
    <mergeCell ref="G23:H23"/>
    <mergeCell ref="G24:H24"/>
    <mergeCell ref="G25:H25"/>
    <mergeCell ref="G26:H26"/>
    <mergeCell ref="G27:H27"/>
    <mergeCell ref="G28:H28"/>
    <mergeCell ref="G29:H29"/>
  </mergeCells>
  <dataValidations>
    <dataValidation type="list" allowBlank="1" sqref="C11">
      <formula1>Services!$A$2:$A$21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532</v>
      </c>
      <c r="D1" s="2" t="s">
        <v>527</v>
      </c>
    </row>
    <row r="2">
      <c r="A2" s="4" t="str">
        <f>IFERROR(__xludf.DUMMYFUNCTION("unique('Data to work with'!A2:A1000)"),"Puerto Rico")</f>
        <v>Puerto Rico</v>
      </c>
      <c r="E2" s="6">
        <v>1990.0</v>
      </c>
      <c r="F2" s="6">
        <v>1991.0</v>
      </c>
      <c r="G2" s="6">
        <v>1992.0</v>
      </c>
      <c r="H2" s="6">
        <v>1993.0</v>
      </c>
      <c r="I2" s="6">
        <v>1994.0</v>
      </c>
      <c r="J2" s="6">
        <v>1995.0</v>
      </c>
      <c r="K2" s="6">
        <v>1996.0</v>
      </c>
      <c r="L2" s="6">
        <v>1997.0</v>
      </c>
      <c r="M2" s="6">
        <v>1998.0</v>
      </c>
      <c r="N2" s="6">
        <v>1999.0</v>
      </c>
      <c r="O2" s="6">
        <v>2000.0</v>
      </c>
      <c r="P2" s="6">
        <v>2001.0</v>
      </c>
      <c r="Q2" s="6">
        <v>2002.0</v>
      </c>
      <c r="R2" s="6">
        <v>2003.0</v>
      </c>
      <c r="S2" s="6">
        <v>2004.0</v>
      </c>
      <c r="T2" s="6">
        <v>2005.0</v>
      </c>
      <c r="U2" s="6">
        <v>2006.0</v>
      </c>
      <c r="V2" s="6">
        <v>2007.0</v>
      </c>
      <c r="W2" s="6">
        <v>2008.0</v>
      </c>
      <c r="X2" s="6">
        <v>2009.0</v>
      </c>
      <c r="Y2" s="6">
        <v>2010.0</v>
      </c>
      <c r="Z2" s="6">
        <v>2011.0</v>
      </c>
      <c r="AA2" s="6">
        <v>2012.0</v>
      </c>
      <c r="AB2" s="6">
        <v>2013.0</v>
      </c>
      <c r="AC2" s="6">
        <v>2014.0</v>
      </c>
      <c r="AD2" s="6">
        <v>2015.0</v>
      </c>
      <c r="AE2" s="6">
        <v>2016.0</v>
      </c>
      <c r="AF2" s="6">
        <v>2017.0</v>
      </c>
      <c r="AG2" s="6">
        <v>2018.0</v>
      </c>
      <c r="AH2" s="6">
        <v>2019.0</v>
      </c>
      <c r="AI2" s="6">
        <v>2020.0</v>
      </c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</row>
    <row r="3">
      <c r="A3" s="4" t="str">
        <f>IFERROR(__xludf.DUMMYFUNCTION("""COMPUTED_VALUE"""),"Vietnam")</f>
        <v>Vietnam</v>
      </c>
      <c r="D3" s="4" t="str">
        <f>DASHBOARD!C11</f>
        <v>Vietnam</v>
      </c>
      <c r="E3" s="4">
        <f>VLOOKUP($D$3,'Data to work with'!$A$1:$AF$21,2,FALSE)</f>
        <v>28.8056776</v>
      </c>
      <c r="F3" s="4">
        <f>VLOOKUP($D$3,'Data to work with'!$A$1:$AF$21,3,FALSE)</f>
        <v>29.5455283</v>
      </c>
      <c r="G3" s="4">
        <f>VLOOKUP($D$3,'Data to work with'!$A$1:$AF$21,4,FALSE)</f>
        <v>30.285379</v>
      </c>
      <c r="H3" s="4">
        <f>VLOOKUP($D$3,'Data to work with'!$A$1:$AF$21,5,FALSE)</f>
        <v>31.0252297</v>
      </c>
      <c r="I3" s="4">
        <f>VLOOKUP($D$3,'Data to work with'!$A$1:$AF$21,6,FALSE)</f>
        <v>31.7650803</v>
      </c>
      <c r="J3" s="4">
        <f>VLOOKUP($D$3,'Data to work with'!$A$1:$AF$21,7,FALSE)</f>
        <v>32.504931</v>
      </c>
      <c r="K3" s="4">
        <f>VLOOKUP($D$3,'Data to work with'!$A$1:$AF$21,8,FALSE)</f>
        <v>33.2447817</v>
      </c>
      <c r="L3" s="4">
        <f>VLOOKUP($D$3,'Data to work with'!$A$1:$AF$21,9,FALSE)</f>
        <v>33.9846324</v>
      </c>
      <c r="M3" s="4">
        <f>VLOOKUP($D$3,'Data to work with'!$A$1:$AF$21,10,FALSE)</f>
        <v>34.7244831</v>
      </c>
      <c r="N3" s="4">
        <f>VLOOKUP($D$3,'Data to work with'!$A$1:$AF$21,11,FALSE)</f>
        <v>35.4643338</v>
      </c>
      <c r="O3" s="4">
        <f>VLOOKUP($D$3,'Data to work with'!$A$1:$AF$21,12,FALSE)</f>
        <v>37.883688</v>
      </c>
      <c r="P3" s="4">
        <f>VLOOKUP($D$3,'Data to work with'!$A$1:$AF$21,13,FALSE)</f>
        <v>38.3956283</v>
      </c>
      <c r="Q3" s="4">
        <f>VLOOKUP($D$3,'Data to work with'!$A$1:$AF$21,14,FALSE)</f>
        <v>38.9788826</v>
      </c>
      <c r="R3" s="4">
        <f>VLOOKUP($D$3,'Data to work with'!$A$1:$AF$21,15,FALSE)</f>
        <v>39.556513</v>
      </c>
      <c r="S3" s="4">
        <f>VLOOKUP($D$3,'Data to work with'!$A$1:$AF$21,16,FALSE)</f>
        <v>40.0738027</v>
      </c>
      <c r="T3" s="4">
        <f>VLOOKUP($D$3,'Data to work with'!$A$1:$AF$21,17,FALSE)</f>
        <v>40.5910923</v>
      </c>
      <c r="U3" s="4">
        <f>VLOOKUP($D$3,'Data to work with'!$A$1:$AF$21,18,FALSE)</f>
        <v>41.108382</v>
      </c>
      <c r="V3" s="4">
        <f>VLOOKUP($D$3,'Data to work with'!$A$1:$AF$21,19,FALSE)</f>
        <v>41.6256716</v>
      </c>
      <c r="W3" s="4">
        <f>VLOOKUP($D$3,'Data to work with'!$A$1:$AF$21,20,FALSE)</f>
        <v>42.1429613</v>
      </c>
      <c r="X3" s="4">
        <f>VLOOKUP($D$3,'Data to work with'!$A$1:$AF$21,21,FALSE)</f>
        <v>42.6602509</v>
      </c>
      <c r="Y3" s="4">
        <f>VLOOKUP($D$3,'Data to work with'!$A$1:$AF$21,22,FALSE)</f>
        <v>43.1775406</v>
      </c>
      <c r="Z3" s="4">
        <f>VLOOKUP($D$3,'Data to work with'!$A$1:$AF$21,23,FALSE)</f>
        <v>43.6121521</v>
      </c>
      <c r="AA3" s="4">
        <f>VLOOKUP($D$3,'Data to work with'!$A$1:$AF$21,24,FALSE)</f>
        <v>44.0467636</v>
      </c>
      <c r="AB3" s="4">
        <f>VLOOKUP($D$3,'Data to work with'!$A$1:$AF$21,25,FALSE)</f>
        <v>44.4813752</v>
      </c>
      <c r="AC3" s="4">
        <f>VLOOKUP($D$3,'Data to work with'!$A$1:$AF$21,26,FALSE)</f>
        <v>44.9159867</v>
      </c>
      <c r="AD3" s="4">
        <f>VLOOKUP($D$3,'Data to work with'!$A$1:$AF$21,27,FALSE)</f>
        <v>45.3505983</v>
      </c>
      <c r="AE3" s="4">
        <f>VLOOKUP($D$3,'Data to work with'!$A$1:$AF$21,28,FALSE)</f>
        <v>46.3691425</v>
      </c>
      <c r="AF3" s="4">
        <f>VLOOKUP($D$3,'Data to work with'!$A$1:$AF$21,29,FALSE)</f>
        <v>46.4907602</v>
      </c>
      <c r="AG3" s="4">
        <f>VLOOKUP($D$3,'Data to work with'!$A$1:$AF$21,30,FALSE)</f>
        <v>46.7355436</v>
      </c>
      <c r="AH3" s="4">
        <f>VLOOKUP($D$3,'Data to work with'!$A$1:$AF$21,31,FALSE)</f>
        <v>46.980327</v>
      </c>
      <c r="AI3" s="4">
        <f>VLOOKUP($D$3,'Data to work with'!$A$1:$AF$21,32,FALSE)</f>
        <v>47.2251105</v>
      </c>
    </row>
    <row r="4">
      <c r="A4" s="4" t="str">
        <f>IFERROR(__xludf.DUMMYFUNCTION("""COMPUTED_VALUE"""),"Bhutan")</f>
        <v>Bhutan</v>
      </c>
    </row>
    <row r="5">
      <c r="A5" s="4" t="str">
        <f>IFERROR(__xludf.DUMMYFUNCTION("""COMPUTED_VALUE"""),"Montenegro")</f>
        <v>Montenegro</v>
      </c>
    </row>
    <row r="6">
      <c r="A6" s="4" t="str">
        <f>IFERROR(__xludf.DUMMYFUNCTION("""COMPUTED_VALUE"""),"Cuba")</f>
        <v>Cuba</v>
      </c>
    </row>
    <row r="7">
      <c r="A7" s="4" t="str">
        <f>IFERROR(__xludf.DUMMYFUNCTION("""COMPUTED_VALUE"""),"Dominican Republic")</f>
        <v>Dominican Republic</v>
      </c>
    </row>
    <row r="8">
      <c r="A8" s="4" t="str">
        <f>IFERROR(__xludf.DUMMYFUNCTION("""COMPUTED_VALUE"""),"Fiji")</f>
        <v>Fiji</v>
      </c>
    </row>
    <row r="9">
      <c r="A9" s="4" t="str">
        <f>IFERROR(__xludf.DUMMYFUNCTION("""COMPUTED_VALUE"""),"Spain")</f>
        <v>Spain</v>
      </c>
    </row>
    <row r="10">
      <c r="A10" s="4" t="str">
        <f>IFERROR(__xludf.DUMMYFUNCTION("""COMPUTED_VALUE"""),"Cabo Verde")</f>
        <v>Cabo Verde</v>
      </c>
    </row>
    <row r="11">
      <c r="A11" s="4" t="str">
        <f>IFERROR(__xludf.DUMMYFUNCTION("""COMPUTED_VALUE"""),"Guam")</f>
        <v>Guam</v>
      </c>
    </row>
    <row r="12">
      <c r="A12" s="4" t="str">
        <f>IFERROR(__xludf.DUMMYFUNCTION("""COMPUTED_VALUE"""),"Uruguay")</f>
        <v>Uruguay</v>
      </c>
    </row>
    <row r="13">
      <c r="A13" s="4" t="str">
        <f>IFERROR(__xludf.DUMMYFUNCTION("""COMPUTED_VALUE"""),"Jamaica")</f>
        <v>Jamaica</v>
      </c>
    </row>
    <row r="14">
      <c r="A14" s="4" t="str">
        <f>IFERROR(__xludf.DUMMYFUNCTION("""COMPUTED_VALUE"""),"Palau")</f>
        <v>Palau</v>
      </c>
    </row>
    <row r="15">
      <c r="A15" s="4" t="str">
        <f>IFERROR(__xludf.DUMMYFUNCTION("""COMPUTED_VALUE"""),"China")</f>
        <v>China</v>
      </c>
    </row>
    <row r="16">
      <c r="A16" s="4" t="str">
        <f>IFERROR(__xludf.DUMMYFUNCTION("""COMPUTED_VALUE"""),"St. Martin (French part)")</f>
        <v>St. Martin (French part)</v>
      </c>
    </row>
    <row r="17">
      <c r="A17" s="4" t="str">
        <f>IFERROR(__xludf.DUMMYFUNCTION("""COMPUTED_VALUE"""),"Italy")</f>
        <v>Italy</v>
      </c>
    </row>
    <row r="18">
      <c r="A18" s="4" t="str">
        <f>IFERROR(__xludf.DUMMYFUNCTION("""COMPUTED_VALUE"""),"Bulgaria")</f>
        <v>Bulgaria</v>
      </c>
    </row>
    <row r="19">
      <c r="A19" s="4" t="str">
        <f>IFERROR(__xludf.DUMMYFUNCTION("""COMPUTED_VALUE"""),"France")</f>
        <v>France</v>
      </c>
    </row>
    <row r="20">
      <c r="A20" s="4" t="str">
        <f>IFERROR(__xludf.DUMMYFUNCTION("""COMPUTED_VALUE"""),"Belarus")</f>
        <v>Belarus</v>
      </c>
    </row>
    <row r="21">
      <c r="A21" s="4" t="str">
        <f>IFERROR(__xludf.DUMMYFUNCTION("""COMPUTED_VALUE"""),"Greece")</f>
        <v>Greece</v>
      </c>
    </row>
    <row r="22">
      <c r="A22" s="4"/>
    </row>
  </sheetData>
  <drawing r:id="rId1"/>
</worksheet>
</file>