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Key Assumptions" sheetId="1" r:id="rId4"/>
    <sheet state="visible" name="Annual Key Assumptions" sheetId="2" r:id="rId5"/>
    <sheet state="visible" name="Income Statement" sheetId="3" r:id="rId6"/>
    <sheet state="visible" name="Balance Sheet" sheetId="4" r:id="rId7"/>
    <sheet state="visible" name="Cash Flow Statement" sheetId="5" r:id="rId8"/>
    <sheet state="visible" name="Break Even Point" sheetId="6" r:id="rId9"/>
    <sheet state="visible" name="Sources" sheetId="7" r:id="rId10"/>
  </sheets>
  <definedNames/>
  <calcPr/>
  <extLst>
    <ext uri="GoogleSheetsCustomDataVersion1">
      <go:sheetsCustomData xmlns:go="http://customooxmlschemas.google.com/" r:id="rId11" roundtripDataSignature="AMtx7mgHTVtaFKYWbZPWN5DMvK1VJtF/Gw=="/>
    </ext>
  </extLst>
</workbook>
</file>

<file path=xl/sharedStrings.xml><?xml version="1.0" encoding="utf-8"?>
<sst xmlns="http://schemas.openxmlformats.org/spreadsheetml/2006/main" count="581" uniqueCount="183">
  <si>
    <t>Year 1</t>
  </si>
  <si>
    <t>Key Assumptions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</si>
  <si>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</si>
  <si>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</si>
  <si>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</si>
  <si>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</si>
  <si>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</si>
  <si>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</si>
  <si>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</si>
  <si>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</si>
  <si>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</si>
  <si>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</si>
  <si>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</si>
  <si>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</si>
  <si>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Year</t>
  </si>
  <si>
    <t>REVENUE</t>
  </si>
  <si>
    <t>Total Cumulative Number of Units Sold</t>
  </si>
  <si>
    <t>Number of Units Sold</t>
  </si>
  <si>
    <t>Filament Subscription Users</t>
  </si>
  <si>
    <t>Average Selling Price per Unit</t>
  </si>
  <si>
    <t>Total Revenue</t>
  </si>
  <si>
    <t>COSTS</t>
  </si>
  <si>
    <t>Maintenance</t>
  </si>
  <si>
    <t>Partnership Costs</t>
  </si>
  <si>
    <t>Marketing</t>
  </si>
  <si>
    <t>G/A</t>
  </si>
  <si>
    <t>Management</t>
  </si>
  <si>
    <t>R&amp;D/Engineering</t>
  </si>
  <si>
    <t>Other FC (Rent, Utilities)</t>
  </si>
  <si>
    <t>Total Costs</t>
  </si>
  <si>
    <t>Tax</t>
  </si>
  <si>
    <t>Interest Rate</t>
  </si>
  <si>
    <t>Notes:</t>
  </si>
  <si>
    <t>-Assume no units sold Jan-June, limited quantity launch date in July</t>
  </si>
  <si>
    <t>-Free units distributed to tech promoters, reviewers in March and April</t>
  </si>
  <si>
    <t>-Formlabs Kickstarter: Broke $100,000 target in 2.5 hours, hit $1,000,000 in 2.5 days</t>
  </si>
  <si>
    <t>-Maintenance includes: updating app, server and website maintenance</t>
  </si>
  <si>
    <t>-Marketing: Youtube = $10/day + other social media</t>
  </si>
  <si>
    <t>-Aggressive marketing before launch, and during holiday season</t>
  </si>
  <si>
    <t>-Kansas based company, management team starts off making state minimum wage ($7.25/hr)</t>
  </si>
  <si>
    <t>-Assume 25,000 warehouse acquired at $0.35/day for rent and utilities</t>
  </si>
  <si>
    <t>-Kansas 4% flat tax rate plus 3% surtax on income over $50,000</t>
  </si>
  <si>
    <t>-Each printer comes with 1kg of ABS Filament which usually costs $17/kg since we are selling a limited quantity we can buy exact number of filament for the first year</t>
  </si>
  <si>
    <t>-Filament refill subscription service not in effect first year</t>
  </si>
  <si>
    <t>-team of 3 R&amp;D/Engineering paid at $3000 per month</t>
  </si>
  <si>
    <t>- each printer costs $400 to manufacture</t>
  </si>
  <si>
    <t>-assume app takes 60k to develop (goes into R&amp;D), rule of thumb: about 20% of developing cost is spent on maintenance per year</t>
  </si>
  <si>
    <t>Assume it costs $30,000 to obtain everything necessary to manufacture our product, goes into R&amp;D</t>
  </si>
  <si>
    <t>Year 2</t>
  </si>
  <si>
    <t>Cummulative Filament Subscription Users</t>
  </si>
  <si>
    <t>New Filament Subscription Users</t>
  </si>
  <si>
    <t>Filament Subscription Price per Users</t>
  </si>
  <si>
    <t>Notes</t>
  </si>
  <si>
    <r>
      <rPr>
        <color rgb="FF000000"/>
      </rPr>
      <t>-</t>
    </r>
    <r>
      <rPr>
        <color rgb="FF000000"/>
      </rPr>
      <t>raised hourly rate of management to $10.40/hour</t>
    </r>
  </si>
  <si>
    <t>-added another 2 people to R&amp;D/Engineering for consulting purposes $3000 per person per month</t>
  </si>
  <si>
    <t>-partnership cost (number of units sold+total subscription users)*$15/kg b/c buy in bulk now</t>
  </si>
  <si>
    <t>Year 3</t>
  </si>
  <si>
    <r>
      <rPr>
        <color rgb="FF000000"/>
      </rPr>
      <t>-</t>
    </r>
    <r>
      <rPr>
        <color rgb="FF000000"/>
      </rPr>
      <t>raised hourly rate of management to $13/hour</t>
    </r>
  </si>
  <si>
    <t>-added another 4 people to R&amp;D/Engineering team $3500 per person per month</t>
  </si>
  <si>
    <t>KeyAssumptions</t>
  </si>
  <si>
    <t>Total Number of Units Sold</t>
  </si>
  <si>
    <t>Avg Selling Price per Unit</t>
  </si>
  <si>
    <t>Total Number of Subscriptions</t>
  </si>
  <si>
    <t>Avg Subscription Fee</t>
  </si>
  <si>
    <t>Partnership Cost per User</t>
  </si>
  <si>
    <t>EmployeeHeadcount</t>
  </si>
  <si>
    <t>INCOME STATEMENT</t>
  </si>
  <si>
    <t>Printer Revenue</t>
  </si>
  <si>
    <t>Subscription Revenue</t>
  </si>
  <si>
    <t>COGS</t>
  </si>
  <si>
    <t>Material</t>
  </si>
  <si>
    <t>Partnership Cost</t>
  </si>
  <si>
    <t>Total COGS</t>
  </si>
  <si>
    <t>Gross Profit</t>
  </si>
  <si>
    <t>Gross Profit Margin</t>
  </si>
  <si>
    <t>N/A</t>
  </si>
  <si>
    <t>OTHER EXPENSES</t>
  </si>
  <si>
    <t>Fixed Overhead (Rent, Utilities)</t>
  </si>
  <si>
    <t>(EBIT) Operating Profit</t>
  </si>
  <si>
    <t>Income Tax Expense</t>
  </si>
  <si>
    <t>After Tax Income</t>
  </si>
  <si>
    <t>Cumulative Earnings</t>
  </si>
  <si>
    <t>NET INCOME</t>
  </si>
  <si>
    <t>Net Income</t>
  </si>
  <si>
    <t>Printer Sales Revenue</t>
  </si>
  <si>
    <t>BALANCE SHEETS</t>
  </si>
  <si>
    <t>500k</t>
  </si>
  <si>
    <t>YEAR 1</t>
  </si>
  <si>
    <t>ASSETS</t>
  </si>
  <si>
    <t>Current Assets</t>
  </si>
  <si>
    <t>Cash</t>
  </si>
  <si>
    <t>Inventory</t>
  </si>
  <si>
    <t>Long Term (Fixed) Assets</t>
  </si>
  <si>
    <t>Property, Equipment</t>
  </si>
  <si>
    <t>Total Assets</t>
  </si>
  <si>
    <t>LIABILITIES &amp; EQUITY</t>
  </si>
  <si>
    <t>Current Liabilities</t>
  </si>
  <si>
    <t>Other FC (rent and utilities)</t>
  </si>
  <si>
    <t>Salaries &amp; Wages</t>
  </si>
  <si>
    <t>Long Term Liabilities</t>
  </si>
  <si>
    <t>Long Term Debt</t>
  </si>
  <si>
    <t>Equity</t>
  </si>
  <si>
    <t>Retained Earnings</t>
  </si>
  <si>
    <t>Dividends</t>
  </si>
  <si>
    <t>Total Liabilities and Equity</t>
  </si>
  <si>
    <t>YEAR 2</t>
  </si>
  <si>
    <t>YEAR 3</t>
  </si>
  <si>
    <t>Income Tax Payable</t>
  </si>
  <si>
    <t>CASH FLOW STATEMENT</t>
  </si>
  <si>
    <t>Cash at begining of year = $1,000,000</t>
  </si>
  <si>
    <t>OPERATIONS</t>
  </si>
  <si>
    <t>Cash Receipts form Customers</t>
  </si>
  <si>
    <t>Wage/Salaries</t>
  </si>
  <si>
    <t>Income Tax</t>
  </si>
  <si>
    <t>Net Cash Flow from Operations</t>
  </si>
  <si>
    <t>Net Increase in Cash Flow</t>
  </si>
  <si>
    <t>Cash at begining of year = -$1,245,995.40</t>
  </si>
  <si>
    <t>Cash at begining of year = -$254,178.89</t>
  </si>
  <si>
    <t>Years</t>
  </si>
  <si>
    <t>Cash Flow($)</t>
  </si>
  <si>
    <t>Cost</t>
  </si>
  <si>
    <t>Revenue</t>
  </si>
  <si>
    <t>Cumulative Printer Sold</t>
  </si>
  <si>
    <t>Printers sold</t>
  </si>
  <si>
    <t>Cumulative Subscriptions</t>
  </si>
  <si>
    <t xml:space="preserve">Subscriptions added </t>
  </si>
  <si>
    <t>year 1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</si>
  <si>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</si>
  <si>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</si>
  <si>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</si>
  <si>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</si>
  <si>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</si>
  <si>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</si>
  <si>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</si>
  <si>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</si>
  <si>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</si>
  <si>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</si>
  <si>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</si>
  <si>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</si>
  <si>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year 2</t>
  </si>
  <si>
    <t>year 3</t>
  </si>
  <si>
    <t>Month</t>
  </si>
  <si>
    <t>March</t>
  </si>
  <si>
    <t>April</t>
  </si>
  <si>
    <t>June</t>
  </si>
  <si>
    <t>July</t>
  </si>
  <si>
    <t>August</t>
  </si>
  <si>
    <t>Sept</t>
  </si>
  <si>
    <t>Maintanence</t>
  </si>
  <si>
    <t>Partnership</t>
  </si>
  <si>
    <t>Promotion</t>
  </si>
  <si>
    <t>Other FC</t>
  </si>
  <si>
    <t>R&amp;D</t>
  </si>
  <si>
    <t>Sources</t>
  </si>
  <si>
    <t>Market</t>
  </si>
  <si>
    <t>https://www.alliedmarketresearch.com/personal-3d-printers-market</t>
  </si>
  <si>
    <t>https://www.marketsandmarkets.com/Market-Reports/3d-printing-market-1276.html</t>
  </si>
  <si>
    <t>https://3dprintingindustry.com/news/half-million-3d-printers-sold-2017-track-100m-sold-2030-131642/</t>
  </si>
  <si>
    <t>https://fas.org/sgp/crs/misc/R45852.pdf</t>
  </si>
  <si>
    <t>Advertising</t>
  </si>
  <si>
    <t>Youtube Ads</t>
  </si>
  <si>
    <t>https://www.webfx.com/internet-marketing/how-much-does-youtube-advertising-cost.html</t>
  </si>
  <si>
    <t>General</t>
  </si>
  <si>
    <t>Formlabs kickstarter page for reference</t>
  </si>
  <si>
    <t>https://www.kickstarter.com/projects/formlabs/form-1-an-affordable-professional-3d-printer/faqs</t>
  </si>
  <si>
    <t>Figure Estimation</t>
  </si>
  <si>
    <t>Kansas min. wage for starting salary</t>
  </si>
  <si>
    <t>https://www.ncsl.org/research/labor-and-employment/state-minimum-wage-chart.aspx</t>
  </si>
  <si>
    <t>Average CAD design salaray</t>
  </si>
  <si>
    <t>https://www.glassdoor.com/Salaries/portland-cad-designer-salary-SRCH_IL.0,8_IM700_KO9,21.htm</t>
  </si>
  <si>
    <t>Average Warehouse size in US</t>
  </si>
  <si>
    <t>https://www.cisco-eagle.com/industries-served/order-fulfillment/the-typical-warehouse</t>
  </si>
  <si>
    <t>filament costs</t>
  </si>
  <si>
    <t>https://all3dp.com/2/3d-printer-material-cost-the-real-cost-of-3d-printing-materials/</t>
  </si>
  <si>
    <t>Cost to make a 3D printer</t>
  </si>
  <si>
    <t>https://toms3d.org/2017/02/23/building-cheapest-possible-prusa-i3-mk2/</t>
  </si>
  <si>
    <t>app development and maintence costs</t>
  </si>
  <si>
    <t>https://www.mobileappdaily.com/cost-to-maintain-an-app</t>
  </si>
  <si>
    <t xml:space="preserve">Cost to set up manufacturing </t>
  </si>
  <si>
    <t>https://www.design1st.com/how-much-do-hw-prototypes-cost/</t>
  </si>
  <si>
    <t xml:space="preserve">Tax Calculation </t>
  </si>
  <si>
    <t>Kansas corporation income tax</t>
  </si>
  <si>
    <t>https://www.nolo.com/legal-encyclopedia/kansas-state-business-income-tax.html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</si>
</sst>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&quot;$&quot;#,##0.00"/>
    <numFmt numFmtId="166" formatCode="#,##0.00;\(#,##0.00\)"/>
    <numFmt numFmtId="167" formatCode="#,##0;\(#,##0\)"/>
    <numFmt numFmtId="168" formatCode="0.0"/>
    <numFmt numFmtId="169" formatCode="&quot;$&quot;#,##0"/>
  </numFmts>
  <fonts count="1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b/>
      <sz val="10.0"/>
      <color rgb="FF000000"/>
      <name val="Arial"/>
    </font>
    <font>
      <color theme="1"/>
      <name val="Arial"/>
    </font>
    <font/>
    <font>
      <sz val="10.0"/>
      <color rgb="FF339966"/>
      <name val="Arial"/>
    </font>
    <font>
      <sz val="10.0"/>
      <color rgb="FF0000FF"/>
      <name val="Arial"/>
    </font>
    <font>
      <u/>
      <sz val="10.0"/>
      <color rgb="FF000000"/>
      <name val="Arial"/>
    </font>
    <font>
      <b/>
      <sz val="10.0"/>
      <color rgb="FF0000FF"/>
      <name val="Arial"/>
    </font>
    <font>
      <color rgb="FF000000"/>
      <name val="Roboto"/>
    </font>
    <font>
      <sz val="10.0"/>
      <color rgb="FF000000"/>
      <name val="Calibri"/>
    </font>
    <font>
      <b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0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1" numFmtId="0" xfId="0" applyBorder="1" applyFill="1" applyFont="1"/>
    <xf borderId="2" fillId="3" fontId="1" numFmtId="37" xfId="0" applyAlignment="1" applyBorder="1" applyFont="1" applyNumberFormat="1">
      <alignment horizontal="center"/>
    </xf>
    <xf borderId="2" fillId="3" fontId="1" numFmtId="37" xfId="0" applyBorder="1" applyFont="1" applyNumberFormat="1"/>
    <xf borderId="0" fillId="0" fontId="1" numFmtId="0" xfId="0" applyFont="1"/>
    <xf borderId="3" fillId="4" fontId="1" numFmtId="0" xfId="0" applyBorder="1" applyFill="1" applyFont="1"/>
    <xf borderId="0" fillId="0" fontId="0" numFmtId="0" xfId="0" applyFont="1"/>
    <xf borderId="0" fillId="5" fontId="0" numFmtId="0" xfId="0" applyFill="1" applyFont="1"/>
    <xf borderId="0" fillId="5" fontId="2" numFmtId="0" xfId="0" applyFont="1"/>
    <xf borderId="0" fillId="0" fontId="0" numFmtId="164" xfId="0" applyFont="1" applyNumberFormat="1"/>
    <xf borderId="0" fillId="0" fontId="2" numFmtId="164" xfId="0" applyFont="1" applyNumberFormat="1"/>
    <xf borderId="0" fillId="0" fontId="1" numFmtId="164" xfId="0" applyFont="1" applyNumberFormat="1"/>
    <xf borderId="1" fillId="4" fontId="1" numFmtId="0" xfId="0" applyBorder="1" applyFont="1"/>
    <xf borderId="0" fillId="0" fontId="2" numFmtId="0" xfId="0" applyFont="1"/>
    <xf borderId="0" fillId="0" fontId="0" numFmtId="9" xfId="0" applyFont="1" applyNumberFormat="1"/>
    <xf borderId="0" fillId="0" fontId="2" numFmtId="9" xfId="0" applyFont="1" applyNumberFormat="1"/>
    <xf borderId="1" fillId="6" fontId="1" numFmtId="0" xfId="0" applyBorder="1" applyFill="1" applyFont="1"/>
    <xf borderId="1" fillId="6" fontId="2" numFmtId="164" xfId="0" applyBorder="1" applyFont="1" applyNumberFormat="1"/>
    <xf borderId="0" fillId="0" fontId="3" numFmtId="0" xfId="0" applyAlignment="1" applyFont="1">
      <alignment readingOrder="0"/>
    </xf>
    <xf borderId="0" fillId="0" fontId="1" numFmtId="9" xfId="0" applyFont="1" applyNumberFormat="1"/>
    <xf borderId="0" fillId="0" fontId="1" numFmtId="37" xfId="0" applyAlignment="1" applyFont="1" applyNumberFormat="1">
      <alignment horizontal="center"/>
    </xf>
    <xf borderId="0" fillId="0" fontId="1" numFmtId="37" xfId="0" applyFont="1" applyNumberFormat="1"/>
    <xf borderId="0" fillId="0" fontId="4" numFmtId="0" xfId="0" applyFont="1"/>
    <xf borderId="1" fillId="3" fontId="1" numFmtId="37" xfId="0" applyAlignment="1" applyBorder="1" applyFont="1" applyNumberFormat="1">
      <alignment horizontal="center"/>
    </xf>
    <xf borderId="1" fillId="3" fontId="1" numFmtId="37" xfId="0" applyBorder="1" applyFont="1" applyNumberFormat="1"/>
    <xf borderId="0" fillId="0" fontId="0" numFmtId="3" xfId="0" applyFont="1" applyNumberFormat="1"/>
    <xf borderId="0" fillId="0" fontId="5" numFmtId="3" xfId="0" applyFont="1" applyNumberFormat="1"/>
    <xf borderId="0" fillId="0" fontId="5" numFmtId="0" xfId="0" applyFont="1"/>
    <xf borderId="0" fillId="0" fontId="0" numFmtId="165" xfId="0" applyFont="1" applyNumberFormat="1"/>
    <xf borderId="0" fillId="0" fontId="2" numFmtId="165" xfId="0" applyFont="1" applyNumberFormat="1"/>
    <xf borderId="0" fillId="0" fontId="5" numFmtId="165" xfId="0" applyFont="1" applyNumberFormat="1"/>
    <xf borderId="0" fillId="7" fontId="4" numFmtId="0" xfId="0" applyFill="1" applyFont="1"/>
    <xf borderId="0" fillId="7" fontId="5" numFmtId="0" xfId="0" applyFont="1"/>
    <xf borderId="4" fillId="8" fontId="4" numFmtId="0" xfId="0" applyAlignment="1" applyBorder="1" applyFill="1" applyFont="1">
      <alignment horizontal="center"/>
    </xf>
    <xf borderId="5" fillId="0" fontId="6" numFmtId="0" xfId="0" applyBorder="1" applyFont="1"/>
    <xf borderId="6" fillId="0" fontId="6" numFmtId="0" xfId="0" applyBorder="1" applyFont="1"/>
    <xf borderId="0" fillId="0" fontId="4" numFmtId="0" xfId="0" applyAlignment="1" applyFont="1">
      <alignment horizontal="center"/>
    </xf>
    <xf borderId="7" fillId="0" fontId="0" numFmtId="0" xfId="0" applyBorder="1" applyFont="1"/>
    <xf borderId="7" fillId="0" fontId="4" numFmtId="0" xfId="0" applyAlignment="1" applyBorder="1" applyFont="1">
      <alignment horizontal="center"/>
    </xf>
    <xf borderId="7" fillId="5" fontId="0" numFmtId="0" xfId="0" applyBorder="1" applyFont="1"/>
    <xf borderId="7" fillId="0" fontId="0" numFmtId="164" xfId="0" applyBorder="1" applyFont="1" applyNumberFormat="1"/>
    <xf borderId="7" fillId="0" fontId="0" numFmtId="3" xfId="0" applyBorder="1" applyFont="1" applyNumberFormat="1"/>
    <xf borderId="7" fillId="0" fontId="0" numFmtId="165" xfId="0" applyBorder="1" applyFont="1" applyNumberFormat="1"/>
    <xf borderId="7" fillId="0" fontId="2" numFmtId="0" xfId="0" applyBorder="1" applyFont="1"/>
    <xf borderId="0" fillId="0" fontId="0" numFmtId="10" xfId="0" applyFont="1" applyNumberFormat="1"/>
    <xf borderId="7" fillId="0" fontId="2" numFmtId="9" xfId="0" applyBorder="1" applyFont="1" applyNumberFormat="1"/>
    <xf borderId="7" fillId="0" fontId="0" numFmtId="9" xfId="0" applyBorder="1" applyFont="1" applyNumberFormat="1"/>
    <xf borderId="0" fillId="0" fontId="5" numFmtId="9" xfId="0" applyFont="1" applyNumberFormat="1"/>
    <xf borderId="0" fillId="0" fontId="7" numFmtId="0" xfId="0" applyFont="1"/>
    <xf borderId="0" fillId="0" fontId="8" numFmtId="0" xfId="0" applyFont="1"/>
    <xf borderId="0" fillId="0" fontId="9" numFmtId="3" xfId="0" applyFont="1" applyNumberFormat="1"/>
    <xf borderId="0" fillId="0" fontId="10" numFmtId="0" xfId="0" applyFont="1"/>
    <xf borderId="0" fillId="0" fontId="4" numFmtId="3" xfId="0" applyFont="1" applyNumberFormat="1"/>
    <xf borderId="7" fillId="2" fontId="2" numFmtId="0" xfId="0" applyBorder="1" applyFont="1"/>
    <xf borderId="7" fillId="2" fontId="1" numFmtId="37" xfId="0" applyAlignment="1" applyBorder="1" applyFont="1" applyNumberFormat="1">
      <alignment horizontal="center"/>
    </xf>
    <xf borderId="7" fillId="2" fontId="1" numFmtId="0" xfId="0" applyBorder="1" applyFont="1"/>
    <xf borderId="7" fillId="4" fontId="1" numFmtId="0" xfId="0" applyBorder="1" applyFont="1"/>
    <xf borderId="7" fillId="0" fontId="2" numFmtId="166" xfId="0" applyBorder="1" applyFont="1" applyNumberFormat="1"/>
    <xf borderId="7" fillId="0" fontId="0" numFmtId="37" xfId="0" applyBorder="1" applyFont="1" applyNumberFormat="1"/>
    <xf borderId="7" fillId="0" fontId="2" numFmtId="164" xfId="0" applyBorder="1" applyFont="1" applyNumberFormat="1"/>
    <xf borderId="7" fillId="0" fontId="1" numFmtId="0" xfId="0" applyBorder="1" applyFont="1"/>
    <xf borderId="7" fillId="0" fontId="0" numFmtId="166" xfId="0" applyBorder="1" applyFont="1" applyNumberFormat="1"/>
    <xf borderId="7" fillId="0" fontId="4" numFmtId="37" xfId="0" applyBorder="1" applyFont="1" applyNumberFormat="1"/>
    <xf borderId="7" fillId="0" fontId="0" numFmtId="167" xfId="0" applyBorder="1" applyFont="1" applyNumberFormat="1"/>
    <xf borderId="0" fillId="0" fontId="5" numFmtId="167" xfId="0" applyFont="1" applyNumberFormat="1"/>
    <xf borderId="4" fillId="0" fontId="2" numFmtId="166" xfId="0" applyBorder="1" applyFont="1" applyNumberFormat="1"/>
    <xf borderId="7" fillId="0" fontId="1" numFmtId="37" xfId="0" applyBorder="1" applyFont="1" applyNumberFormat="1"/>
    <xf borderId="7" fillId="0" fontId="2" numFmtId="37" xfId="0" applyBorder="1" applyFont="1" applyNumberFormat="1"/>
    <xf borderId="7" fillId="9" fontId="1" numFmtId="37" xfId="0" applyBorder="1" applyFill="1" applyFont="1" applyNumberFormat="1"/>
    <xf borderId="7" fillId="5" fontId="11" numFmtId="166" xfId="0" applyBorder="1" applyFont="1" applyNumberFormat="1"/>
    <xf borderId="7" fillId="5" fontId="11" numFmtId="0" xfId="0" applyBorder="1" applyFont="1"/>
    <xf borderId="7" fillId="5" fontId="0" numFmtId="37" xfId="0" applyBorder="1" applyFont="1" applyNumberFormat="1"/>
    <xf borderId="7" fillId="0" fontId="2" numFmtId="168" xfId="0" applyBorder="1" applyFont="1" applyNumberFormat="1"/>
    <xf borderId="0" fillId="5" fontId="11" numFmtId="0" xfId="0" applyFont="1"/>
    <xf borderId="7" fillId="0" fontId="4" numFmtId="0" xfId="0" applyBorder="1" applyFont="1"/>
    <xf borderId="7" fillId="9" fontId="4" numFmtId="37" xfId="0" applyBorder="1" applyFont="1" applyNumberFormat="1"/>
    <xf borderId="4" fillId="6" fontId="1" numFmtId="0" xfId="0" applyBorder="1" applyFont="1"/>
    <xf borderId="4" fillId="10" fontId="4" numFmtId="0" xfId="0" applyBorder="1" applyFill="1" applyFont="1"/>
    <xf borderId="7" fillId="0" fontId="2" numFmtId="3" xfId="0" applyBorder="1" applyFont="1" applyNumberFormat="1"/>
    <xf borderId="7" fillId="0" fontId="12" numFmtId="37" xfId="0" applyBorder="1" applyFont="1" applyNumberFormat="1"/>
    <xf borderId="0" fillId="0" fontId="4" numFmtId="37" xfId="0" applyFont="1" applyNumberFormat="1"/>
    <xf borderId="7" fillId="0" fontId="0" numFmtId="2" xfId="0" applyBorder="1" applyFont="1" applyNumberFormat="1"/>
    <xf borderId="7" fillId="0" fontId="2" numFmtId="2" xfId="0" applyBorder="1" applyFont="1" applyNumberFormat="1"/>
    <xf borderId="0" fillId="0" fontId="5" numFmtId="2" xfId="0" applyFont="1" applyNumberFormat="1"/>
    <xf borderId="0" fillId="0" fontId="0" numFmtId="37" xfId="0" applyFont="1" applyNumberFormat="1"/>
    <xf borderId="7" fillId="0" fontId="0" numFmtId="4" xfId="0" applyBorder="1" applyFont="1" applyNumberFormat="1"/>
    <xf borderId="7" fillId="0" fontId="2" numFmtId="4" xfId="0" applyBorder="1" applyFont="1" applyNumberFormat="1"/>
    <xf borderId="0" fillId="0" fontId="5" numFmtId="4" xfId="0" applyFont="1" applyNumberFormat="1"/>
    <xf borderId="0" fillId="0" fontId="1" numFmtId="165" xfId="0" applyFont="1" applyNumberFormat="1"/>
    <xf borderId="0" fillId="0" fontId="2" numFmtId="3" xfId="0" applyFont="1" applyNumberFormat="1"/>
    <xf borderId="0" fillId="11" fontId="5" numFmtId="0" xfId="0" applyFill="1" applyFont="1"/>
    <xf borderId="0" fillId="0" fontId="5" numFmtId="166" xfId="0" applyFont="1" applyNumberFormat="1"/>
    <xf borderId="0" fillId="12" fontId="5" numFmtId="0" xfId="0" applyFill="1" applyFont="1"/>
    <xf borderId="0" fillId="12" fontId="5" numFmtId="166" xfId="0" applyFont="1" applyNumberFormat="1"/>
    <xf borderId="0" fillId="0" fontId="5" numFmtId="1" xfId="0" applyFont="1" applyNumberFormat="1"/>
    <xf borderId="0" fillId="0" fontId="2" numFmtId="166" xfId="0" applyFont="1" applyNumberFormat="1"/>
    <xf borderId="0" fillId="0" fontId="5" numFmtId="164" xfId="0" applyFont="1" applyNumberForma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0" fillId="0" fontId="13" numFmtId="0" xfId="0" applyFont="1"/>
    <xf borderId="0" fillId="0" fontId="14" numFmtId="0" xfId="0" applyFont="1"/>
    <xf borderId="0" fillId="0" fontId="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757575"/>
                </a:solidFill>
                <a:latin typeface="+mn-lt"/>
              </a:defRPr>
            </a:pPr>
            <a:r>
              <a:rPr b="1" i="0" sz="2400">
                <a:solidFill>
                  <a:srgbClr val="757575"/>
                </a:solidFill>
                <a:latin typeface="+mn-lt"/>
              </a:rPr>
              <a:t>Revenue and Cost Over 3 Years</a:t>
            </a:r>
          </a:p>
        </c:rich>
      </c:tx>
      <c:layout>
        <c:manualLayout>
          <c:xMode val="edge"/>
          <c:yMode val="edge"/>
          <c:x val="0.032168216564178585"/>
          <c:y val="0.05211012630388407"/>
        </c:manualLayout>
      </c:layout>
      <c:overlay val="0"/>
    </c:title>
    <c:plotArea>
      <c:layout/>
      <c:lineChart>
        <c:ser>
          <c:idx val="0"/>
          <c:order val="0"/>
          <c:tx>
            <c:strRef>
              <c:f>'Break Even Point'!$B$94</c:f>
            </c:strRef>
          </c:tx>
          <c:marker>
            <c:symbol val="none"/>
          </c:marker>
          <c:cat>
            <c:strRef>
              <c:f>'Break Even Point'!$C$93:$AL$93</c:f>
            </c:strRef>
          </c:cat>
          <c:val>
            <c:numRef>
              <c:f>'Break Even Point'!$C$94:$AL$94</c:f>
              <c:numCache/>
            </c:numRef>
          </c:val>
          <c:smooth val="1"/>
        </c:ser>
        <c:ser>
          <c:idx val="1"/>
          <c:order val="1"/>
          <c:tx>
            <c:strRef>
              <c:f>'Break Even Point'!$B$96</c:f>
            </c:strRef>
          </c:tx>
          <c:marker>
            <c:symbol val="none"/>
          </c:marker>
          <c:cat>
            <c:strRef>
              <c:f>'Break Even Point'!$C$93:$AL$93</c:f>
            </c:strRef>
          </c:cat>
          <c:val>
            <c:numRef>
              <c:f>'Break Even Point'!$C$96:$AL$96</c:f>
              <c:numCache/>
            </c:numRef>
          </c:val>
          <c:smooth val="1"/>
        </c:ser>
        <c:axId val="801986116"/>
        <c:axId val="975272253"/>
      </c:lineChart>
      <c:catAx>
        <c:axId val="801986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975272253"/>
      </c:catAx>
      <c:valAx>
        <c:axId val="97527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+mn-lt"/>
                  </a:rPr>
                  <a:t>Money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1986116"/>
      </c:valAx>
    </c:plotArea>
    <c:legend>
      <c:legendPos val="r"/>
      <c:overlay val="0"/>
      <c:txPr>
        <a:bodyPr/>
        <a:lstStyle/>
        <a:p>
          <a:pPr lvl="0">
            <a:defRPr b="0" i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Printers Sold and Filament Subscription amount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'Break Even Point'!$A$24</c:f>
            </c:strRef>
          </c:tx>
          <c:spPr>
            <a:solidFill>
              <a:srgbClr val="134F5C"/>
            </a:solidFill>
          </c:spPr>
          <c:cat>
            <c:strRef>
              <c:f>'Break Even Point'!$B$23:$F$23</c:f>
            </c:strRef>
          </c:cat>
          <c:val>
            <c:numRef>
              <c:f>'Break Even Point'!$B$24:$F$24</c:f>
              <c:numCache/>
            </c:numRef>
          </c:val>
        </c:ser>
        <c:ser>
          <c:idx val="1"/>
          <c:order val="1"/>
          <c:tx>
            <c:strRef>
              <c:f>'Break Even Point'!$A$25</c:f>
            </c:strRef>
          </c:tx>
          <c:spPr>
            <a:solidFill>
              <a:srgbClr val="45818E"/>
            </a:solidFill>
          </c:spPr>
          <c:cat>
            <c:strRef>
              <c:f>'Break Even Point'!$B$23:$F$23</c:f>
            </c:strRef>
          </c:cat>
          <c:val>
            <c:numRef>
              <c:f>'Break Even Point'!$B$25:$F$25</c:f>
              <c:numCache/>
            </c:numRef>
          </c:val>
        </c:ser>
        <c:ser>
          <c:idx val="2"/>
          <c:order val="2"/>
          <c:tx>
            <c:strRef>
              <c:f>'Break Even Point'!$A$26</c:f>
            </c:strRef>
          </c:tx>
          <c:spPr>
            <a:solidFill>
              <a:srgbClr val="A2C4C9"/>
            </a:solidFill>
          </c:spPr>
          <c:cat>
            <c:strRef>
              <c:f>'Break Even Point'!$B$23:$F$23</c:f>
            </c:strRef>
          </c:cat>
          <c:val>
            <c:numRef>
              <c:f>'Break Even Point'!$B$26:$F$26</c:f>
              <c:numCache/>
            </c:numRef>
          </c:val>
        </c:ser>
        <c:ser>
          <c:idx val="3"/>
          <c:order val="3"/>
          <c:tx>
            <c:strRef>
              <c:f>'Break Even Point'!$A$27</c:f>
            </c:strRef>
          </c:tx>
          <c:spPr>
            <a:solidFill>
              <a:srgbClr val="D9D9D9"/>
            </a:solidFill>
          </c:spPr>
          <c:cat>
            <c:strRef>
              <c:f>'Break Even Point'!$B$23:$F$23</c:f>
            </c:strRef>
          </c:cat>
          <c:val>
            <c:numRef>
              <c:f>'Break Even Point'!$B$27:$F$27</c:f>
              <c:numCache/>
            </c:numRef>
          </c:val>
        </c:ser>
        <c:axId val="2055461249"/>
        <c:axId val="401447828"/>
      </c:barChart>
      <c:catAx>
        <c:axId val="20554612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1447828"/>
      </c:catAx>
      <c:valAx>
        <c:axId val="401447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layout>
            <c:manualLayout>
              <c:xMode val="edge"/>
              <c:yMode val="edge"/>
              <c:x val="0.16300651041666667"/>
              <c:y val="0.90687331536388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5461249"/>
        <c:crosses val="max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Cost, Revenue and Net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 Even Point'!$A$17</c:f>
            </c:strRef>
          </c:tx>
          <c:spPr>
            <a:solidFill>
              <a:srgbClr val="134F5C"/>
            </a:solidFill>
          </c:spPr>
          <c:cat>
            <c:strRef>
              <c:f>'Break Even Point'!$B$16:$F$16</c:f>
            </c:strRef>
          </c:cat>
          <c:val>
            <c:numRef>
              <c:f>'Break Even Point'!$B$17:$F$17</c:f>
              <c:numCache/>
            </c:numRef>
          </c:val>
        </c:ser>
        <c:ser>
          <c:idx val="1"/>
          <c:order val="1"/>
          <c:tx>
            <c:strRef>
              <c:f>'Break Even Point'!$A$18</c:f>
            </c:strRef>
          </c:tx>
          <c:spPr>
            <a:solidFill>
              <a:srgbClr val="45818E"/>
            </a:solidFill>
          </c:spPr>
          <c:cat>
            <c:strRef>
              <c:f>'Break Even Point'!$B$16:$F$16</c:f>
            </c:strRef>
          </c:cat>
          <c:val>
            <c:numRef>
              <c:f>'Break Even Point'!$B$18:$F$18</c:f>
              <c:numCache/>
            </c:numRef>
          </c:val>
        </c:ser>
        <c:ser>
          <c:idx val="2"/>
          <c:order val="2"/>
          <c:tx>
            <c:strRef>
              <c:f>'Break Even Point'!$A$19</c:f>
            </c:strRef>
          </c:tx>
          <c:spPr>
            <a:solidFill>
              <a:srgbClr val="A2C4C9"/>
            </a:solidFill>
          </c:spPr>
          <c:cat>
            <c:strRef>
              <c:f>'Break Even Point'!$B$16:$F$16</c:f>
            </c:strRef>
          </c:cat>
          <c:val>
            <c:numRef>
              <c:f>'Break Even Point'!$B$19:$F$19</c:f>
              <c:numCache/>
            </c:numRef>
          </c:val>
        </c:ser>
        <c:axId val="114424638"/>
        <c:axId val="199182200"/>
      </c:barChart>
      <c:catAx>
        <c:axId val="114424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182200"/>
      </c:catAx>
      <c:valAx>
        <c:axId val="199182200"/>
        <c:scaling>
          <c:orientation val="minMax"/>
          <c:max val="7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+mn-lt"/>
                  </a:rPr>
                  <a:t>Dollars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4246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Cash Flow($) vs.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 Even Point'!$A$14</c:f>
            </c:strRef>
          </c:tx>
          <c:spPr>
            <a:solidFill>
              <a:srgbClr val="45818E"/>
            </a:solidFill>
          </c:spPr>
          <c:cat>
            <c:strRef>
              <c:f>'Break Even Point'!$B$13:$F$13</c:f>
            </c:strRef>
          </c:cat>
          <c:val>
            <c:numRef>
              <c:f>'Break Even Point'!$B$14:$F$14</c:f>
              <c:numCache/>
            </c:numRef>
          </c:val>
        </c:ser>
        <c:axId val="570810674"/>
        <c:axId val="8923578"/>
      </c:barChart>
      <c:catAx>
        <c:axId val="570810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23578"/>
      </c:catAx>
      <c:valAx>
        <c:axId val="8923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Arial"/>
                  </a:rPr>
                  <a:t>Cash Flow($)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081067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600">
                <a:solidFill>
                  <a:srgbClr val="757575"/>
                </a:solidFill>
                <a:latin typeface="+mn-lt"/>
              </a:defRPr>
            </a:pPr>
            <a:r>
              <a:rPr b="1" i="0" sz="3600">
                <a:solidFill>
                  <a:srgbClr val="757575"/>
                </a:solidFill>
                <a:latin typeface="+mn-lt"/>
              </a:rPr>
              <a:t>Revenue and Cost Over 3 Years</a:t>
            </a:r>
          </a:p>
        </c:rich>
      </c:tx>
      <c:layout>
        <c:manualLayout>
          <c:xMode val="edge"/>
          <c:yMode val="edge"/>
          <c:x val="0.032168216564178585"/>
          <c:y val="0.05211012630388407"/>
        </c:manualLayout>
      </c:layout>
      <c:overlay val="0"/>
    </c:title>
    <c:plotArea>
      <c:layout/>
      <c:lineChart>
        <c:ser>
          <c:idx val="0"/>
          <c:order val="0"/>
          <c:tx>
            <c:strRef>
              <c:f>'Break Even Point'!$B$94</c:f>
            </c:strRef>
          </c:tx>
          <c:marker>
            <c:symbol val="none"/>
          </c:marker>
          <c:cat>
            <c:strRef>
              <c:f>'Break Even Point'!$C$93:$AL$93</c:f>
            </c:strRef>
          </c:cat>
          <c:val>
            <c:numRef>
              <c:f>'Break Even Point'!$C$94:$AL$94</c:f>
              <c:numCache/>
            </c:numRef>
          </c:val>
          <c:smooth val="1"/>
        </c:ser>
        <c:ser>
          <c:idx val="1"/>
          <c:order val="1"/>
          <c:tx>
            <c:strRef>
              <c:f>'Break Even Point'!$B$96</c:f>
            </c:strRef>
          </c:tx>
          <c:marker>
            <c:symbol val="none"/>
          </c:marker>
          <c:cat>
            <c:strRef>
              <c:f>'Break Even Point'!$C$93:$AL$93</c:f>
            </c:strRef>
          </c:cat>
          <c:val>
            <c:numRef>
              <c:f>'Break Even Point'!$C$96:$AL$96</c:f>
              <c:numCache/>
            </c:numRef>
          </c:val>
          <c:smooth val="1"/>
        </c:ser>
        <c:axId val="546794626"/>
        <c:axId val="1421084116"/>
      </c:lineChart>
      <c:catAx>
        <c:axId val="54679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300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421084116"/>
      </c:catAx>
      <c:valAx>
        <c:axId val="1421084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3000">
                    <a:solidFill>
                      <a:srgbClr val="000000"/>
                    </a:solidFill>
                    <a:latin typeface="+mn-lt"/>
                  </a:rPr>
                  <a:t>Money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6794626"/>
      </c:valAx>
    </c:plotArea>
    <c:legend>
      <c:legendPos val="r"/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Initial Investment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'Break Even Point'!$F$155:$F$161</c:f>
            </c:strRef>
          </c:cat>
          <c:val>
            <c:numRef>
              <c:f>'Break Even Point'!$G$155:$G$161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95250</xdr:colOff>
      <xdr:row>36</xdr:row>
      <xdr:rowOff>95250</xdr:rowOff>
    </xdr:from>
    <xdr:ext cx="15430500" cy="9534525"/>
    <xdr:graphicFrame>
      <xdr:nvGraphicFramePr>
        <xdr:cNvPr id="168979173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45</xdr:row>
      <xdr:rowOff>171450</xdr:rowOff>
    </xdr:from>
    <xdr:ext cx="5715000" cy="3533775"/>
    <xdr:graphicFrame>
      <xdr:nvGraphicFramePr>
        <xdr:cNvPr id="6964879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638175</xdr:colOff>
      <xdr:row>27</xdr:row>
      <xdr:rowOff>47625</xdr:rowOff>
    </xdr:from>
    <xdr:ext cx="5715000" cy="3533775"/>
    <xdr:graphicFrame>
      <xdr:nvGraphicFramePr>
        <xdr:cNvPr id="83251758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285750</xdr:colOff>
      <xdr:row>27</xdr:row>
      <xdr:rowOff>47625</xdr:rowOff>
    </xdr:from>
    <xdr:ext cx="5724525" cy="3533775"/>
    <xdr:graphicFrame>
      <xdr:nvGraphicFramePr>
        <xdr:cNvPr id="159417821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</xdr:colOff>
      <xdr:row>100</xdr:row>
      <xdr:rowOff>95250</xdr:rowOff>
    </xdr:from>
    <xdr:ext cx="15430500" cy="9534525"/>
    <xdr:graphicFrame>
      <xdr:nvGraphicFramePr>
        <xdr:cNvPr id="71325431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247650</xdr:colOff>
      <xdr:row>153</xdr:row>
      <xdr:rowOff>85725</xdr:rowOff>
    </xdr:from>
    <xdr:ext cx="6229350" cy="3848100"/>
    <xdr:graphicFrame>
      <xdr:nvGraphicFramePr>
        <xdr:cNvPr id="72794105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bileappdaily.com/cost-to-maintain-an-app" TargetMode="External"/><Relationship Id="rId10" Type="http://schemas.openxmlformats.org/officeDocument/2006/relationships/hyperlink" Target="https://toms3d.org/2017/02/23/building-cheapest-possible-prusa-i3-mk2/" TargetMode="External"/><Relationship Id="rId13" Type="http://schemas.openxmlformats.org/officeDocument/2006/relationships/hyperlink" Target="https://www.nolo.com/legal-encyclopedia/kansas-state-business-income-tax.html" TargetMode="External"/><Relationship Id="rId12" Type="http://schemas.openxmlformats.org/officeDocument/2006/relationships/hyperlink" Target="https://www.design1st.com/how-much-do-hw-prototypes-cost/" TargetMode="External"/><Relationship Id="rId1" Type="http://schemas.openxmlformats.org/officeDocument/2006/relationships/hyperlink" Target="https://www.alliedmarketresearch.com/personal-3d-printers-market" TargetMode="External"/><Relationship Id="rId2" Type="http://schemas.openxmlformats.org/officeDocument/2006/relationships/hyperlink" Target="https://www.marketsandmarkets.com/Market-Reports/3d-printing-market-1276.html" TargetMode="External"/><Relationship Id="rId3" Type="http://schemas.openxmlformats.org/officeDocument/2006/relationships/hyperlink" Target="https://3dprintingindustry.com/news/half-million-3d-printers-sold-2017-track-100m-sold-2030-131642/" TargetMode="External"/><Relationship Id="rId4" Type="http://schemas.openxmlformats.org/officeDocument/2006/relationships/hyperlink" Target="https://fas.org/sgp/crs/misc/R45852.pdf" TargetMode="External"/><Relationship Id="rId9" Type="http://schemas.openxmlformats.org/officeDocument/2006/relationships/hyperlink" Target="https://all3dp.com/2/3d-printer-material-cost-the-real-cost-of-3d-printing-materials/" TargetMode="External"/><Relationship Id="rId14" Type="http://schemas.openxmlformats.org/officeDocument/2006/relationships/drawing" Target="../drawings/drawing7.xml"/><Relationship Id="rId5" Type="http://schemas.openxmlformats.org/officeDocument/2006/relationships/hyperlink" Target="https://www.kickstarter.com/projects/formlabs/form-1-an-affordable-professional-3d-printer/faqs" TargetMode="External"/><Relationship Id="rId6" Type="http://schemas.openxmlformats.org/officeDocument/2006/relationships/hyperlink" Target="https://www.ncsl.org/research/labor-and-employment/state-minimum-wage-chart.aspx" TargetMode="External"/><Relationship Id="rId7" Type="http://schemas.openxmlformats.org/officeDocument/2006/relationships/hyperlink" Target="https://www.glassdoor.com/Salaries/portland-cad-designer-salary-SRCH_IL.0,8_IM700_KO9,21.htm" TargetMode="External"/><Relationship Id="rId8" Type="http://schemas.openxmlformats.org/officeDocument/2006/relationships/hyperlink" Target="https://www.cisco-eagle.com/industries-served/order-fulfillment/the-typical-warehou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8" width="12.71"/>
    <col customWidth="1" min="9" max="10" width="11.71"/>
    <col customWidth="1" min="11" max="11" width="14.0"/>
    <col customWidth="1" min="12" max="12" width="12.86"/>
    <col customWidth="1" min="13" max="13" width="12.71"/>
    <col customWidth="1" min="14" max="14" width="14.29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  <c r="P2" s="6"/>
    </row>
    <row r="3" ht="15.75" customHeight="1">
      <c r="A3" s="7" t="s">
        <v>15</v>
      </c>
    </row>
    <row r="4" ht="15.75" customHeight="1">
      <c r="A4" s="8" t="s">
        <v>16</v>
      </c>
      <c r="B4" s="9">
        <v>0.0</v>
      </c>
      <c r="C4" s="9">
        <v>0.0</v>
      </c>
      <c r="D4" s="9">
        <v>50.0</v>
      </c>
      <c r="E4" s="8">
        <v>100.0</v>
      </c>
      <c r="F4" s="8">
        <v>0.0</v>
      </c>
      <c r="G4" s="8">
        <v>0.0</v>
      </c>
      <c r="H4" s="8">
        <v>300.0</v>
      </c>
      <c r="I4" s="8">
        <v>500.0</v>
      </c>
      <c r="J4" s="8">
        <v>700.0</v>
      </c>
      <c r="K4" s="8">
        <v>900.0</v>
      </c>
      <c r="L4" s="8">
        <v>1100.0</v>
      </c>
      <c r="M4" s="8">
        <v>1300.0</v>
      </c>
      <c r="N4" s="10">
        <f>M4</f>
        <v>1300</v>
      </c>
    </row>
    <row r="5" ht="15.75" customHeight="1">
      <c r="A5" s="8" t="s">
        <v>17</v>
      </c>
      <c r="B5" s="10">
        <f>B4</f>
        <v>0</v>
      </c>
      <c r="C5" s="10">
        <f>C4-B4</f>
        <v>0</v>
      </c>
      <c r="D5" s="9">
        <v>50.0</v>
      </c>
      <c r="E5" s="9">
        <v>50.0</v>
      </c>
      <c r="F5" s="9">
        <v>0.0</v>
      </c>
      <c r="G5" s="10">
        <f>G4-F4</f>
        <v>0</v>
      </c>
      <c r="H5" s="9">
        <v>200.0</v>
      </c>
      <c r="I5" s="10">
        <f t="shared" ref="I5:M5" si="1">I4-H4</f>
        <v>200</v>
      </c>
      <c r="J5" s="10">
        <f t="shared" si="1"/>
        <v>200</v>
      </c>
      <c r="K5" s="10">
        <f t="shared" si="1"/>
        <v>200</v>
      </c>
      <c r="L5" s="10">
        <f t="shared" si="1"/>
        <v>200</v>
      </c>
      <c r="M5" s="10">
        <f t="shared" si="1"/>
        <v>200</v>
      </c>
      <c r="N5" s="10">
        <f>SUM(B5:M5)</f>
        <v>1300</v>
      </c>
    </row>
    <row r="6" ht="15.75" customHeight="1">
      <c r="A6" s="8" t="s">
        <v>18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</row>
    <row r="7" ht="15.75" customHeight="1">
      <c r="A7" s="8" t="s">
        <v>19</v>
      </c>
      <c r="B7" s="11">
        <v>900.0</v>
      </c>
      <c r="C7" s="11">
        <v>900.0</v>
      </c>
      <c r="D7" s="11">
        <v>-900.0</v>
      </c>
      <c r="E7" s="11">
        <v>-900.0</v>
      </c>
      <c r="F7" s="11">
        <v>900.0</v>
      </c>
      <c r="G7" s="11">
        <v>900.0</v>
      </c>
      <c r="H7" s="11">
        <v>900.0</v>
      </c>
      <c r="I7" s="11">
        <v>900.0</v>
      </c>
      <c r="J7" s="11">
        <v>900.0</v>
      </c>
      <c r="K7" s="11">
        <v>900.0</v>
      </c>
      <c r="L7" s="11">
        <v>900.0</v>
      </c>
      <c r="M7" s="11">
        <v>900.0</v>
      </c>
      <c r="N7" s="12">
        <f>AVERAGE(B7:M7)</f>
        <v>600</v>
      </c>
    </row>
    <row r="8" ht="15.75" customHeight="1">
      <c r="A8" s="6" t="s">
        <v>20</v>
      </c>
      <c r="B8" s="13">
        <f t="shared" ref="B8:M8" si="2">B7*B5</f>
        <v>0</v>
      </c>
      <c r="C8" s="13">
        <f t="shared" si="2"/>
        <v>0</v>
      </c>
      <c r="D8" s="13">
        <f t="shared" si="2"/>
        <v>-45000</v>
      </c>
      <c r="E8" s="13">
        <f t="shared" si="2"/>
        <v>-45000</v>
      </c>
      <c r="F8" s="13">
        <f t="shared" si="2"/>
        <v>0</v>
      </c>
      <c r="G8" s="13">
        <f t="shared" si="2"/>
        <v>0</v>
      </c>
      <c r="H8" s="13">
        <f t="shared" si="2"/>
        <v>180000</v>
      </c>
      <c r="I8" s="13">
        <f t="shared" si="2"/>
        <v>180000</v>
      </c>
      <c r="J8" s="13">
        <f t="shared" si="2"/>
        <v>180000</v>
      </c>
      <c r="K8" s="13">
        <f t="shared" si="2"/>
        <v>180000</v>
      </c>
      <c r="L8" s="13">
        <f t="shared" si="2"/>
        <v>180000</v>
      </c>
      <c r="M8" s="13">
        <f t="shared" si="2"/>
        <v>180000</v>
      </c>
      <c r="N8" s="13">
        <f>SUM(B8:M8)</f>
        <v>990000</v>
      </c>
    </row>
    <row r="9" ht="15.75" customHeight="1"/>
    <row r="10" ht="15.75" customHeight="1">
      <c r="A10" s="14" t="s">
        <v>21</v>
      </c>
    </row>
    <row r="11" ht="15.75" customHeight="1">
      <c r="A11" s="15" t="s">
        <v>22</v>
      </c>
      <c r="B11" s="11">
        <v>1100.0</v>
      </c>
      <c r="C11" s="11">
        <v>1100.0</v>
      </c>
      <c r="D11" s="11">
        <v>1100.0</v>
      </c>
      <c r="E11" s="11">
        <v>1100.0</v>
      </c>
      <c r="F11" s="11">
        <v>1100.0</v>
      </c>
      <c r="G11" s="11">
        <v>1100.0</v>
      </c>
      <c r="H11" s="11">
        <v>1100.0</v>
      </c>
      <c r="I11" s="11">
        <v>1100.0</v>
      </c>
      <c r="J11" s="11">
        <v>1100.0</v>
      </c>
      <c r="K11" s="11">
        <v>1100.0</v>
      </c>
      <c r="L11" s="11">
        <v>1100.0</v>
      </c>
      <c r="M11" s="11">
        <v>1100.0</v>
      </c>
      <c r="N11" s="12">
        <f t="shared" ref="N11:N17" si="6">SUM(B11:M11)</f>
        <v>13200</v>
      </c>
    </row>
    <row r="12" ht="15.75" customHeight="1">
      <c r="A12" s="15" t="s">
        <v>23</v>
      </c>
      <c r="B12" s="12">
        <f t="shared" ref="B12:C12" si="3">B8*0.15</f>
        <v>0</v>
      </c>
      <c r="C12" s="12">
        <f t="shared" si="3"/>
        <v>0</v>
      </c>
      <c r="D12" s="11">
        <v>850.0</v>
      </c>
      <c r="E12" s="11">
        <v>850.0</v>
      </c>
      <c r="F12" s="12">
        <f t="shared" ref="F12:G12" si="4">F8*0.15</f>
        <v>0</v>
      </c>
      <c r="G12" s="12">
        <f t="shared" si="4"/>
        <v>0</v>
      </c>
      <c r="H12" s="12">
        <f t="shared" ref="H12:M12" si="5">3400</f>
        <v>3400</v>
      </c>
      <c r="I12" s="12">
        <f t="shared" si="5"/>
        <v>3400</v>
      </c>
      <c r="J12" s="12">
        <f t="shared" si="5"/>
        <v>3400</v>
      </c>
      <c r="K12" s="12">
        <f t="shared" si="5"/>
        <v>3400</v>
      </c>
      <c r="L12" s="12">
        <f t="shared" si="5"/>
        <v>3400</v>
      </c>
      <c r="M12" s="12">
        <f t="shared" si="5"/>
        <v>3400</v>
      </c>
      <c r="N12" s="12">
        <f t="shared" si="6"/>
        <v>22100</v>
      </c>
    </row>
    <row r="13" ht="15.75" customHeight="1">
      <c r="A13" s="15" t="s">
        <v>24</v>
      </c>
      <c r="B13" s="11">
        <v>6500.0</v>
      </c>
      <c r="C13" s="11">
        <v>6500.0</v>
      </c>
      <c r="D13" s="11">
        <v>6500.0</v>
      </c>
      <c r="E13" s="11">
        <v>6500.0</v>
      </c>
      <c r="F13" s="11">
        <v>6500.0</v>
      </c>
      <c r="G13" s="11">
        <v>7500.0</v>
      </c>
      <c r="H13" s="11">
        <v>4500.0</v>
      </c>
      <c r="I13" s="11">
        <v>4500.0</v>
      </c>
      <c r="J13" s="11">
        <v>4500.0</v>
      </c>
      <c r="K13" s="11">
        <v>4500.0</v>
      </c>
      <c r="L13" s="11">
        <v>5500.0</v>
      </c>
      <c r="M13" s="11">
        <v>5500.0</v>
      </c>
      <c r="N13" s="12">
        <f t="shared" si="6"/>
        <v>69000</v>
      </c>
    </row>
    <row r="14" ht="15.75" customHeight="1">
      <c r="A14" s="15" t="s">
        <v>25</v>
      </c>
      <c r="B14" s="12">
        <v>150.0</v>
      </c>
      <c r="C14" s="12">
        <v>150.0</v>
      </c>
      <c r="D14" s="12">
        <v>150.0</v>
      </c>
      <c r="E14" s="12">
        <v>150.0</v>
      </c>
      <c r="F14" s="12">
        <v>150.0</v>
      </c>
      <c r="G14" s="12">
        <v>150.0</v>
      </c>
      <c r="H14" s="12">
        <v>150.0</v>
      </c>
      <c r="I14" s="12">
        <v>150.0</v>
      </c>
      <c r="J14" s="12">
        <v>150.0</v>
      </c>
      <c r="K14" s="12">
        <v>150.0</v>
      </c>
      <c r="L14" s="12">
        <v>150.0</v>
      </c>
      <c r="M14" s="12">
        <v>150.0</v>
      </c>
      <c r="N14" s="12">
        <f t="shared" si="6"/>
        <v>1800</v>
      </c>
    </row>
    <row r="15" ht="15.75" customHeight="1">
      <c r="A15" s="15" t="s">
        <v>26</v>
      </c>
      <c r="B15" s="11">
        <v>4640.0</v>
      </c>
      <c r="C15" s="11">
        <v>4640.0</v>
      </c>
      <c r="D15" s="11">
        <v>4640.0</v>
      </c>
      <c r="E15" s="11">
        <v>4640.0</v>
      </c>
      <c r="F15" s="11">
        <v>4640.0</v>
      </c>
      <c r="G15" s="11">
        <v>4640.0</v>
      </c>
      <c r="H15" s="11">
        <v>4640.0</v>
      </c>
      <c r="I15" s="11">
        <v>4640.0</v>
      </c>
      <c r="J15" s="11">
        <v>4640.0</v>
      </c>
      <c r="K15" s="11">
        <v>4640.0</v>
      </c>
      <c r="L15" s="11">
        <v>4640.0</v>
      </c>
      <c r="M15" s="11">
        <v>4640.0</v>
      </c>
      <c r="N15" s="12">
        <f t="shared" si="6"/>
        <v>55680</v>
      </c>
    </row>
    <row r="16" ht="15.75" customHeight="1">
      <c r="A16" s="15" t="s">
        <v>27</v>
      </c>
      <c r="B16" s="11">
        <v>99000.0</v>
      </c>
      <c r="C16" s="11">
        <v>9000.0</v>
      </c>
      <c r="D16" s="11">
        <v>9000.0</v>
      </c>
      <c r="E16" s="11">
        <v>9000.0</v>
      </c>
      <c r="F16" s="11">
        <v>9000.0</v>
      </c>
      <c r="G16" s="11">
        <v>9000.0</v>
      </c>
      <c r="H16" s="11">
        <v>9000.0</v>
      </c>
      <c r="I16" s="11">
        <v>9000.0</v>
      </c>
      <c r="J16" s="11">
        <v>9000.0</v>
      </c>
      <c r="K16" s="11">
        <v>9000.0</v>
      </c>
      <c r="L16" s="11">
        <v>9000.0</v>
      </c>
      <c r="M16" s="11">
        <v>9000.0</v>
      </c>
      <c r="N16" s="12">
        <f t="shared" si="6"/>
        <v>198000</v>
      </c>
    </row>
    <row r="17" ht="15.75" customHeight="1">
      <c r="A17" s="15" t="s">
        <v>28</v>
      </c>
      <c r="B17" s="11">
        <v>8750.0</v>
      </c>
      <c r="C17" s="11">
        <v>8750.0</v>
      </c>
      <c r="D17" s="11">
        <v>8750.0</v>
      </c>
      <c r="E17" s="11">
        <v>8750.0</v>
      </c>
      <c r="F17" s="11">
        <v>8750.0</v>
      </c>
      <c r="G17" s="11">
        <v>8750.0</v>
      </c>
      <c r="H17" s="11">
        <v>8750.0</v>
      </c>
      <c r="I17" s="11">
        <v>8750.0</v>
      </c>
      <c r="J17" s="11">
        <v>8750.0</v>
      </c>
      <c r="K17" s="11">
        <v>8750.0</v>
      </c>
      <c r="L17" s="11">
        <v>8750.0</v>
      </c>
      <c r="M17" s="11">
        <v>8750.0</v>
      </c>
      <c r="N17" s="12">
        <f t="shared" si="6"/>
        <v>105000</v>
      </c>
    </row>
    <row r="18" ht="15.75" customHeight="1">
      <c r="A18" s="6" t="s">
        <v>29</v>
      </c>
      <c r="B18" s="13">
        <f t="shared" ref="B18:N18" si="7">SUM(B11:B17)</f>
        <v>120140</v>
      </c>
      <c r="C18" s="13">
        <f t="shared" si="7"/>
        <v>30140</v>
      </c>
      <c r="D18" s="13">
        <f t="shared" si="7"/>
        <v>30990</v>
      </c>
      <c r="E18" s="13">
        <f t="shared" si="7"/>
        <v>30990</v>
      </c>
      <c r="F18" s="13">
        <f t="shared" si="7"/>
        <v>30140</v>
      </c>
      <c r="G18" s="13">
        <f t="shared" si="7"/>
        <v>31140</v>
      </c>
      <c r="H18" s="13">
        <f t="shared" si="7"/>
        <v>31540</v>
      </c>
      <c r="I18" s="13">
        <f t="shared" si="7"/>
        <v>31540</v>
      </c>
      <c r="J18" s="13">
        <f t="shared" si="7"/>
        <v>31540</v>
      </c>
      <c r="K18" s="13">
        <f t="shared" si="7"/>
        <v>31540</v>
      </c>
      <c r="L18" s="13">
        <f t="shared" si="7"/>
        <v>32540</v>
      </c>
      <c r="M18" s="13">
        <f t="shared" si="7"/>
        <v>32540</v>
      </c>
      <c r="N18" s="13">
        <f t="shared" si="7"/>
        <v>464780</v>
      </c>
    </row>
    <row r="19" ht="15.75" customHeight="1">
      <c r="A19" s="15" t="s">
        <v>30</v>
      </c>
      <c r="B19" s="16">
        <v>0.07</v>
      </c>
      <c r="C19" s="16">
        <v>0.07</v>
      </c>
      <c r="D19" s="16">
        <v>0.07</v>
      </c>
      <c r="E19" s="16">
        <v>0.07</v>
      </c>
      <c r="F19" s="16">
        <v>0.07</v>
      </c>
      <c r="G19" s="16">
        <v>0.07</v>
      </c>
      <c r="H19" s="16">
        <v>0.07</v>
      </c>
      <c r="I19" s="16">
        <v>0.07</v>
      </c>
      <c r="J19" s="16">
        <v>0.07</v>
      </c>
      <c r="K19" s="16">
        <v>0.07</v>
      </c>
      <c r="L19" s="16">
        <v>0.07</v>
      </c>
      <c r="M19" s="16">
        <v>0.07</v>
      </c>
      <c r="N19" s="16">
        <v>0.07</v>
      </c>
    </row>
    <row r="20" ht="15.75" customHeight="1">
      <c r="A20" s="15" t="s">
        <v>31</v>
      </c>
      <c r="B20" s="17">
        <v>0.06</v>
      </c>
      <c r="C20" s="17">
        <v>0.06</v>
      </c>
      <c r="D20" s="17">
        <v>0.06</v>
      </c>
      <c r="E20" s="17">
        <v>0.06</v>
      </c>
      <c r="F20" s="17">
        <v>0.06</v>
      </c>
      <c r="G20" s="17">
        <v>0.06</v>
      </c>
      <c r="H20" s="17">
        <v>0.06</v>
      </c>
      <c r="I20" s="17">
        <v>0.06</v>
      </c>
      <c r="J20" s="17">
        <v>0.06</v>
      </c>
      <c r="K20" s="17">
        <v>0.06</v>
      </c>
      <c r="L20" s="17">
        <v>0.06</v>
      </c>
      <c r="M20" s="17">
        <v>0.06</v>
      </c>
      <c r="N20" s="17">
        <v>0.06</v>
      </c>
    </row>
    <row r="21" ht="15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ht="15.75" customHeight="1">
      <c r="A22" s="18" t="s">
        <v>32</v>
      </c>
      <c r="B22" s="19"/>
      <c r="C22" s="19"/>
      <c r="D22" s="19"/>
      <c r="E22" s="19"/>
      <c r="F22" s="19"/>
      <c r="G22" s="12"/>
      <c r="H22" s="12"/>
      <c r="I22" s="12"/>
      <c r="J22" s="12"/>
      <c r="K22" s="12"/>
      <c r="L22" s="12"/>
      <c r="M22" s="12"/>
      <c r="N22" s="12"/>
    </row>
    <row r="23" ht="15.75" customHeight="1">
      <c r="A23" s="15" t="s">
        <v>33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ht="15.75" customHeight="1">
      <c r="A24" s="8" t="s">
        <v>34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ht="15.75" customHeight="1">
      <c r="A25" s="20" t="s">
        <v>35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ht="15.75" customHeight="1">
      <c r="A26" s="8" t="s">
        <v>36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5.75" customHeight="1">
      <c r="A27" s="8" t="s">
        <v>37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ht="15.75" customHeight="1">
      <c r="A28" s="8" t="s">
        <v>38</v>
      </c>
      <c r="B28" s="17"/>
      <c r="C28" s="17"/>
      <c r="D28" s="17"/>
      <c r="E28" s="17"/>
      <c r="F28" s="21"/>
      <c r="G28" s="17"/>
      <c r="H28" s="17"/>
      <c r="I28" s="17"/>
      <c r="J28" s="17"/>
      <c r="K28" s="17"/>
      <c r="L28" s="17"/>
      <c r="M28" s="17"/>
      <c r="N28" s="17"/>
    </row>
    <row r="29" ht="15.75" customHeight="1">
      <c r="A29" s="8" t="s">
        <v>39</v>
      </c>
    </row>
    <row r="30" ht="15.75" customHeight="1">
      <c r="A30" s="8" t="s">
        <v>40</v>
      </c>
    </row>
    <row r="31" ht="15.75" customHeight="1">
      <c r="A31" s="8" t="s">
        <v>41</v>
      </c>
    </row>
    <row r="32" ht="15.75" customHeight="1">
      <c r="A32" s="8" t="s">
        <v>42</v>
      </c>
    </row>
    <row r="33" ht="15.75" customHeight="1">
      <c r="A33" s="8" t="s">
        <v>43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ht="15.75" customHeight="1">
      <c r="A34" s="8" t="s">
        <v>44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3"/>
    </row>
    <row r="35" ht="15.75" customHeight="1">
      <c r="A35" s="8" t="s">
        <v>45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3"/>
    </row>
    <row r="36" ht="15.75" customHeight="1">
      <c r="A36" s="8" t="s">
        <v>46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ht="15.75" customHeight="1">
      <c r="A37" s="8" t="s">
        <v>47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ht="15.75" customHeight="1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ht="15.75" customHeight="1">
      <c r="A39" s="2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ht="15.75" customHeight="1">
      <c r="A40" s="1" t="s">
        <v>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5.75" customHeight="1">
      <c r="A41" s="3" t="s">
        <v>1</v>
      </c>
      <c r="B41" s="25" t="s">
        <v>2</v>
      </c>
      <c r="C41" s="25" t="s">
        <v>3</v>
      </c>
      <c r="D41" s="25" t="s">
        <v>4</v>
      </c>
      <c r="E41" s="25" t="s">
        <v>5</v>
      </c>
      <c r="F41" s="25" t="s">
        <v>6</v>
      </c>
      <c r="G41" s="25" t="s">
        <v>7</v>
      </c>
      <c r="H41" s="25" t="s">
        <v>8</v>
      </c>
      <c r="I41" s="25" t="s">
        <v>9</v>
      </c>
      <c r="J41" s="25" t="s">
        <v>10</v>
      </c>
      <c r="K41" s="25" t="s">
        <v>11</v>
      </c>
      <c r="L41" s="25" t="s">
        <v>12</v>
      </c>
      <c r="M41" s="25" t="s">
        <v>13</v>
      </c>
      <c r="N41" s="26" t="s">
        <v>14</v>
      </c>
    </row>
    <row r="42" ht="15.75" customHeight="1">
      <c r="A42" s="14" t="s">
        <v>15</v>
      </c>
    </row>
    <row r="43" ht="15.75" customHeight="1">
      <c r="A43" s="8" t="s">
        <v>16</v>
      </c>
      <c r="B43" s="9">
        <v>523.0</v>
      </c>
      <c r="C43" s="9">
        <v>1014.0</v>
      </c>
      <c r="D43" s="9">
        <v>1646.0</v>
      </c>
      <c r="E43" s="8">
        <v>2346.0</v>
      </c>
      <c r="F43" s="8">
        <v>2931.0</v>
      </c>
      <c r="G43" s="8">
        <v>3468.0</v>
      </c>
      <c r="H43" s="8">
        <v>3979.0</v>
      </c>
      <c r="I43" s="8">
        <v>4463.0</v>
      </c>
      <c r="J43" s="8">
        <v>4988.0</v>
      </c>
      <c r="K43" s="8">
        <v>5502.0</v>
      </c>
      <c r="L43" s="8">
        <v>6335.0</v>
      </c>
      <c r="M43" s="8">
        <v>7245.0</v>
      </c>
      <c r="N43" s="10">
        <f>M43</f>
        <v>7245</v>
      </c>
    </row>
    <row r="44" ht="15.75" customHeight="1">
      <c r="A44" s="8" t="s">
        <v>17</v>
      </c>
      <c r="B44" s="10">
        <v>523.0</v>
      </c>
      <c r="C44" s="10">
        <f t="shared" ref="C44:M44" si="8">C43-B43</f>
        <v>491</v>
      </c>
      <c r="D44" s="10">
        <f t="shared" si="8"/>
        <v>632</v>
      </c>
      <c r="E44" s="10">
        <f t="shared" si="8"/>
        <v>700</v>
      </c>
      <c r="F44" s="10">
        <f t="shared" si="8"/>
        <v>585</v>
      </c>
      <c r="G44" s="10">
        <f t="shared" si="8"/>
        <v>537</v>
      </c>
      <c r="H44" s="10">
        <f t="shared" si="8"/>
        <v>511</v>
      </c>
      <c r="I44" s="10">
        <f t="shared" si="8"/>
        <v>484</v>
      </c>
      <c r="J44" s="10">
        <f t="shared" si="8"/>
        <v>525</v>
      </c>
      <c r="K44" s="10">
        <f t="shared" si="8"/>
        <v>514</v>
      </c>
      <c r="L44" s="10">
        <f t="shared" si="8"/>
        <v>833</v>
      </c>
      <c r="M44" s="10">
        <f t="shared" si="8"/>
        <v>910</v>
      </c>
      <c r="N44" s="10">
        <f>SUM(B44:M44)</f>
        <v>7245</v>
      </c>
    </row>
    <row r="45" ht="15.75" customHeight="1">
      <c r="A45" s="27" t="s">
        <v>49</v>
      </c>
      <c r="B45" s="27">
        <v>200.0</v>
      </c>
      <c r="C45" s="27">
        <v>254.0</v>
      </c>
      <c r="D45" s="27">
        <v>274.0</v>
      </c>
      <c r="E45" s="27">
        <v>322.0</v>
      </c>
      <c r="F45" s="27">
        <v>349.0</v>
      </c>
      <c r="G45" s="27">
        <v>363.0</v>
      </c>
      <c r="H45" s="27">
        <v>411.0</v>
      </c>
      <c r="I45" s="27">
        <v>415.0</v>
      </c>
      <c r="J45" s="27">
        <v>446.0</v>
      </c>
      <c r="K45" s="27">
        <v>473.0</v>
      </c>
      <c r="L45" s="27">
        <v>435.0</v>
      </c>
      <c r="M45" s="27">
        <v>450.0</v>
      </c>
      <c r="N45" s="27">
        <f>M45</f>
        <v>450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9" t="s">
        <v>50</v>
      </c>
      <c r="B46" s="29">
        <v>200.0</v>
      </c>
      <c r="C46" s="28">
        <f t="shared" ref="C46:M46" si="9">C45-B45</f>
        <v>54</v>
      </c>
      <c r="D46" s="28">
        <f t="shared" si="9"/>
        <v>20</v>
      </c>
      <c r="E46" s="28">
        <f t="shared" si="9"/>
        <v>48</v>
      </c>
      <c r="F46" s="28">
        <f t="shared" si="9"/>
        <v>27</v>
      </c>
      <c r="G46" s="28">
        <f t="shared" si="9"/>
        <v>14</v>
      </c>
      <c r="H46" s="28">
        <f t="shared" si="9"/>
        <v>48</v>
      </c>
      <c r="I46" s="28">
        <f t="shared" si="9"/>
        <v>4</v>
      </c>
      <c r="J46" s="28">
        <f t="shared" si="9"/>
        <v>31</v>
      </c>
      <c r="K46" s="28">
        <f t="shared" si="9"/>
        <v>27</v>
      </c>
      <c r="L46" s="28">
        <f t="shared" si="9"/>
        <v>-38</v>
      </c>
      <c r="M46" s="28">
        <f t="shared" si="9"/>
        <v>15</v>
      </c>
      <c r="N46" s="29">
        <f t="shared" ref="N46:N47" si="10">SUM(B46:M46)</f>
        <v>450</v>
      </c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30" t="s">
        <v>51</v>
      </c>
      <c r="B47" s="30">
        <v>25.0</v>
      </c>
      <c r="C47" s="30">
        <v>25.0</v>
      </c>
      <c r="D47" s="30">
        <v>25.0</v>
      </c>
      <c r="E47" s="30">
        <v>25.0</v>
      </c>
      <c r="F47" s="30">
        <v>25.0</v>
      </c>
      <c r="G47" s="30">
        <v>25.0</v>
      </c>
      <c r="H47" s="30">
        <v>25.0</v>
      </c>
      <c r="I47" s="30">
        <v>25.0</v>
      </c>
      <c r="J47" s="30">
        <v>25.0</v>
      </c>
      <c r="K47" s="30">
        <v>25.0</v>
      </c>
      <c r="L47" s="30">
        <v>25.0</v>
      </c>
      <c r="M47" s="30">
        <v>25.0</v>
      </c>
      <c r="N47" s="31">
        <f t="shared" si="10"/>
        <v>300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8" t="s">
        <v>19</v>
      </c>
      <c r="B48" s="11">
        <v>900.0</v>
      </c>
      <c r="C48" s="11">
        <v>900.0</v>
      </c>
      <c r="D48" s="11">
        <v>900.0</v>
      </c>
      <c r="E48" s="11">
        <v>900.0</v>
      </c>
      <c r="F48" s="11">
        <v>900.0</v>
      </c>
      <c r="G48" s="11">
        <v>900.0</v>
      </c>
      <c r="H48" s="11">
        <v>900.0</v>
      </c>
      <c r="I48" s="11">
        <v>900.0</v>
      </c>
      <c r="J48" s="11">
        <v>900.0</v>
      </c>
      <c r="K48" s="11">
        <v>900.0</v>
      </c>
      <c r="L48" s="11">
        <v>900.0</v>
      </c>
      <c r="M48" s="11">
        <v>900.0</v>
      </c>
      <c r="N48" s="12">
        <f>AVERAGE(B48:M48)</f>
        <v>900</v>
      </c>
    </row>
    <row r="49" ht="15.75" customHeight="1">
      <c r="A49" s="6" t="s">
        <v>20</v>
      </c>
      <c r="B49" s="13">
        <f t="shared" ref="B49:N49" si="11">B48*B44+B45*B47</f>
        <v>475700</v>
      </c>
      <c r="C49" s="13">
        <f t="shared" si="11"/>
        <v>448250</v>
      </c>
      <c r="D49" s="13">
        <f t="shared" si="11"/>
        <v>575650</v>
      </c>
      <c r="E49" s="13">
        <f t="shared" si="11"/>
        <v>638050</v>
      </c>
      <c r="F49" s="13">
        <f t="shared" si="11"/>
        <v>535225</v>
      </c>
      <c r="G49" s="13">
        <f t="shared" si="11"/>
        <v>492375</v>
      </c>
      <c r="H49" s="13">
        <f t="shared" si="11"/>
        <v>470175</v>
      </c>
      <c r="I49" s="13">
        <f t="shared" si="11"/>
        <v>445975</v>
      </c>
      <c r="J49" s="13">
        <f t="shared" si="11"/>
        <v>483650</v>
      </c>
      <c r="K49" s="13">
        <f t="shared" si="11"/>
        <v>474425</v>
      </c>
      <c r="L49" s="13">
        <f t="shared" si="11"/>
        <v>760575</v>
      </c>
      <c r="M49" s="13">
        <f t="shared" si="11"/>
        <v>830250</v>
      </c>
      <c r="N49" s="13">
        <f t="shared" si="11"/>
        <v>6655500</v>
      </c>
    </row>
    <row r="50" ht="15.75" customHeight="1">
      <c r="A50" s="14" t="s">
        <v>21</v>
      </c>
    </row>
    <row r="51" ht="15.75" customHeight="1">
      <c r="A51" s="15" t="s">
        <v>22</v>
      </c>
      <c r="B51" s="11">
        <v>1200.0</v>
      </c>
      <c r="C51" s="11">
        <v>1200.0</v>
      </c>
      <c r="D51" s="11">
        <v>1200.0</v>
      </c>
      <c r="E51" s="11">
        <v>1200.0</v>
      </c>
      <c r="F51" s="11">
        <v>1200.0</v>
      </c>
      <c r="G51" s="11">
        <v>1200.0</v>
      </c>
      <c r="H51" s="11">
        <v>1200.0</v>
      </c>
      <c r="I51" s="11">
        <v>1200.0</v>
      </c>
      <c r="J51" s="11">
        <v>1200.0</v>
      </c>
      <c r="K51" s="11">
        <v>1200.0</v>
      </c>
      <c r="L51" s="11">
        <v>1200.0</v>
      </c>
      <c r="M51" s="11">
        <v>1200.0</v>
      </c>
      <c r="N51" s="12">
        <f t="shared" ref="N51:N57" si="13">SUM(B51:M51)</f>
        <v>14400</v>
      </c>
    </row>
    <row r="52" ht="15.75" customHeight="1">
      <c r="A52" s="15" t="s">
        <v>23</v>
      </c>
      <c r="B52" s="12">
        <f t="shared" ref="B52:M52" si="12">(B44+B45)*15</f>
        <v>10845</v>
      </c>
      <c r="C52" s="12">
        <f t="shared" si="12"/>
        <v>11175</v>
      </c>
      <c r="D52" s="12">
        <f t="shared" si="12"/>
        <v>13590</v>
      </c>
      <c r="E52" s="12">
        <f t="shared" si="12"/>
        <v>15330</v>
      </c>
      <c r="F52" s="12">
        <f t="shared" si="12"/>
        <v>14010</v>
      </c>
      <c r="G52" s="12">
        <f t="shared" si="12"/>
        <v>13500</v>
      </c>
      <c r="H52" s="12">
        <f t="shared" si="12"/>
        <v>13830</v>
      </c>
      <c r="I52" s="12">
        <f t="shared" si="12"/>
        <v>13485</v>
      </c>
      <c r="J52" s="12">
        <f t="shared" si="12"/>
        <v>14565</v>
      </c>
      <c r="K52" s="12">
        <f t="shared" si="12"/>
        <v>14805</v>
      </c>
      <c r="L52" s="12">
        <f t="shared" si="12"/>
        <v>19020</v>
      </c>
      <c r="M52" s="12">
        <f t="shared" si="12"/>
        <v>20400</v>
      </c>
      <c r="N52" s="12">
        <f t="shared" si="13"/>
        <v>174555</v>
      </c>
    </row>
    <row r="53" ht="15.75" customHeight="1">
      <c r="A53" s="15" t="s">
        <v>24</v>
      </c>
      <c r="B53" s="11">
        <v>4500.0</v>
      </c>
      <c r="C53" s="11">
        <v>4500.0</v>
      </c>
      <c r="D53" s="11">
        <v>4500.0</v>
      </c>
      <c r="E53" s="11">
        <v>4500.0</v>
      </c>
      <c r="F53" s="11">
        <v>4500.0</v>
      </c>
      <c r="G53" s="11">
        <v>4500.0</v>
      </c>
      <c r="H53" s="11">
        <v>4500.0</v>
      </c>
      <c r="I53" s="11">
        <v>4500.0</v>
      </c>
      <c r="J53" s="11">
        <v>4500.0</v>
      </c>
      <c r="K53" s="11">
        <v>5500.0</v>
      </c>
      <c r="L53" s="11">
        <v>5500.0</v>
      </c>
      <c r="M53" s="11">
        <v>5500.0</v>
      </c>
      <c r="N53" s="12">
        <f t="shared" si="13"/>
        <v>57000</v>
      </c>
    </row>
    <row r="54" ht="15.75" customHeight="1">
      <c r="A54" s="15" t="s">
        <v>25</v>
      </c>
      <c r="B54" s="11">
        <v>160.0</v>
      </c>
      <c r="C54" s="11">
        <v>160.0</v>
      </c>
      <c r="D54" s="11">
        <v>160.0</v>
      </c>
      <c r="E54" s="11">
        <v>160.0</v>
      </c>
      <c r="F54" s="11">
        <v>160.0</v>
      </c>
      <c r="G54" s="11">
        <v>160.0</v>
      </c>
      <c r="H54" s="11">
        <v>160.0</v>
      </c>
      <c r="I54" s="11">
        <v>160.0</v>
      </c>
      <c r="J54" s="11">
        <v>160.0</v>
      </c>
      <c r="K54" s="11">
        <v>160.0</v>
      </c>
      <c r="L54" s="11">
        <v>160.0</v>
      </c>
      <c r="M54" s="11">
        <v>160.0</v>
      </c>
      <c r="N54" s="12">
        <f t="shared" si="13"/>
        <v>1920</v>
      </c>
    </row>
    <row r="55" ht="15.75" customHeight="1">
      <c r="A55" s="15" t="s">
        <v>26</v>
      </c>
      <c r="B55" s="11">
        <v>6656.0</v>
      </c>
      <c r="C55" s="11">
        <v>6656.0</v>
      </c>
      <c r="D55" s="11">
        <v>6656.0</v>
      </c>
      <c r="E55" s="11">
        <v>6656.0</v>
      </c>
      <c r="F55" s="11">
        <v>6656.0</v>
      </c>
      <c r="G55" s="11">
        <v>6656.0</v>
      </c>
      <c r="H55" s="11">
        <v>6656.0</v>
      </c>
      <c r="I55" s="11">
        <v>6656.0</v>
      </c>
      <c r="J55" s="11">
        <v>6656.0</v>
      </c>
      <c r="K55" s="11">
        <v>6656.0</v>
      </c>
      <c r="L55" s="11">
        <v>6656.0</v>
      </c>
      <c r="M55" s="11">
        <v>6656.0</v>
      </c>
      <c r="N55" s="12">
        <f t="shared" si="13"/>
        <v>79872</v>
      </c>
    </row>
    <row r="56" ht="15.75" customHeight="1">
      <c r="A56" s="15" t="s">
        <v>27</v>
      </c>
      <c r="B56" s="11">
        <v>15000.0</v>
      </c>
      <c r="C56" s="11">
        <v>15000.0</v>
      </c>
      <c r="D56" s="11">
        <v>15000.0</v>
      </c>
      <c r="E56" s="11">
        <v>15000.0</v>
      </c>
      <c r="F56" s="11">
        <v>15000.0</v>
      </c>
      <c r="G56" s="11">
        <v>15000.0</v>
      </c>
      <c r="H56" s="11">
        <v>15000.0</v>
      </c>
      <c r="I56" s="11">
        <v>15000.0</v>
      </c>
      <c r="J56" s="11">
        <v>15000.0</v>
      </c>
      <c r="K56" s="11">
        <v>15000.0</v>
      </c>
      <c r="L56" s="11">
        <v>15000.0</v>
      </c>
      <c r="M56" s="11">
        <v>15000.0</v>
      </c>
      <c r="N56" s="12">
        <f t="shared" si="13"/>
        <v>180000</v>
      </c>
    </row>
    <row r="57" ht="15.75" customHeight="1">
      <c r="A57" s="15" t="s">
        <v>28</v>
      </c>
      <c r="B57" s="11">
        <v>8750.0</v>
      </c>
      <c r="C57" s="11">
        <v>8750.0</v>
      </c>
      <c r="D57" s="11">
        <v>8750.0</v>
      </c>
      <c r="E57" s="11">
        <v>8750.0</v>
      </c>
      <c r="F57" s="11">
        <v>8750.0</v>
      </c>
      <c r="G57" s="11">
        <v>8750.0</v>
      </c>
      <c r="H57" s="11">
        <v>8750.0</v>
      </c>
      <c r="I57" s="11">
        <v>8750.0</v>
      </c>
      <c r="J57" s="11">
        <v>8750.0</v>
      </c>
      <c r="K57" s="11">
        <v>8750.0</v>
      </c>
      <c r="L57" s="11">
        <v>8750.0</v>
      </c>
      <c r="M57" s="11">
        <v>8750.0</v>
      </c>
      <c r="N57" s="12">
        <f t="shared" si="13"/>
        <v>105000</v>
      </c>
    </row>
    <row r="58" ht="15.75" customHeight="1">
      <c r="A58" s="6" t="s">
        <v>29</v>
      </c>
      <c r="B58" s="13">
        <f t="shared" ref="B58:N58" si="14">SUM(B51:B57)</f>
        <v>47111</v>
      </c>
      <c r="C58" s="13">
        <f t="shared" si="14"/>
        <v>47441</v>
      </c>
      <c r="D58" s="13">
        <f t="shared" si="14"/>
        <v>49856</v>
      </c>
      <c r="E58" s="13">
        <f t="shared" si="14"/>
        <v>51596</v>
      </c>
      <c r="F58" s="13">
        <f t="shared" si="14"/>
        <v>50276</v>
      </c>
      <c r="G58" s="13">
        <f t="shared" si="14"/>
        <v>49766</v>
      </c>
      <c r="H58" s="13">
        <f t="shared" si="14"/>
        <v>50096</v>
      </c>
      <c r="I58" s="13">
        <f t="shared" si="14"/>
        <v>49751</v>
      </c>
      <c r="J58" s="13">
        <f t="shared" si="14"/>
        <v>50831</v>
      </c>
      <c r="K58" s="13">
        <f t="shared" si="14"/>
        <v>52071</v>
      </c>
      <c r="L58" s="13">
        <f t="shared" si="14"/>
        <v>56286</v>
      </c>
      <c r="M58" s="13">
        <f t="shared" si="14"/>
        <v>57666</v>
      </c>
      <c r="N58" s="13">
        <f t="shared" si="14"/>
        <v>612747</v>
      </c>
    </row>
    <row r="59" ht="15.75" customHeight="1">
      <c r="A59" s="15" t="s">
        <v>30</v>
      </c>
      <c r="B59" s="16">
        <v>0.07</v>
      </c>
      <c r="C59" s="16">
        <v>0.07</v>
      </c>
      <c r="D59" s="16">
        <v>0.07</v>
      </c>
      <c r="E59" s="16">
        <v>0.07</v>
      </c>
      <c r="F59" s="16">
        <v>0.07</v>
      </c>
      <c r="G59" s="16">
        <v>0.07</v>
      </c>
      <c r="H59" s="16">
        <v>0.07</v>
      </c>
      <c r="I59" s="16">
        <v>0.07</v>
      </c>
      <c r="J59" s="16">
        <v>0.07</v>
      </c>
      <c r="K59" s="16">
        <v>0.07</v>
      </c>
      <c r="L59" s="16">
        <v>0.07</v>
      </c>
      <c r="M59" s="16">
        <v>0.07</v>
      </c>
      <c r="N59" s="16">
        <v>0.07</v>
      </c>
    </row>
    <row r="60" ht="15.75" customHeight="1">
      <c r="A60" s="15" t="s">
        <v>31</v>
      </c>
      <c r="B60" s="17">
        <v>0.06</v>
      </c>
      <c r="C60" s="17">
        <v>0.06</v>
      </c>
      <c r="D60" s="17">
        <v>0.06</v>
      </c>
      <c r="E60" s="17">
        <v>0.06</v>
      </c>
      <c r="F60" s="17">
        <v>0.06</v>
      </c>
      <c r="G60" s="17">
        <v>0.06</v>
      </c>
      <c r="H60" s="17">
        <v>0.06</v>
      </c>
      <c r="I60" s="17">
        <v>0.06</v>
      </c>
      <c r="J60" s="17">
        <v>0.06</v>
      </c>
      <c r="K60" s="17">
        <v>0.06</v>
      </c>
      <c r="L60" s="17">
        <v>0.06</v>
      </c>
      <c r="M60" s="17">
        <v>0.06</v>
      </c>
      <c r="N60" s="17">
        <v>0.06</v>
      </c>
    </row>
    <row r="61" ht="15.75" customHeight="1">
      <c r="A61" s="6"/>
    </row>
    <row r="62" ht="15.75" customHeight="1">
      <c r="A62" s="33" t="s">
        <v>52</v>
      </c>
      <c r="B62" s="34"/>
      <c r="C62" s="34"/>
      <c r="D62" s="34"/>
      <c r="E62" s="34"/>
    </row>
    <row r="63" ht="15.75" customHeight="1">
      <c r="A63" s="6" t="s">
        <v>53</v>
      </c>
    </row>
    <row r="64" ht="15.75" customHeight="1">
      <c r="A64" s="8" t="s">
        <v>54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3"/>
    </row>
    <row r="65" ht="15.75" customHeight="1">
      <c r="A65" s="8" t="s">
        <v>55</v>
      </c>
    </row>
    <row r="66" ht="15.75" customHeight="1">
      <c r="A66" s="6"/>
      <c r="B66" s="28">
        <f t="shared" ref="B66:F66" si="15">B72+200</f>
        <v>1150</v>
      </c>
      <c r="C66" s="28">
        <f t="shared" si="15"/>
        <v>1199</v>
      </c>
      <c r="D66" s="28">
        <f t="shared" si="15"/>
        <v>1262</v>
      </c>
      <c r="E66" s="28">
        <f t="shared" si="15"/>
        <v>1321</v>
      </c>
      <c r="F66" s="28">
        <f t="shared" si="15"/>
        <v>1345</v>
      </c>
      <c r="G66" s="28">
        <f t="shared" ref="G66:M66" si="16">G72+300</f>
        <v>1567</v>
      </c>
      <c r="H66" s="28">
        <f t="shared" si="16"/>
        <v>1596</v>
      </c>
      <c r="I66" s="28">
        <f t="shared" si="16"/>
        <v>1612</v>
      </c>
      <c r="J66" s="28">
        <f t="shared" si="16"/>
        <v>1645</v>
      </c>
      <c r="K66" s="28">
        <f t="shared" si="16"/>
        <v>1678</v>
      </c>
      <c r="L66" s="28">
        <f t="shared" si="16"/>
        <v>1754</v>
      </c>
      <c r="M66" s="28">
        <f t="shared" si="16"/>
        <v>1832</v>
      </c>
    </row>
    <row r="67" ht="15.75" customHeight="1">
      <c r="A67" s="1" t="s">
        <v>56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5.75" customHeight="1">
      <c r="A68" s="3" t="s">
        <v>1</v>
      </c>
      <c r="B68" s="25" t="s">
        <v>2</v>
      </c>
      <c r="C68" s="25" t="s">
        <v>3</v>
      </c>
      <c r="D68" s="25" t="s">
        <v>4</v>
      </c>
      <c r="E68" s="25" t="s">
        <v>5</v>
      </c>
      <c r="F68" s="25" t="s">
        <v>6</v>
      </c>
      <c r="G68" s="25" t="s">
        <v>7</v>
      </c>
      <c r="H68" s="25" t="s">
        <v>8</v>
      </c>
      <c r="I68" s="25" t="s">
        <v>9</v>
      </c>
      <c r="J68" s="25" t="s">
        <v>10</v>
      </c>
      <c r="K68" s="25" t="s">
        <v>11</v>
      </c>
      <c r="L68" s="25" t="s">
        <v>12</v>
      </c>
      <c r="M68" s="25" t="s">
        <v>13</v>
      </c>
      <c r="N68" s="26" t="s">
        <v>14</v>
      </c>
    </row>
    <row r="69" ht="15.75" customHeight="1">
      <c r="A69" s="14" t="s">
        <v>15</v>
      </c>
    </row>
    <row r="70" ht="15.75" customHeight="1">
      <c r="A70" s="8" t="s">
        <v>16</v>
      </c>
      <c r="B70" s="9">
        <v>872.0</v>
      </c>
      <c r="C70" s="9">
        <v>1627.0</v>
      </c>
      <c r="D70" s="9">
        <v>2263.0</v>
      </c>
      <c r="E70" s="8">
        <v>2942.0</v>
      </c>
      <c r="F70" s="8">
        <v>3659.0</v>
      </c>
      <c r="G70" s="8">
        <v>4283.0</v>
      </c>
      <c r="H70" s="8">
        <v>4920.0</v>
      </c>
      <c r="I70" s="8">
        <v>5657.0</v>
      </c>
      <c r="J70" s="8">
        <v>6560.0</v>
      </c>
      <c r="K70" s="8">
        <v>7487.0</v>
      </c>
      <c r="L70" s="8">
        <v>8422.0</v>
      </c>
      <c r="M70" s="8">
        <v>9578.0</v>
      </c>
      <c r="N70" s="10">
        <f>M70</f>
        <v>9578</v>
      </c>
    </row>
    <row r="71" ht="15.75" customHeight="1">
      <c r="A71" s="8" t="s">
        <v>17</v>
      </c>
      <c r="B71" s="10">
        <f>B70</f>
        <v>872</v>
      </c>
      <c r="C71" s="9">
        <f t="shared" ref="C71:M71" si="17">C70-B70</f>
        <v>755</v>
      </c>
      <c r="D71" s="9">
        <f t="shared" si="17"/>
        <v>636</v>
      </c>
      <c r="E71" s="9">
        <f t="shared" si="17"/>
        <v>679</v>
      </c>
      <c r="F71" s="9">
        <f t="shared" si="17"/>
        <v>717</v>
      </c>
      <c r="G71" s="9">
        <f t="shared" si="17"/>
        <v>624</v>
      </c>
      <c r="H71" s="9">
        <f t="shared" si="17"/>
        <v>637</v>
      </c>
      <c r="I71" s="9">
        <f t="shared" si="17"/>
        <v>737</v>
      </c>
      <c r="J71" s="9">
        <f t="shared" si="17"/>
        <v>903</v>
      </c>
      <c r="K71" s="9">
        <f t="shared" si="17"/>
        <v>927</v>
      </c>
      <c r="L71" s="9">
        <f t="shared" si="17"/>
        <v>935</v>
      </c>
      <c r="M71" s="9">
        <f t="shared" si="17"/>
        <v>1156</v>
      </c>
      <c r="N71" s="10">
        <f>SUM(B71:M71)</f>
        <v>9578</v>
      </c>
    </row>
    <row r="72" ht="15.75" customHeight="1">
      <c r="A72" s="27" t="s">
        <v>49</v>
      </c>
      <c r="B72" s="27">
        <v>950.0</v>
      </c>
      <c r="C72" s="27">
        <v>999.0</v>
      </c>
      <c r="D72" s="27">
        <v>1062.0</v>
      </c>
      <c r="E72" s="27">
        <v>1121.0</v>
      </c>
      <c r="F72" s="27">
        <v>1145.0</v>
      </c>
      <c r="G72" s="27">
        <v>1267.0</v>
      </c>
      <c r="H72" s="27">
        <v>1296.0</v>
      </c>
      <c r="I72" s="27">
        <v>1312.0</v>
      </c>
      <c r="J72" s="27">
        <v>1345.0</v>
      </c>
      <c r="K72" s="27">
        <v>1378.0</v>
      </c>
      <c r="L72" s="27">
        <v>1454.0</v>
      </c>
      <c r="M72" s="27">
        <v>1532.0</v>
      </c>
      <c r="N72" s="27">
        <f>M72</f>
        <v>1532</v>
      </c>
    </row>
    <row r="73" ht="15.75" customHeight="1">
      <c r="A73" s="29" t="s">
        <v>50</v>
      </c>
      <c r="B73" s="28">
        <f>B72</f>
        <v>950</v>
      </c>
      <c r="C73" s="28">
        <f t="shared" ref="C73:M73" si="18">C72-B72</f>
        <v>49</v>
      </c>
      <c r="D73" s="28">
        <f t="shared" si="18"/>
        <v>63</v>
      </c>
      <c r="E73" s="28">
        <f t="shared" si="18"/>
        <v>59</v>
      </c>
      <c r="F73" s="28">
        <f t="shared" si="18"/>
        <v>24</v>
      </c>
      <c r="G73" s="28">
        <f t="shared" si="18"/>
        <v>122</v>
      </c>
      <c r="H73" s="28">
        <f t="shared" si="18"/>
        <v>29</v>
      </c>
      <c r="I73" s="28">
        <f t="shared" si="18"/>
        <v>16</v>
      </c>
      <c r="J73" s="28">
        <f t="shared" si="18"/>
        <v>33</v>
      </c>
      <c r="K73" s="28">
        <f t="shared" si="18"/>
        <v>33</v>
      </c>
      <c r="L73" s="28">
        <f t="shared" si="18"/>
        <v>76</v>
      </c>
      <c r="M73" s="28">
        <f t="shared" si="18"/>
        <v>78</v>
      </c>
      <c r="N73" s="28">
        <f>SUM(B73:M73)</f>
        <v>1532</v>
      </c>
    </row>
    <row r="74" ht="15.75" customHeight="1">
      <c r="A74" s="30" t="s">
        <v>51</v>
      </c>
      <c r="B74" s="30">
        <v>25.0</v>
      </c>
      <c r="C74" s="30">
        <v>25.0</v>
      </c>
      <c r="D74" s="30">
        <v>25.0</v>
      </c>
      <c r="E74" s="30">
        <v>25.0</v>
      </c>
      <c r="F74" s="30">
        <v>25.0</v>
      </c>
      <c r="G74" s="30">
        <v>25.0</v>
      </c>
      <c r="H74" s="30">
        <v>25.0</v>
      </c>
      <c r="I74" s="30">
        <v>25.0</v>
      </c>
      <c r="J74" s="30">
        <v>25.0</v>
      </c>
      <c r="K74" s="30">
        <v>25.0</v>
      </c>
      <c r="L74" s="30">
        <v>25.0</v>
      </c>
      <c r="M74" s="30">
        <v>25.0</v>
      </c>
      <c r="N74" s="30">
        <v>25.0</v>
      </c>
    </row>
    <row r="75" ht="15.75" customHeight="1">
      <c r="A75" s="8" t="s">
        <v>19</v>
      </c>
      <c r="B75" s="11">
        <v>900.0</v>
      </c>
      <c r="C75" s="11">
        <v>900.0</v>
      </c>
      <c r="D75" s="11">
        <v>900.0</v>
      </c>
      <c r="E75" s="11">
        <v>900.0</v>
      </c>
      <c r="F75" s="11">
        <v>900.0</v>
      </c>
      <c r="G75" s="11">
        <v>900.0</v>
      </c>
      <c r="H75" s="11">
        <v>900.0</v>
      </c>
      <c r="I75" s="11">
        <v>900.0</v>
      </c>
      <c r="J75" s="11">
        <v>900.0</v>
      </c>
      <c r="K75" s="11">
        <v>900.0</v>
      </c>
      <c r="L75" s="11">
        <v>900.0</v>
      </c>
      <c r="M75" s="11">
        <v>900.0</v>
      </c>
      <c r="N75" s="12">
        <f>AVERAGE(B75:M75)</f>
        <v>900</v>
      </c>
    </row>
    <row r="76" ht="15.75" customHeight="1">
      <c r="A76" s="6" t="s">
        <v>20</v>
      </c>
      <c r="B76" s="13">
        <f t="shared" ref="B76:N76" si="19">B75*B71+B72*B74</f>
        <v>808550</v>
      </c>
      <c r="C76" s="13">
        <f t="shared" si="19"/>
        <v>704475</v>
      </c>
      <c r="D76" s="13">
        <f t="shared" si="19"/>
        <v>598950</v>
      </c>
      <c r="E76" s="13">
        <f t="shared" si="19"/>
        <v>639125</v>
      </c>
      <c r="F76" s="13">
        <f t="shared" si="19"/>
        <v>673925</v>
      </c>
      <c r="G76" s="13">
        <f t="shared" si="19"/>
        <v>593275</v>
      </c>
      <c r="H76" s="13">
        <f t="shared" si="19"/>
        <v>605700</v>
      </c>
      <c r="I76" s="13">
        <f t="shared" si="19"/>
        <v>696100</v>
      </c>
      <c r="J76" s="13">
        <f t="shared" si="19"/>
        <v>846325</v>
      </c>
      <c r="K76" s="13">
        <f t="shared" si="19"/>
        <v>868750</v>
      </c>
      <c r="L76" s="13">
        <f t="shared" si="19"/>
        <v>877850</v>
      </c>
      <c r="M76" s="13">
        <f t="shared" si="19"/>
        <v>1078700</v>
      </c>
      <c r="N76" s="13">
        <f t="shared" si="19"/>
        <v>8658500</v>
      </c>
    </row>
    <row r="77" ht="15.75" customHeight="1">
      <c r="A77" s="14" t="s">
        <v>21</v>
      </c>
    </row>
    <row r="78" ht="15.75" customHeight="1">
      <c r="A78" s="15" t="s">
        <v>22</v>
      </c>
      <c r="B78" s="11">
        <v>1400.0</v>
      </c>
      <c r="C78" s="11">
        <v>1400.0</v>
      </c>
      <c r="D78" s="11">
        <v>1400.0</v>
      </c>
      <c r="E78" s="11">
        <v>1400.0</v>
      </c>
      <c r="F78" s="11">
        <v>1400.0</v>
      </c>
      <c r="G78" s="11">
        <v>1400.0</v>
      </c>
      <c r="H78" s="11">
        <v>1400.0</v>
      </c>
      <c r="I78" s="11">
        <v>1400.0</v>
      </c>
      <c r="J78" s="11">
        <v>1400.0</v>
      </c>
      <c r="K78" s="11">
        <v>1400.0</v>
      </c>
      <c r="L78" s="11">
        <v>1400.0</v>
      </c>
      <c r="M78" s="11">
        <v>1400.0</v>
      </c>
      <c r="N78" s="12">
        <f t="shared" ref="N78:N84" si="21">SUM(B78:M78)</f>
        <v>16800</v>
      </c>
    </row>
    <row r="79" ht="15.75" customHeight="1">
      <c r="A79" s="15" t="s">
        <v>23</v>
      </c>
      <c r="B79" s="12">
        <f t="shared" ref="B79:M79" si="20">(B71+B72)*15</f>
        <v>27330</v>
      </c>
      <c r="C79" s="12">
        <f t="shared" si="20"/>
        <v>26310</v>
      </c>
      <c r="D79" s="12">
        <f t="shared" si="20"/>
        <v>25470</v>
      </c>
      <c r="E79" s="12">
        <f t="shared" si="20"/>
        <v>27000</v>
      </c>
      <c r="F79" s="12">
        <f t="shared" si="20"/>
        <v>27930</v>
      </c>
      <c r="G79" s="12">
        <f t="shared" si="20"/>
        <v>28365</v>
      </c>
      <c r="H79" s="12">
        <f t="shared" si="20"/>
        <v>28995</v>
      </c>
      <c r="I79" s="12">
        <f t="shared" si="20"/>
        <v>30735</v>
      </c>
      <c r="J79" s="12">
        <f t="shared" si="20"/>
        <v>33720</v>
      </c>
      <c r="K79" s="12">
        <f t="shared" si="20"/>
        <v>34575</v>
      </c>
      <c r="L79" s="12">
        <f t="shared" si="20"/>
        <v>35835</v>
      </c>
      <c r="M79" s="12">
        <f t="shared" si="20"/>
        <v>40320</v>
      </c>
      <c r="N79" s="12">
        <f t="shared" si="21"/>
        <v>366585</v>
      </c>
    </row>
    <row r="80" ht="15.75" customHeight="1">
      <c r="A80" s="15" t="s">
        <v>24</v>
      </c>
      <c r="B80" s="11">
        <v>4500.0</v>
      </c>
      <c r="C80" s="11">
        <v>4500.0</v>
      </c>
      <c r="D80" s="11">
        <v>4500.0</v>
      </c>
      <c r="E80" s="11">
        <v>4500.0</v>
      </c>
      <c r="F80" s="11">
        <v>4500.0</v>
      </c>
      <c r="G80" s="11">
        <v>4500.0</v>
      </c>
      <c r="H80" s="11">
        <v>4500.0</v>
      </c>
      <c r="I80" s="11">
        <v>4500.0</v>
      </c>
      <c r="J80" s="11">
        <v>4500.0</v>
      </c>
      <c r="K80" s="11">
        <v>5500.0</v>
      </c>
      <c r="L80" s="11">
        <v>5500.0</v>
      </c>
      <c r="M80" s="11">
        <v>5500.0</v>
      </c>
      <c r="N80" s="12">
        <f t="shared" si="21"/>
        <v>57000</v>
      </c>
    </row>
    <row r="81" ht="15.75" customHeight="1">
      <c r="A81" s="15" t="s">
        <v>25</v>
      </c>
      <c r="B81" s="11">
        <v>180.0</v>
      </c>
      <c r="C81" s="11">
        <v>180.0</v>
      </c>
      <c r="D81" s="11">
        <v>180.0</v>
      </c>
      <c r="E81" s="11">
        <v>180.0</v>
      </c>
      <c r="F81" s="11">
        <v>180.0</v>
      </c>
      <c r="G81" s="11">
        <v>180.0</v>
      </c>
      <c r="H81" s="11">
        <v>180.0</v>
      </c>
      <c r="I81" s="11">
        <v>180.0</v>
      </c>
      <c r="J81" s="11">
        <v>180.0</v>
      </c>
      <c r="K81" s="11">
        <v>180.0</v>
      </c>
      <c r="L81" s="11">
        <v>180.0</v>
      </c>
      <c r="M81" s="11">
        <v>180.0</v>
      </c>
      <c r="N81" s="12">
        <f t="shared" si="21"/>
        <v>2160</v>
      </c>
    </row>
    <row r="82" ht="15.75" customHeight="1">
      <c r="A82" s="15" t="s">
        <v>26</v>
      </c>
      <c r="B82" s="11">
        <v>8320.0</v>
      </c>
      <c r="C82" s="11">
        <v>8320.0</v>
      </c>
      <c r="D82" s="11">
        <v>8320.0</v>
      </c>
      <c r="E82" s="11">
        <v>8320.0</v>
      </c>
      <c r="F82" s="11">
        <v>8320.0</v>
      </c>
      <c r="G82" s="11">
        <v>8320.0</v>
      </c>
      <c r="H82" s="11">
        <v>8320.0</v>
      </c>
      <c r="I82" s="11">
        <v>8320.0</v>
      </c>
      <c r="J82" s="11">
        <v>8320.0</v>
      </c>
      <c r="K82" s="11">
        <v>8320.0</v>
      </c>
      <c r="L82" s="11">
        <v>8320.0</v>
      </c>
      <c r="M82" s="11">
        <v>8320.0</v>
      </c>
      <c r="N82" s="12">
        <f t="shared" si="21"/>
        <v>99840</v>
      </c>
    </row>
    <row r="83" ht="15.75" customHeight="1">
      <c r="A83" s="15" t="s">
        <v>27</v>
      </c>
      <c r="B83" s="11">
        <v>31500.0</v>
      </c>
      <c r="C83" s="11">
        <v>31500.0</v>
      </c>
      <c r="D83" s="11">
        <v>31500.0</v>
      </c>
      <c r="E83" s="11">
        <v>31500.0</v>
      </c>
      <c r="F83" s="11">
        <v>31500.0</v>
      </c>
      <c r="G83" s="11">
        <v>31500.0</v>
      </c>
      <c r="H83" s="11">
        <v>31500.0</v>
      </c>
      <c r="I83" s="11">
        <v>31500.0</v>
      </c>
      <c r="J83" s="11">
        <v>31500.0</v>
      </c>
      <c r="K83" s="11">
        <v>31500.0</v>
      </c>
      <c r="L83" s="11">
        <v>31500.0</v>
      </c>
      <c r="M83" s="11">
        <v>31500.0</v>
      </c>
      <c r="N83" s="12">
        <f t="shared" si="21"/>
        <v>378000</v>
      </c>
    </row>
    <row r="84" ht="15.75" customHeight="1">
      <c r="A84" s="15" t="s">
        <v>28</v>
      </c>
      <c r="B84" s="11">
        <v>8750.0</v>
      </c>
      <c r="C84" s="11">
        <v>8750.0</v>
      </c>
      <c r="D84" s="11">
        <v>8750.0</v>
      </c>
      <c r="E84" s="11">
        <v>8750.0</v>
      </c>
      <c r="F84" s="11">
        <v>8750.0</v>
      </c>
      <c r="G84" s="11">
        <v>8750.0</v>
      </c>
      <c r="H84" s="11">
        <v>8750.0</v>
      </c>
      <c r="I84" s="11">
        <v>8750.0</v>
      </c>
      <c r="J84" s="11">
        <v>8750.0</v>
      </c>
      <c r="K84" s="11">
        <v>8750.0</v>
      </c>
      <c r="L84" s="11">
        <v>8750.0</v>
      </c>
      <c r="M84" s="11">
        <v>8750.0</v>
      </c>
      <c r="N84" s="12">
        <f t="shared" si="21"/>
        <v>105000</v>
      </c>
    </row>
    <row r="85" ht="15.75" customHeight="1">
      <c r="A85" s="6" t="s">
        <v>29</v>
      </c>
      <c r="B85" s="13">
        <f t="shared" ref="B85:N85" si="22">SUM(B78:B84)</f>
        <v>81980</v>
      </c>
      <c r="C85" s="13">
        <f t="shared" si="22"/>
        <v>80960</v>
      </c>
      <c r="D85" s="13">
        <f t="shared" si="22"/>
        <v>80120</v>
      </c>
      <c r="E85" s="13">
        <f t="shared" si="22"/>
        <v>81650</v>
      </c>
      <c r="F85" s="13">
        <f t="shared" si="22"/>
        <v>82580</v>
      </c>
      <c r="G85" s="13">
        <f t="shared" si="22"/>
        <v>83015</v>
      </c>
      <c r="H85" s="13">
        <f t="shared" si="22"/>
        <v>83645</v>
      </c>
      <c r="I85" s="13">
        <f t="shared" si="22"/>
        <v>85385</v>
      </c>
      <c r="J85" s="13">
        <f t="shared" si="22"/>
        <v>88370</v>
      </c>
      <c r="K85" s="13">
        <f t="shared" si="22"/>
        <v>90225</v>
      </c>
      <c r="L85" s="13">
        <f t="shared" si="22"/>
        <v>91485</v>
      </c>
      <c r="M85" s="13">
        <f t="shared" si="22"/>
        <v>95970</v>
      </c>
      <c r="N85" s="13">
        <f t="shared" si="22"/>
        <v>1025385</v>
      </c>
    </row>
    <row r="86" ht="15.75" customHeight="1">
      <c r="A86" s="15" t="s">
        <v>30</v>
      </c>
      <c r="B86" s="16">
        <v>0.07</v>
      </c>
      <c r="C86" s="16">
        <v>0.07</v>
      </c>
      <c r="D86" s="16">
        <v>0.07</v>
      </c>
      <c r="E86" s="16">
        <v>0.07</v>
      </c>
      <c r="F86" s="16">
        <v>0.07</v>
      </c>
      <c r="G86" s="16">
        <v>0.07</v>
      </c>
      <c r="H86" s="16">
        <v>0.07</v>
      </c>
      <c r="I86" s="16">
        <v>0.07</v>
      </c>
      <c r="J86" s="16">
        <v>0.07</v>
      </c>
      <c r="K86" s="16">
        <v>0.07</v>
      </c>
      <c r="L86" s="16">
        <v>0.07</v>
      </c>
      <c r="M86" s="16">
        <v>0.07</v>
      </c>
      <c r="N86" s="16">
        <v>0.07</v>
      </c>
    </row>
    <row r="87" ht="15.75" customHeight="1">
      <c r="A87" s="15" t="s">
        <v>31</v>
      </c>
      <c r="B87" s="17">
        <v>0.06</v>
      </c>
      <c r="C87" s="17">
        <v>0.06</v>
      </c>
      <c r="D87" s="17">
        <v>0.06</v>
      </c>
      <c r="E87" s="17">
        <v>0.06</v>
      </c>
      <c r="F87" s="17">
        <v>0.06</v>
      </c>
      <c r="G87" s="17">
        <v>0.06</v>
      </c>
      <c r="H87" s="17">
        <v>0.06</v>
      </c>
      <c r="I87" s="17">
        <v>0.06</v>
      </c>
      <c r="J87" s="17">
        <v>0.06</v>
      </c>
      <c r="K87" s="17">
        <v>0.06</v>
      </c>
      <c r="L87" s="17">
        <v>0.06</v>
      </c>
      <c r="M87" s="17">
        <v>0.06</v>
      </c>
      <c r="N87" s="17">
        <v>0.06</v>
      </c>
    </row>
    <row r="88" ht="15.75" customHeigh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A90" s="33" t="s">
        <v>52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ht="15.75" customHeight="1">
      <c r="A91" s="6" t="s">
        <v>57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ht="15.75" customHeight="1">
      <c r="A92" s="8" t="s">
        <v>58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0"/>
  </cols>
  <sheetData>
    <row r="1" ht="15.75" customHeight="1">
      <c r="A1" s="35" t="s">
        <v>59</v>
      </c>
      <c r="B1" s="36"/>
      <c r="C1" s="36"/>
      <c r="D1" s="37"/>
      <c r="E1" s="38"/>
      <c r="F1" s="38"/>
    </row>
    <row r="2" ht="15.75" customHeight="1">
      <c r="A2" s="39"/>
      <c r="B2" s="40" t="s">
        <v>0</v>
      </c>
      <c r="C2" s="40" t="s">
        <v>48</v>
      </c>
      <c r="D2" s="40" t="s">
        <v>56</v>
      </c>
      <c r="E2" s="38"/>
      <c r="F2" s="38"/>
    </row>
    <row r="3" ht="15.75" customHeight="1">
      <c r="A3" s="39" t="s">
        <v>60</v>
      </c>
      <c r="B3" s="39">
        <f>'Monthly Key Assumptions'!N4</f>
        <v>1300</v>
      </c>
      <c r="C3" s="39">
        <f>'Monthly Key Assumptions'!N43</f>
        <v>7245</v>
      </c>
      <c r="D3" s="41">
        <f>'Monthly Key Assumptions'!N70</f>
        <v>9578</v>
      </c>
      <c r="E3" s="8"/>
      <c r="F3" s="8"/>
    </row>
    <row r="4" ht="15.75" customHeight="1">
      <c r="A4" s="39" t="s">
        <v>61</v>
      </c>
      <c r="B4" s="42">
        <v>700.0</v>
      </c>
      <c r="C4" s="42">
        <v>700.0</v>
      </c>
      <c r="D4" s="42">
        <v>700.0</v>
      </c>
      <c r="E4" s="11"/>
      <c r="F4" s="11"/>
    </row>
    <row r="5" ht="15.75" customHeight="1">
      <c r="A5" s="43" t="s">
        <v>62</v>
      </c>
      <c r="B5" s="43">
        <v>0.0</v>
      </c>
      <c r="C5" s="43">
        <f>'Monthly Key Assumptions'!N45</f>
        <v>450</v>
      </c>
      <c r="D5" s="43">
        <f>'Monthly Key Assumptions'!N72</f>
        <v>1532</v>
      </c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44" t="s">
        <v>63</v>
      </c>
      <c r="B6" s="44">
        <v>0.0</v>
      </c>
      <c r="C6" s="44">
        <v>25.0</v>
      </c>
      <c r="D6" s="44">
        <v>25.0</v>
      </c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5.75" customHeight="1">
      <c r="A7" s="45" t="s">
        <v>20</v>
      </c>
      <c r="B7" s="42">
        <f>'Monthly Key Assumptions'!N8</f>
        <v>990000</v>
      </c>
      <c r="C7" s="42">
        <f>'Monthly Key Assumptions'!N49</f>
        <v>6655500</v>
      </c>
      <c r="D7" s="42">
        <f>'Monthly Key Assumptions'!N76</f>
        <v>8658500</v>
      </c>
      <c r="E7" s="11"/>
      <c r="F7" s="11"/>
    </row>
    <row r="8" ht="15.75" customHeight="1">
      <c r="A8" s="39" t="s">
        <v>64</v>
      </c>
      <c r="B8" s="42">
        <f>'Monthly Key Assumptions'!N12</f>
        <v>22100</v>
      </c>
      <c r="C8" s="12">
        <f>'Monthly Key Assumptions'!N52</f>
        <v>174555</v>
      </c>
      <c r="D8" s="12">
        <f>'Monthly Key Assumptions'!N79</f>
        <v>366585</v>
      </c>
      <c r="E8" s="11"/>
      <c r="F8" s="11"/>
    </row>
    <row r="9" ht="15.75" customHeight="1">
      <c r="A9" s="45" t="s">
        <v>22</v>
      </c>
      <c r="B9" s="42">
        <f>'Monthly Key Assumptions'!N11</f>
        <v>13200</v>
      </c>
      <c r="C9" s="42">
        <f>'Monthly Key Assumptions'!N51</f>
        <v>14400</v>
      </c>
      <c r="D9" s="42">
        <f>'Monthly Key Assumptions'!N78</f>
        <v>16800</v>
      </c>
      <c r="E9" s="11"/>
      <c r="F9" s="11"/>
    </row>
    <row r="10" ht="15.75" customHeight="1">
      <c r="A10" s="45" t="s">
        <v>24</v>
      </c>
      <c r="B10" s="42">
        <f>'Monthly Key Assumptions'!N13</f>
        <v>69000</v>
      </c>
      <c r="C10" s="42">
        <f>'Monthly Key Assumptions'!N53</f>
        <v>57000</v>
      </c>
      <c r="D10" s="42">
        <f>'Monthly Key Assumptions'!N80</f>
        <v>57000</v>
      </c>
      <c r="E10" s="11"/>
      <c r="F10" s="11"/>
    </row>
    <row r="11" ht="15.75" customHeight="1">
      <c r="A11" s="45" t="s">
        <v>25</v>
      </c>
      <c r="B11" s="42">
        <f>'Monthly Key Assumptions'!N14</f>
        <v>1800</v>
      </c>
      <c r="C11" s="42">
        <f>'Monthly Key Assumptions'!N54</f>
        <v>1920</v>
      </c>
      <c r="D11" s="42">
        <f>'Monthly Key Assumptions'!N81</f>
        <v>2160</v>
      </c>
      <c r="E11" s="11"/>
      <c r="F11" s="11"/>
    </row>
    <row r="12" ht="15.75" customHeight="1">
      <c r="A12" s="45" t="s">
        <v>26</v>
      </c>
      <c r="B12" s="42">
        <f>'Monthly Key Assumptions'!N15</f>
        <v>55680</v>
      </c>
      <c r="C12" s="42">
        <f>'Monthly Key Assumptions'!N55</f>
        <v>79872</v>
      </c>
      <c r="D12" s="42">
        <f>'Monthly Key Assumptions'!N82</f>
        <v>99840</v>
      </c>
      <c r="E12" s="12"/>
      <c r="F12" s="12"/>
    </row>
    <row r="13" ht="15.75" customHeight="1">
      <c r="A13" s="45" t="s">
        <v>27</v>
      </c>
      <c r="B13" s="42">
        <f>'Monthly Key Assumptions'!N16</f>
        <v>198000</v>
      </c>
      <c r="C13" s="42">
        <f>'Monthly Key Assumptions'!N56</f>
        <v>180000</v>
      </c>
      <c r="D13" s="42">
        <f>'Monthly Key Assumptions'!N83</f>
        <v>378000</v>
      </c>
      <c r="E13" s="12"/>
      <c r="F13" s="12"/>
    </row>
    <row r="14" ht="15.75" customHeight="1">
      <c r="A14" s="45" t="s">
        <v>28</v>
      </c>
      <c r="B14" s="42">
        <f>'Monthly Key Assumptions'!N17</f>
        <v>105000</v>
      </c>
      <c r="C14" s="42">
        <f>'Monthly Key Assumptions'!N57</f>
        <v>105000</v>
      </c>
      <c r="D14" s="42">
        <f>'Monthly Key Assumptions'!N84</f>
        <v>105000</v>
      </c>
      <c r="E14" s="46"/>
      <c r="F14" s="46"/>
    </row>
    <row r="15" ht="15.75" customHeight="1">
      <c r="A15" s="47" t="s">
        <v>30</v>
      </c>
      <c r="B15" s="48">
        <v>0.07</v>
      </c>
      <c r="C15" s="48">
        <v>0.07</v>
      </c>
      <c r="D15" s="48">
        <v>0.07</v>
      </c>
      <c r="E15" s="16"/>
      <c r="F15" s="16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5" t="s">
        <v>31</v>
      </c>
      <c r="B16" s="48">
        <v>0.06</v>
      </c>
      <c r="C16" s="48">
        <v>0.06</v>
      </c>
      <c r="D16" s="48">
        <v>0.06</v>
      </c>
      <c r="E16" s="8"/>
      <c r="F16" s="8"/>
    </row>
    <row r="17" ht="15.75" customHeight="1">
      <c r="A17" s="39" t="s">
        <v>65</v>
      </c>
      <c r="B17" s="39">
        <v>7.0</v>
      </c>
      <c r="C17" s="39">
        <v>9.0</v>
      </c>
      <c r="D17" s="39">
        <v>13.0</v>
      </c>
    </row>
    <row r="18" ht="15.75" customHeight="1">
      <c r="A18" s="38"/>
      <c r="B18" s="38"/>
      <c r="C18" s="38"/>
      <c r="D18" s="38"/>
      <c r="E18" s="38"/>
      <c r="F18" s="38"/>
    </row>
    <row r="19" ht="15.75" customHeight="1">
      <c r="A19" s="50"/>
      <c r="B19" s="27"/>
      <c r="C19" s="27"/>
      <c r="D19" s="27"/>
      <c r="E19" s="27"/>
      <c r="F19" s="27"/>
    </row>
    <row r="20" ht="15.75" customHeight="1"/>
    <row r="21" ht="15.75" customHeight="1">
      <c r="A21" s="50"/>
      <c r="B21" s="27"/>
      <c r="C21" s="27"/>
      <c r="D21" s="27"/>
      <c r="E21" s="27"/>
      <c r="F21" s="27"/>
    </row>
    <row r="22" ht="15.75" customHeight="1">
      <c r="A22" s="50"/>
      <c r="B22" s="27"/>
      <c r="C22" s="27"/>
      <c r="D22" s="27"/>
      <c r="E22" s="27"/>
      <c r="F22" s="27"/>
    </row>
    <row r="23" ht="15.75" customHeight="1">
      <c r="A23" s="50"/>
      <c r="B23" s="27"/>
      <c r="C23" s="27"/>
      <c r="D23" s="27"/>
      <c r="E23" s="27"/>
      <c r="F23" s="27"/>
    </row>
    <row r="24" ht="15.75" customHeight="1">
      <c r="A24" s="50"/>
      <c r="B24" s="27"/>
      <c r="C24" s="27"/>
      <c r="D24" s="27"/>
      <c r="E24" s="27"/>
      <c r="F24" s="27"/>
    </row>
    <row r="25" ht="15.75" customHeight="1">
      <c r="A25" s="50"/>
      <c r="B25" s="27"/>
      <c r="C25" s="27"/>
      <c r="D25" s="27"/>
      <c r="E25" s="27"/>
      <c r="F25" s="27"/>
    </row>
    <row r="26" ht="15.75" customHeight="1">
      <c r="A26" s="51"/>
      <c r="B26" s="52"/>
      <c r="C26" s="52"/>
      <c r="D26" s="52"/>
      <c r="E26" s="52"/>
      <c r="F26" s="52"/>
    </row>
    <row r="27" ht="15.75" customHeight="1">
      <c r="A27" s="53"/>
      <c r="B27" s="54"/>
      <c r="C27" s="54"/>
      <c r="D27" s="54"/>
      <c r="E27" s="54"/>
      <c r="F27" s="54"/>
    </row>
    <row r="28" ht="15.75" customHeight="1">
      <c r="A28" s="8"/>
      <c r="B28" s="8"/>
      <c r="C28" s="8"/>
      <c r="D28" s="8"/>
      <c r="E28" s="8"/>
      <c r="F28" s="8"/>
    </row>
    <row r="29" ht="15.75" customHeight="1">
      <c r="A29" s="8"/>
      <c r="B29" s="27"/>
      <c r="C29" s="27"/>
      <c r="D29" s="27"/>
      <c r="E29" s="27"/>
      <c r="F29" s="27"/>
    </row>
    <row r="30" ht="15.75" customHeight="1">
      <c r="A30" s="8"/>
      <c r="B30" s="27"/>
      <c r="C30" s="27"/>
      <c r="D30" s="27"/>
      <c r="E30" s="27"/>
      <c r="F30" s="27"/>
    </row>
    <row r="31" ht="15.75" customHeight="1">
      <c r="A31" s="8"/>
      <c r="B31" s="8"/>
      <c r="C31" s="8"/>
      <c r="D31" s="8"/>
      <c r="E31" s="8"/>
      <c r="F31" s="8"/>
    </row>
    <row r="32" ht="15.75" customHeight="1">
      <c r="A32" s="51"/>
      <c r="B32" s="27"/>
      <c r="C32" s="27"/>
      <c r="D32" s="27"/>
      <c r="E32" s="27"/>
      <c r="F32" s="27"/>
    </row>
    <row r="33" ht="15.75" customHeight="1">
      <c r="A33" s="8"/>
      <c r="B33" s="8"/>
      <c r="C33" s="8"/>
      <c r="D33" s="8"/>
      <c r="E33" s="8"/>
      <c r="F33" s="8"/>
    </row>
    <row r="34" ht="15.75" customHeight="1">
      <c r="A34" s="8"/>
      <c r="B34" s="8"/>
      <c r="C34" s="8"/>
      <c r="D34" s="8"/>
      <c r="E34" s="8"/>
      <c r="F34" s="8"/>
    </row>
    <row r="35" ht="15.75" customHeight="1">
      <c r="A35" s="53"/>
      <c r="B35" s="54"/>
      <c r="C35" s="54"/>
      <c r="D35" s="54"/>
      <c r="E35" s="54"/>
      <c r="F35" s="5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7.0"/>
  </cols>
  <sheetData>
    <row r="1" ht="15.75" customHeight="1">
      <c r="A1" s="6" t="s">
        <v>66</v>
      </c>
    </row>
    <row r="2" ht="15.75" customHeight="1">
      <c r="A2" s="6"/>
    </row>
    <row r="3" ht="15.75" customHeight="1">
      <c r="A3" s="6" t="s">
        <v>0</v>
      </c>
    </row>
    <row r="4" ht="15.75" customHeight="1">
      <c r="A4" s="55"/>
      <c r="B4" s="56" t="s">
        <v>2</v>
      </c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56" t="s">
        <v>8</v>
      </c>
      <c r="I4" s="56" t="s">
        <v>9</v>
      </c>
      <c r="J4" s="56" t="s">
        <v>10</v>
      </c>
      <c r="K4" s="56" t="s">
        <v>11</v>
      </c>
      <c r="L4" s="56" t="s">
        <v>12</v>
      </c>
      <c r="M4" s="56" t="s">
        <v>13</v>
      </c>
      <c r="N4" s="57" t="s">
        <v>14</v>
      </c>
    </row>
    <row r="5" ht="15.75" customHeight="1">
      <c r="A5" s="58" t="s">
        <v>15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6" ht="15.75" customHeight="1">
      <c r="A6" s="60" t="s">
        <v>67</v>
      </c>
      <c r="B6" s="61">
        <v>0.0</v>
      </c>
      <c r="C6" s="61">
        <v>0.0</v>
      </c>
      <c r="D6" s="42">
        <v>-35000.0</v>
      </c>
      <c r="E6" s="42">
        <v>-35000.0</v>
      </c>
      <c r="F6" s="61">
        <v>0.0</v>
      </c>
      <c r="G6" s="61">
        <v>0.0</v>
      </c>
      <c r="H6" s="42">
        <v>140000.0</v>
      </c>
      <c r="I6" s="42">
        <v>140000.0</v>
      </c>
      <c r="J6" s="42">
        <v>140000.0</v>
      </c>
      <c r="K6" s="42">
        <v>140000.0</v>
      </c>
      <c r="L6" s="42">
        <v>140000.0</v>
      </c>
      <c r="M6" s="42">
        <v>140000.0</v>
      </c>
      <c r="N6" s="61">
        <f t="shared" ref="N6:N7" si="1">SUM(B6:M6)</f>
        <v>770000</v>
      </c>
    </row>
    <row r="7" ht="15.75" customHeight="1">
      <c r="A7" s="39" t="s">
        <v>68</v>
      </c>
      <c r="B7" s="61">
        <v>0.0</v>
      </c>
      <c r="C7" s="61">
        <v>0.0</v>
      </c>
      <c r="D7" s="61">
        <v>0.0</v>
      </c>
      <c r="E7" s="61">
        <v>0.0</v>
      </c>
      <c r="F7" s="61">
        <v>0.0</v>
      </c>
      <c r="G7" s="61">
        <v>0.0</v>
      </c>
      <c r="H7" s="61">
        <v>0.0</v>
      </c>
      <c r="I7" s="61">
        <v>0.0</v>
      </c>
      <c r="J7" s="61">
        <v>0.0</v>
      </c>
      <c r="K7" s="61">
        <v>0.0</v>
      </c>
      <c r="L7" s="61">
        <v>0.0</v>
      </c>
      <c r="M7" s="61">
        <v>0.0</v>
      </c>
      <c r="N7" s="61">
        <f t="shared" si="1"/>
        <v>0</v>
      </c>
    </row>
    <row r="8" ht="15.75" customHeight="1">
      <c r="A8" s="62" t="s">
        <v>20</v>
      </c>
      <c r="B8" s="61">
        <f t="shared" ref="B8:N8" si="2">SUM(B6:B7)</f>
        <v>0</v>
      </c>
      <c r="C8" s="61">
        <f t="shared" si="2"/>
        <v>0</v>
      </c>
      <c r="D8" s="61">
        <f t="shared" si="2"/>
        <v>-35000</v>
      </c>
      <c r="E8" s="61">
        <f t="shared" si="2"/>
        <v>-35000</v>
      </c>
      <c r="F8" s="61">
        <f t="shared" si="2"/>
        <v>0</v>
      </c>
      <c r="G8" s="61">
        <f t="shared" si="2"/>
        <v>0</v>
      </c>
      <c r="H8" s="61">
        <f t="shared" si="2"/>
        <v>140000</v>
      </c>
      <c r="I8" s="61">
        <f t="shared" si="2"/>
        <v>140000</v>
      </c>
      <c r="J8" s="61">
        <f t="shared" si="2"/>
        <v>140000</v>
      </c>
      <c r="K8" s="61">
        <f t="shared" si="2"/>
        <v>140000</v>
      </c>
      <c r="L8" s="61">
        <f t="shared" si="2"/>
        <v>140000</v>
      </c>
      <c r="M8" s="61">
        <f t="shared" si="2"/>
        <v>140000</v>
      </c>
      <c r="N8" s="61">
        <f t="shared" si="2"/>
        <v>770000</v>
      </c>
    </row>
    <row r="9" ht="15.75" customHeight="1">
      <c r="A9" s="58" t="s">
        <v>69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ht="15.75" customHeight="1">
      <c r="A10" s="60" t="s">
        <v>70</v>
      </c>
      <c r="B10" s="59">
        <v>0.0</v>
      </c>
      <c r="C10" s="59">
        <v>0.0</v>
      </c>
      <c r="D10" s="63">
        <v>-20000.0</v>
      </c>
      <c r="E10" s="63">
        <v>-20000.0</v>
      </c>
      <c r="F10" s="59">
        <v>0.0</v>
      </c>
      <c r="G10" s="59">
        <v>0.0</v>
      </c>
      <c r="H10" s="63">
        <v>-80000.0</v>
      </c>
      <c r="I10" s="63">
        <v>-80000.0</v>
      </c>
      <c r="J10" s="63">
        <v>-80000.0</v>
      </c>
      <c r="K10" s="63">
        <v>-80000.0</v>
      </c>
      <c r="L10" s="63">
        <v>-80000.0</v>
      </c>
      <c r="M10" s="63">
        <v>-80000.0</v>
      </c>
      <c r="N10" s="59">
        <f t="shared" ref="N10:N13" si="5">SUM(B10:M10)</f>
        <v>-520000</v>
      </c>
    </row>
    <row r="11" ht="15.75" customHeight="1">
      <c r="A11" s="60" t="s">
        <v>71</v>
      </c>
      <c r="B11" s="59">
        <f t="shared" ref="B11:C11" si="3">B8*0.15</f>
        <v>0</v>
      </c>
      <c r="C11" s="59">
        <f t="shared" si="3"/>
        <v>0</v>
      </c>
      <c r="D11" s="63">
        <v>-850.0</v>
      </c>
      <c r="E11" s="63">
        <v>-850.0</v>
      </c>
      <c r="F11" s="59">
        <f t="shared" ref="F11:G11" si="4">F8*0.15</f>
        <v>0</v>
      </c>
      <c r="G11" s="59">
        <f t="shared" si="4"/>
        <v>0</v>
      </c>
      <c r="H11" s="63">
        <v>-3400.0</v>
      </c>
      <c r="I11" s="63">
        <v>-3400.0</v>
      </c>
      <c r="J11" s="63">
        <v>-3400.0</v>
      </c>
      <c r="K11" s="63">
        <v>-3400.0</v>
      </c>
      <c r="L11" s="63">
        <v>-3400.0</v>
      </c>
      <c r="M11" s="63">
        <v>-3400.0</v>
      </c>
      <c r="N11" s="59">
        <f t="shared" si="5"/>
        <v>-22100</v>
      </c>
    </row>
    <row r="12" ht="15.75" customHeight="1">
      <c r="A12" s="64" t="s">
        <v>72</v>
      </c>
      <c r="B12" s="59">
        <f t="shared" ref="B12:M12" si="6">SUM(B10:B11)</f>
        <v>0</v>
      </c>
      <c r="C12" s="59">
        <f t="shared" si="6"/>
        <v>0</v>
      </c>
      <c r="D12" s="59">
        <f t="shared" si="6"/>
        <v>-20850</v>
      </c>
      <c r="E12" s="59">
        <f t="shared" si="6"/>
        <v>-20850</v>
      </c>
      <c r="F12" s="59">
        <f t="shared" si="6"/>
        <v>0</v>
      </c>
      <c r="G12" s="59">
        <f t="shared" si="6"/>
        <v>0</v>
      </c>
      <c r="H12" s="59">
        <f t="shared" si="6"/>
        <v>-83400</v>
      </c>
      <c r="I12" s="59">
        <f t="shared" si="6"/>
        <v>-83400</v>
      </c>
      <c r="J12" s="59">
        <f t="shared" si="6"/>
        <v>-83400</v>
      </c>
      <c r="K12" s="59">
        <f t="shared" si="6"/>
        <v>-83400</v>
      </c>
      <c r="L12" s="59">
        <f t="shared" si="6"/>
        <v>-83400</v>
      </c>
      <c r="M12" s="59">
        <f t="shared" si="6"/>
        <v>-83400</v>
      </c>
      <c r="N12" s="59">
        <f t="shared" si="5"/>
        <v>-542100</v>
      </c>
    </row>
    <row r="13" ht="15.75" customHeight="1">
      <c r="A13" s="64" t="s">
        <v>73</v>
      </c>
      <c r="B13" s="59">
        <f t="shared" ref="B13:C13" si="7">B8-B12</f>
        <v>0</v>
      </c>
      <c r="C13" s="59">
        <f t="shared" si="7"/>
        <v>0</v>
      </c>
      <c r="D13" s="59">
        <f t="shared" ref="D13:M13" si="8">SUM(D8,D12)</f>
        <v>-55850</v>
      </c>
      <c r="E13" s="59">
        <f t="shared" si="8"/>
        <v>-55850</v>
      </c>
      <c r="F13" s="59">
        <f t="shared" si="8"/>
        <v>0</v>
      </c>
      <c r="G13" s="59">
        <f t="shared" si="8"/>
        <v>0</v>
      </c>
      <c r="H13" s="59">
        <f t="shared" si="8"/>
        <v>56600</v>
      </c>
      <c r="I13" s="59">
        <f t="shared" si="8"/>
        <v>56600</v>
      </c>
      <c r="J13" s="59">
        <f t="shared" si="8"/>
        <v>56600</v>
      </c>
      <c r="K13" s="59">
        <f t="shared" si="8"/>
        <v>56600</v>
      </c>
      <c r="L13" s="59">
        <f t="shared" si="8"/>
        <v>56600</v>
      </c>
      <c r="M13" s="59">
        <f t="shared" si="8"/>
        <v>56600</v>
      </c>
      <c r="N13" s="59">
        <f t="shared" si="5"/>
        <v>227900</v>
      </c>
    </row>
    <row r="14" ht="15.75" customHeight="1">
      <c r="A14" s="64" t="s">
        <v>74</v>
      </c>
      <c r="B14" s="59" t="s">
        <v>75</v>
      </c>
      <c r="C14" s="59" t="s">
        <v>75</v>
      </c>
      <c r="D14" s="63" t="s">
        <v>75</v>
      </c>
      <c r="E14" s="63" t="s">
        <v>75</v>
      </c>
      <c r="F14" s="59" t="s">
        <v>75</v>
      </c>
      <c r="G14" s="59" t="s">
        <v>75</v>
      </c>
      <c r="H14" s="59">
        <f t="shared" ref="H14:N14" si="9">H13/H6</f>
        <v>0.4042857143</v>
      </c>
      <c r="I14" s="59">
        <f t="shared" si="9"/>
        <v>0.4042857143</v>
      </c>
      <c r="J14" s="59">
        <f t="shared" si="9"/>
        <v>0.4042857143</v>
      </c>
      <c r="K14" s="59">
        <f t="shared" si="9"/>
        <v>0.4042857143</v>
      </c>
      <c r="L14" s="59">
        <f t="shared" si="9"/>
        <v>0.4042857143</v>
      </c>
      <c r="M14" s="59">
        <f t="shared" si="9"/>
        <v>0.4042857143</v>
      </c>
      <c r="N14" s="59">
        <f t="shared" si="9"/>
        <v>0.295974026</v>
      </c>
    </row>
    <row r="15" ht="15.75" customHeight="1">
      <c r="A15" s="58" t="s">
        <v>76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ht="15.75" customHeight="1">
      <c r="A16" s="60" t="s">
        <v>77</v>
      </c>
      <c r="B16" s="59">
        <v>105000.0</v>
      </c>
      <c r="C16" s="59">
        <v>105000.0</v>
      </c>
      <c r="D16" s="59">
        <v>105000.0</v>
      </c>
      <c r="E16" s="59">
        <v>105000.0</v>
      </c>
      <c r="F16" s="59">
        <v>105000.0</v>
      </c>
      <c r="G16" s="59">
        <v>105000.0</v>
      </c>
      <c r="H16" s="59">
        <v>105000.0</v>
      </c>
      <c r="I16" s="59">
        <v>105000.0</v>
      </c>
      <c r="J16" s="59">
        <v>105000.0</v>
      </c>
      <c r="K16" s="59">
        <v>105000.0</v>
      </c>
      <c r="L16" s="59">
        <v>105000.0</v>
      </c>
      <c r="M16" s="59">
        <v>105000.0</v>
      </c>
      <c r="N16" s="59">
        <f t="shared" ref="N16:N24" si="10">SUM(B16:M16)</f>
        <v>1260000</v>
      </c>
    </row>
    <row r="17" ht="15.75" customHeight="1">
      <c r="A17" s="45" t="s">
        <v>24</v>
      </c>
      <c r="B17" s="59">
        <v>6500.0</v>
      </c>
      <c r="C17" s="59">
        <v>6500.0</v>
      </c>
      <c r="D17" s="59">
        <v>6500.0</v>
      </c>
      <c r="E17" s="59">
        <v>6500.0</v>
      </c>
      <c r="F17" s="59">
        <v>6500.0</v>
      </c>
      <c r="G17" s="59">
        <v>7500.0</v>
      </c>
      <c r="H17" s="59">
        <v>4500.0</v>
      </c>
      <c r="I17" s="59">
        <v>4500.0</v>
      </c>
      <c r="J17" s="59">
        <v>4500.0</v>
      </c>
      <c r="K17" s="59">
        <v>4500.0</v>
      </c>
      <c r="L17" s="63">
        <v>5500.0</v>
      </c>
      <c r="M17" s="59">
        <v>5500.0</v>
      </c>
      <c r="N17" s="59">
        <f t="shared" si="10"/>
        <v>69000</v>
      </c>
    </row>
    <row r="18" ht="15.75" customHeight="1">
      <c r="A18" s="45" t="s">
        <v>26</v>
      </c>
      <c r="B18" s="59">
        <v>4640.0</v>
      </c>
      <c r="C18" s="59">
        <v>4640.0</v>
      </c>
      <c r="D18" s="59">
        <v>4640.0</v>
      </c>
      <c r="E18" s="59">
        <v>4640.0</v>
      </c>
      <c r="F18" s="59">
        <v>4640.0</v>
      </c>
      <c r="G18" s="59">
        <v>4640.0</v>
      </c>
      <c r="H18" s="59">
        <v>4640.0</v>
      </c>
      <c r="I18" s="59">
        <v>4640.0</v>
      </c>
      <c r="J18" s="59">
        <v>4640.0</v>
      </c>
      <c r="K18" s="59">
        <v>4640.0</v>
      </c>
      <c r="L18" s="59">
        <v>4640.0</v>
      </c>
      <c r="M18" s="59">
        <v>4640.0</v>
      </c>
      <c r="N18" s="59">
        <f t="shared" si="10"/>
        <v>55680</v>
      </c>
    </row>
    <row r="19" ht="15.75" customHeight="1">
      <c r="A19" s="45" t="s">
        <v>25</v>
      </c>
      <c r="B19" s="59">
        <v>150.0</v>
      </c>
      <c r="C19" s="59">
        <v>150.0</v>
      </c>
      <c r="D19" s="59">
        <v>150.0</v>
      </c>
      <c r="E19" s="59">
        <v>150.0</v>
      </c>
      <c r="F19" s="59">
        <v>150.0</v>
      </c>
      <c r="G19" s="59">
        <v>150.0</v>
      </c>
      <c r="H19" s="59">
        <v>150.0</v>
      </c>
      <c r="I19" s="59">
        <v>150.0</v>
      </c>
      <c r="J19" s="59">
        <v>150.0</v>
      </c>
      <c r="K19" s="59">
        <v>150.0</v>
      </c>
      <c r="L19" s="59">
        <v>150.0</v>
      </c>
      <c r="M19" s="59">
        <v>150.0</v>
      </c>
      <c r="N19" s="59">
        <f t="shared" si="10"/>
        <v>1800</v>
      </c>
    </row>
    <row r="20" ht="15.75" customHeight="1">
      <c r="A20" s="45" t="s">
        <v>27</v>
      </c>
      <c r="B20" s="63">
        <v>69000.0</v>
      </c>
      <c r="C20" s="59">
        <v>9000.0</v>
      </c>
      <c r="D20" s="59">
        <v>9000.0</v>
      </c>
      <c r="E20" s="59">
        <v>9000.0</v>
      </c>
      <c r="F20" s="59">
        <v>9000.0</v>
      </c>
      <c r="G20" s="59">
        <v>9000.0</v>
      </c>
      <c r="H20" s="59">
        <v>9000.0</v>
      </c>
      <c r="I20" s="59">
        <v>9000.0</v>
      </c>
      <c r="J20" s="59">
        <v>9000.0</v>
      </c>
      <c r="K20" s="59">
        <v>9000.0</v>
      </c>
      <c r="L20" s="59">
        <v>9000.0</v>
      </c>
      <c r="M20" s="59">
        <v>9000.0</v>
      </c>
      <c r="N20" s="59">
        <f t="shared" si="10"/>
        <v>168000</v>
      </c>
    </row>
    <row r="21" ht="15.75" customHeight="1">
      <c r="A21" s="45" t="s">
        <v>22</v>
      </c>
      <c r="B21" s="65">
        <v>1100.0</v>
      </c>
      <c r="C21" s="65">
        <v>1100.0</v>
      </c>
      <c r="D21" s="65">
        <v>1100.0</v>
      </c>
      <c r="E21" s="65">
        <v>1100.0</v>
      </c>
      <c r="F21" s="65">
        <v>1100.0</v>
      </c>
      <c r="G21" s="65">
        <v>1100.0</v>
      </c>
      <c r="H21" s="65">
        <v>1100.0</v>
      </c>
      <c r="I21" s="65">
        <v>1100.0</v>
      </c>
      <c r="J21" s="65">
        <v>1100.0</v>
      </c>
      <c r="K21" s="65">
        <v>1100.0</v>
      </c>
      <c r="L21" s="65">
        <v>1100.0</v>
      </c>
      <c r="M21" s="65">
        <v>1100.0</v>
      </c>
      <c r="N21" s="66">
        <f t="shared" si="10"/>
        <v>13200</v>
      </c>
    </row>
    <row r="22" ht="15.75" customHeight="1">
      <c r="A22" s="64" t="s">
        <v>78</v>
      </c>
      <c r="B22" s="59">
        <f t="shared" ref="B22:M22" si="11">B13-SUM(B16:B21)</f>
        <v>-186390</v>
      </c>
      <c r="C22" s="59">
        <f t="shared" si="11"/>
        <v>-126390</v>
      </c>
      <c r="D22" s="59">
        <f t="shared" si="11"/>
        <v>-182240</v>
      </c>
      <c r="E22" s="59">
        <f t="shared" si="11"/>
        <v>-182240</v>
      </c>
      <c r="F22" s="59">
        <f t="shared" si="11"/>
        <v>-126390</v>
      </c>
      <c r="G22" s="59">
        <f t="shared" si="11"/>
        <v>-127390</v>
      </c>
      <c r="H22" s="59">
        <f t="shared" si="11"/>
        <v>-67790</v>
      </c>
      <c r="I22" s="59">
        <f t="shared" si="11"/>
        <v>-67790</v>
      </c>
      <c r="J22" s="59">
        <f t="shared" si="11"/>
        <v>-67790</v>
      </c>
      <c r="K22" s="59">
        <f t="shared" si="11"/>
        <v>-67790</v>
      </c>
      <c r="L22" s="59">
        <f t="shared" si="11"/>
        <v>-68790</v>
      </c>
      <c r="M22" s="59">
        <f t="shared" si="11"/>
        <v>-68790</v>
      </c>
      <c r="N22" s="59">
        <f t="shared" si="10"/>
        <v>-1339780</v>
      </c>
    </row>
    <row r="23" ht="15.75" customHeight="1">
      <c r="A23" s="64" t="s">
        <v>79</v>
      </c>
      <c r="B23" s="59">
        <f t="shared" ref="B23:M23" si="12">B22*0.07</f>
        <v>-13047.3</v>
      </c>
      <c r="C23" s="59">
        <f t="shared" si="12"/>
        <v>-8847.3</v>
      </c>
      <c r="D23" s="59">
        <f t="shared" si="12"/>
        <v>-12756.8</v>
      </c>
      <c r="E23" s="59">
        <f t="shared" si="12"/>
        <v>-12756.8</v>
      </c>
      <c r="F23" s="59">
        <f t="shared" si="12"/>
        <v>-8847.3</v>
      </c>
      <c r="G23" s="59">
        <f t="shared" si="12"/>
        <v>-8917.3</v>
      </c>
      <c r="H23" s="59">
        <f t="shared" si="12"/>
        <v>-4745.3</v>
      </c>
      <c r="I23" s="59">
        <f t="shared" si="12"/>
        <v>-4745.3</v>
      </c>
      <c r="J23" s="59">
        <f t="shared" si="12"/>
        <v>-4745.3</v>
      </c>
      <c r="K23" s="59">
        <f t="shared" si="12"/>
        <v>-4745.3</v>
      </c>
      <c r="L23" s="59">
        <f t="shared" si="12"/>
        <v>-4815.3</v>
      </c>
      <c r="M23" s="59">
        <f t="shared" si="12"/>
        <v>-4815.3</v>
      </c>
      <c r="N23" s="59">
        <f t="shared" si="10"/>
        <v>-93784.6</v>
      </c>
    </row>
    <row r="24" ht="15.75" customHeight="1">
      <c r="A24" s="64" t="s">
        <v>80</v>
      </c>
      <c r="B24" s="59">
        <f t="shared" ref="B24:M24" si="13">B22-B23</f>
        <v>-173342.7</v>
      </c>
      <c r="C24" s="59">
        <f t="shared" si="13"/>
        <v>-117542.7</v>
      </c>
      <c r="D24" s="59">
        <f t="shared" si="13"/>
        <v>-169483.2</v>
      </c>
      <c r="E24" s="59">
        <f t="shared" si="13"/>
        <v>-169483.2</v>
      </c>
      <c r="F24" s="59">
        <f t="shared" si="13"/>
        <v>-117542.7</v>
      </c>
      <c r="G24" s="59">
        <f t="shared" si="13"/>
        <v>-118472.7</v>
      </c>
      <c r="H24" s="59">
        <f t="shared" si="13"/>
        <v>-63044.7</v>
      </c>
      <c r="I24" s="59">
        <f t="shared" si="13"/>
        <v>-63044.7</v>
      </c>
      <c r="J24" s="59">
        <f t="shared" si="13"/>
        <v>-63044.7</v>
      </c>
      <c r="K24" s="59">
        <f t="shared" si="13"/>
        <v>-63044.7</v>
      </c>
      <c r="L24" s="59">
        <f t="shared" si="13"/>
        <v>-63974.7</v>
      </c>
      <c r="M24" s="59">
        <f t="shared" si="13"/>
        <v>-63974.7</v>
      </c>
      <c r="N24" s="59">
        <f t="shared" si="10"/>
        <v>-1245995.4</v>
      </c>
    </row>
    <row r="25" ht="15.75" customHeight="1">
      <c r="A25" s="64" t="s">
        <v>81</v>
      </c>
      <c r="B25" s="59">
        <f>B24</f>
        <v>-173342.7</v>
      </c>
      <c r="C25" s="59">
        <f t="shared" ref="C25:M25" si="14">C24+B25</f>
        <v>-290885.4</v>
      </c>
      <c r="D25" s="59">
        <f t="shared" si="14"/>
        <v>-460368.6</v>
      </c>
      <c r="E25" s="59">
        <f t="shared" si="14"/>
        <v>-629851.8</v>
      </c>
      <c r="F25" s="59">
        <f t="shared" si="14"/>
        <v>-747394.5</v>
      </c>
      <c r="G25" s="59">
        <f t="shared" si="14"/>
        <v>-865867.2</v>
      </c>
      <c r="H25" s="59">
        <f t="shared" si="14"/>
        <v>-928911.9</v>
      </c>
      <c r="I25" s="59">
        <f t="shared" si="14"/>
        <v>-991956.6</v>
      </c>
      <c r="J25" s="59">
        <f t="shared" si="14"/>
        <v>-1055001.3</v>
      </c>
      <c r="K25" s="59">
        <f t="shared" si="14"/>
        <v>-1118046</v>
      </c>
      <c r="L25" s="59">
        <f t="shared" si="14"/>
        <v>-1182020.7</v>
      </c>
      <c r="M25" s="59">
        <f t="shared" si="14"/>
        <v>-1245995.4</v>
      </c>
      <c r="N25" s="59">
        <f>M25</f>
        <v>-1245995.4</v>
      </c>
    </row>
    <row r="26" ht="15.75" customHeight="1">
      <c r="A26" s="58" t="s">
        <v>82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</row>
    <row r="27" ht="15.75" customHeight="1">
      <c r="A27" s="64" t="s">
        <v>83</v>
      </c>
      <c r="B27" s="59">
        <f t="shared" ref="B27:M27" si="15">B24</f>
        <v>-173342.7</v>
      </c>
      <c r="C27" s="59">
        <f t="shared" si="15"/>
        <v>-117542.7</v>
      </c>
      <c r="D27" s="59">
        <f t="shared" si="15"/>
        <v>-169483.2</v>
      </c>
      <c r="E27" s="59">
        <f t="shared" si="15"/>
        <v>-169483.2</v>
      </c>
      <c r="F27" s="59">
        <f t="shared" si="15"/>
        <v>-117542.7</v>
      </c>
      <c r="G27" s="59">
        <f t="shared" si="15"/>
        <v>-118472.7</v>
      </c>
      <c r="H27" s="59">
        <f t="shared" si="15"/>
        <v>-63044.7</v>
      </c>
      <c r="I27" s="59">
        <f t="shared" si="15"/>
        <v>-63044.7</v>
      </c>
      <c r="J27" s="59">
        <f t="shared" si="15"/>
        <v>-63044.7</v>
      </c>
      <c r="K27" s="59">
        <f t="shared" si="15"/>
        <v>-63044.7</v>
      </c>
      <c r="L27" s="59">
        <f t="shared" si="15"/>
        <v>-63974.7</v>
      </c>
      <c r="M27" s="59">
        <f t="shared" si="15"/>
        <v>-63974.7</v>
      </c>
      <c r="N27" s="59">
        <f>SUM(B27:M27)</f>
        <v>-1245995.4</v>
      </c>
    </row>
    <row r="28" ht="15.75" customHeight="1"/>
    <row r="29" ht="15.75" customHeight="1"/>
    <row r="30" ht="15.75" customHeight="1">
      <c r="A30" s="6" t="s">
        <v>48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ht="15.75" customHeight="1">
      <c r="A31" s="55"/>
      <c r="B31" s="56" t="s">
        <v>2</v>
      </c>
      <c r="C31" s="56" t="s">
        <v>3</v>
      </c>
      <c r="D31" s="56" t="s">
        <v>4</v>
      </c>
      <c r="E31" s="56" t="s">
        <v>5</v>
      </c>
      <c r="F31" s="56" t="s">
        <v>6</v>
      </c>
      <c r="G31" s="56" t="s">
        <v>7</v>
      </c>
      <c r="H31" s="56" t="s">
        <v>8</v>
      </c>
      <c r="I31" s="56" t="s">
        <v>9</v>
      </c>
      <c r="J31" s="56" t="s">
        <v>10</v>
      </c>
      <c r="K31" s="56" t="s">
        <v>11</v>
      </c>
      <c r="L31" s="56" t="s">
        <v>12</v>
      </c>
      <c r="M31" s="56" t="s">
        <v>13</v>
      </c>
      <c r="N31" s="57" t="s">
        <v>14</v>
      </c>
    </row>
    <row r="32" ht="15.75" customHeight="1">
      <c r="A32" s="58" t="s">
        <v>15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</row>
    <row r="33" ht="15.75" customHeight="1">
      <c r="A33" s="60" t="s">
        <v>84</v>
      </c>
      <c r="B33" s="59">
        <f>700*'Monthly Key Assumptions'!B44</f>
        <v>366100</v>
      </c>
      <c r="C33" s="59">
        <f>700*'Monthly Key Assumptions'!C44</f>
        <v>343700</v>
      </c>
      <c r="D33" s="59">
        <f>700*'Monthly Key Assumptions'!D44</f>
        <v>442400</v>
      </c>
      <c r="E33" s="59">
        <f>700*'Monthly Key Assumptions'!E44</f>
        <v>490000</v>
      </c>
      <c r="F33" s="59">
        <f>700*'Monthly Key Assumptions'!F44</f>
        <v>409500</v>
      </c>
      <c r="G33" s="59">
        <f>700*'Monthly Key Assumptions'!G44</f>
        <v>375900</v>
      </c>
      <c r="H33" s="59">
        <f>700*'Monthly Key Assumptions'!H44</f>
        <v>357700</v>
      </c>
      <c r="I33" s="59">
        <f>700*'Monthly Key Assumptions'!I44</f>
        <v>338800</v>
      </c>
      <c r="J33" s="59">
        <f>700*'Monthly Key Assumptions'!J44</f>
        <v>367500</v>
      </c>
      <c r="K33" s="59">
        <f>700*'Monthly Key Assumptions'!K44</f>
        <v>359800</v>
      </c>
      <c r="L33" s="59">
        <f>700*'Monthly Key Assumptions'!L44</f>
        <v>583100</v>
      </c>
      <c r="M33" s="59">
        <f>700*'Monthly Key Assumptions'!M44</f>
        <v>637000</v>
      </c>
      <c r="N33" s="59">
        <f t="shared" ref="N33:N34" si="16">SUM(B33:M33)</f>
        <v>5071500</v>
      </c>
    </row>
    <row r="34" ht="15.75" customHeight="1">
      <c r="A34" s="39" t="s">
        <v>68</v>
      </c>
      <c r="B34" s="63">
        <v>5000.0</v>
      </c>
      <c r="C34" s="59">
        <v>6350.0</v>
      </c>
      <c r="D34" s="59">
        <v>6850.0</v>
      </c>
      <c r="E34" s="59">
        <v>8050.0</v>
      </c>
      <c r="F34" s="59">
        <v>8725.0</v>
      </c>
      <c r="G34" s="59">
        <v>9075.0</v>
      </c>
      <c r="H34" s="59">
        <v>10275.0</v>
      </c>
      <c r="I34" s="59">
        <v>10375.0</v>
      </c>
      <c r="J34" s="59">
        <v>11150.0</v>
      </c>
      <c r="K34" s="59">
        <v>11825.0</v>
      </c>
      <c r="L34" s="59">
        <v>10875.0</v>
      </c>
      <c r="M34" s="59">
        <v>11250.0</v>
      </c>
      <c r="N34" s="59">
        <f t="shared" si="16"/>
        <v>109800</v>
      </c>
    </row>
    <row r="35" ht="15.75" customHeight="1">
      <c r="A35" s="62" t="s">
        <v>20</v>
      </c>
      <c r="B35" s="59">
        <f t="shared" ref="B35:N35" si="17">SUM(B33:B34)</f>
        <v>371100</v>
      </c>
      <c r="C35" s="59">
        <f t="shared" si="17"/>
        <v>350050</v>
      </c>
      <c r="D35" s="59">
        <f t="shared" si="17"/>
        <v>449250</v>
      </c>
      <c r="E35" s="59">
        <f t="shared" si="17"/>
        <v>498050</v>
      </c>
      <c r="F35" s="59">
        <f t="shared" si="17"/>
        <v>418225</v>
      </c>
      <c r="G35" s="59">
        <f t="shared" si="17"/>
        <v>384975</v>
      </c>
      <c r="H35" s="59">
        <f t="shared" si="17"/>
        <v>367975</v>
      </c>
      <c r="I35" s="59">
        <f t="shared" si="17"/>
        <v>349175</v>
      </c>
      <c r="J35" s="59">
        <f t="shared" si="17"/>
        <v>378650</v>
      </c>
      <c r="K35" s="59">
        <f t="shared" si="17"/>
        <v>371625</v>
      </c>
      <c r="L35" s="59">
        <f t="shared" si="17"/>
        <v>593975</v>
      </c>
      <c r="M35" s="59">
        <f t="shared" si="17"/>
        <v>648250</v>
      </c>
      <c r="N35" s="59">
        <f t="shared" si="17"/>
        <v>5181300</v>
      </c>
    </row>
    <row r="36" ht="15.75" customHeight="1">
      <c r="A36" s="58" t="s">
        <v>69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ht="15.75" customHeight="1">
      <c r="A37" s="60" t="s">
        <v>70</v>
      </c>
      <c r="B37" s="59">
        <f t="shared" ref="B37:M37" si="18">-B33/550*400</f>
        <v>-266254.5455</v>
      </c>
      <c r="C37" s="59">
        <f t="shared" si="18"/>
        <v>-249963.6364</v>
      </c>
      <c r="D37" s="59">
        <f t="shared" si="18"/>
        <v>-321745.4545</v>
      </c>
      <c r="E37" s="59">
        <f t="shared" si="18"/>
        <v>-356363.6364</v>
      </c>
      <c r="F37" s="59">
        <f t="shared" si="18"/>
        <v>-297818.1818</v>
      </c>
      <c r="G37" s="59">
        <f t="shared" si="18"/>
        <v>-273381.8182</v>
      </c>
      <c r="H37" s="59">
        <f t="shared" si="18"/>
        <v>-260145.4545</v>
      </c>
      <c r="I37" s="59">
        <f t="shared" si="18"/>
        <v>-246400</v>
      </c>
      <c r="J37" s="59">
        <f t="shared" si="18"/>
        <v>-267272.7273</v>
      </c>
      <c r="K37" s="59">
        <f t="shared" si="18"/>
        <v>-261672.7273</v>
      </c>
      <c r="L37" s="59">
        <f t="shared" si="18"/>
        <v>-424072.7273</v>
      </c>
      <c r="M37" s="59">
        <f t="shared" si="18"/>
        <v>-463272.7273</v>
      </c>
      <c r="N37" s="59">
        <f>SUM(B37:M37)</f>
        <v>-3688363.636</v>
      </c>
    </row>
    <row r="38" ht="15.75" customHeight="1">
      <c r="A38" s="60" t="s">
        <v>71</v>
      </c>
      <c r="B38" s="63">
        <v>-9345.0</v>
      </c>
      <c r="C38" s="63">
        <v>-11175.0</v>
      </c>
      <c r="D38" s="63">
        <v>-13590.0</v>
      </c>
      <c r="E38" s="63">
        <v>-15330.0</v>
      </c>
      <c r="F38" s="63">
        <v>-14010.0</v>
      </c>
      <c r="G38" s="63">
        <v>-13500.0</v>
      </c>
      <c r="H38" s="63">
        <v>-13830.0</v>
      </c>
      <c r="I38" s="63">
        <v>-13485.0</v>
      </c>
      <c r="J38" s="63">
        <v>-14565.0</v>
      </c>
      <c r="K38" s="63">
        <v>-14805.0</v>
      </c>
      <c r="L38" s="63">
        <v>-19020.0</v>
      </c>
      <c r="M38" s="63">
        <v>-20400.0</v>
      </c>
      <c r="N38" s="59">
        <f>SUM(M38)</f>
        <v>-20400</v>
      </c>
    </row>
    <row r="39" ht="15.75" customHeight="1">
      <c r="A39" s="64" t="s">
        <v>72</v>
      </c>
      <c r="B39" s="59">
        <f t="shared" ref="B39:M39" si="19">SUM(B37:B38)</f>
        <v>-275599.5455</v>
      </c>
      <c r="C39" s="59">
        <f t="shared" si="19"/>
        <v>-261138.6364</v>
      </c>
      <c r="D39" s="59">
        <f t="shared" si="19"/>
        <v>-335335.4545</v>
      </c>
      <c r="E39" s="59">
        <f t="shared" si="19"/>
        <v>-371693.6364</v>
      </c>
      <c r="F39" s="59">
        <f t="shared" si="19"/>
        <v>-311828.1818</v>
      </c>
      <c r="G39" s="59">
        <f t="shared" si="19"/>
        <v>-286881.8182</v>
      </c>
      <c r="H39" s="59">
        <f t="shared" si="19"/>
        <v>-273975.4545</v>
      </c>
      <c r="I39" s="59">
        <f t="shared" si="19"/>
        <v>-259885</v>
      </c>
      <c r="J39" s="59">
        <f t="shared" si="19"/>
        <v>-281837.7273</v>
      </c>
      <c r="K39" s="59">
        <f t="shared" si="19"/>
        <v>-276477.7273</v>
      </c>
      <c r="L39" s="59">
        <f t="shared" si="19"/>
        <v>-443092.7273</v>
      </c>
      <c r="M39" s="59">
        <f t="shared" si="19"/>
        <v>-483672.7273</v>
      </c>
      <c r="N39" s="59">
        <f t="shared" ref="N39:N40" si="21">SUM(B39:M39)</f>
        <v>-3861418.636</v>
      </c>
    </row>
    <row r="40" ht="15.75" customHeight="1">
      <c r="A40" s="64" t="s">
        <v>73</v>
      </c>
      <c r="B40" s="59">
        <f t="shared" ref="B40:M40" si="20">B35+B39</f>
        <v>95500.45455</v>
      </c>
      <c r="C40" s="59">
        <f t="shared" si="20"/>
        <v>88911.36364</v>
      </c>
      <c r="D40" s="59">
        <f t="shared" si="20"/>
        <v>113914.5455</v>
      </c>
      <c r="E40" s="59">
        <f t="shared" si="20"/>
        <v>126356.3636</v>
      </c>
      <c r="F40" s="59">
        <f t="shared" si="20"/>
        <v>106396.8182</v>
      </c>
      <c r="G40" s="59">
        <f t="shared" si="20"/>
        <v>98093.18182</v>
      </c>
      <c r="H40" s="59">
        <f t="shared" si="20"/>
        <v>93999.54545</v>
      </c>
      <c r="I40" s="59">
        <f t="shared" si="20"/>
        <v>89290</v>
      </c>
      <c r="J40" s="59">
        <f t="shared" si="20"/>
        <v>96812.27273</v>
      </c>
      <c r="K40" s="59">
        <f t="shared" si="20"/>
        <v>95147.27273</v>
      </c>
      <c r="L40" s="59">
        <f t="shared" si="20"/>
        <v>150882.2727</v>
      </c>
      <c r="M40" s="59">
        <f t="shared" si="20"/>
        <v>164577.2727</v>
      </c>
      <c r="N40" s="59">
        <f t="shared" si="21"/>
        <v>1319881.364</v>
      </c>
    </row>
    <row r="41" ht="15.75" customHeight="1">
      <c r="A41" s="64" t="s">
        <v>74</v>
      </c>
      <c r="B41" s="59">
        <f t="shared" ref="B41:N41" si="22">B40/B35</f>
        <v>0.2573442591</v>
      </c>
      <c r="C41" s="59">
        <f t="shared" si="22"/>
        <v>0.2539961824</v>
      </c>
      <c r="D41" s="59">
        <f t="shared" si="22"/>
        <v>0.2535660444</v>
      </c>
      <c r="E41" s="59">
        <f t="shared" si="22"/>
        <v>0.2537021657</v>
      </c>
      <c r="F41" s="59">
        <f t="shared" si="22"/>
        <v>0.2544009043</v>
      </c>
      <c r="G41" s="59">
        <f t="shared" si="22"/>
        <v>0.254804031</v>
      </c>
      <c r="H41" s="59">
        <f t="shared" si="22"/>
        <v>0.2554509014</v>
      </c>
      <c r="I41" s="59">
        <f t="shared" si="22"/>
        <v>0.2557170473</v>
      </c>
      <c r="J41" s="59">
        <f t="shared" si="22"/>
        <v>0.2556774666</v>
      </c>
      <c r="K41" s="59">
        <f t="shared" si="22"/>
        <v>0.2560303336</v>
      </c>
      <c r="L41" s="59">
        <f t="shared" si="22"/>
        <v>0.2540212513</v>
      </c>
      <c r="M41" s="59">
        <f t="shared" si="22"/>
        <v>0.2538793255</v>
      </c>
      <c r="N41" s="67">
        <f t="shared" si="22"/>
        <v>0.2547394213</v>
      </c>
    </row>
    <row r="42" ht="15.75" customHeight="1">
      <c r="A42" s="58" t="s">
        <v>76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</row>
    <row r="43" ht="15.75" customHeight="1">
      <c r="A43" s="60" t="s">
        <v>77</v>
      </c>
      <c r="B43" s="59">
        <v>105000.0</v>
      </c>
      <c r="C43" s="59">
        <v>105000.0</v>
      </c>
      <c r="D43" s="59">
        <v>105000.0</v>
      </c>
      <c r="E43" s="59">
        <v>105000.0</v>
      </c>
      <c r="F43" s="59">
        <v>105000.0</v>
      </c>
      <c r="G43" s="59">
        <v>105000.0</v>
      </c>
      <c r="H43" s="59">
        <v>105000.0</v>
      </c>
      <c r="I43" s="59">
        <v>105000.0</v>
      </c>
      <c r="J43" s="59">
        <v>105000.0</v>
      </c>
      <c r="K43" s="59">
        <v>105000.0</v>
      </c>
      <c r="L43" s="59">
        <v>105000.0</v>
      </c>
      <c r="M43" s="59">
        <v>105000.0</v>
      </c>
      <c r="N43" s="59">
        <f t="shared" ref="N43:N48" si="23">SUM(B43:M43)</f>
        <v>1260000</v>
      </c>
    </row>
    <row r="44" ht="15.75" customHeight="1">
      <c r="A44" s="45" t="s">
        <v>24</v>
      </c>
      <c r="B44" s="59">
        <v>4500.0</v>
      </c>
      <c r="C44" s="59">
        <v>4500.0</v>
      </c>
      <c r="D44" s="59">
        <v>4500.0</v>
      </c>
      <c r="E44" s="59">
        <v>4500.0</v>
      </c>
      <c r="F44" s="59">
        <v>4500.0</v>
      </c>
      <c r="G44" s="59">
        <v>4500.0</v>
      </c>
      <c r="H44" s="59">
        <v>4500.0</v>
      </c>
      <c r="I44" s="59">
        <v>4500.0</v>
      </c>
      <c r="J44" s="59">
        <v>4500.0</v>
      </c>
      <c r="K44" s="59">
        <v>5500.0</v>
      </c>
      <c r="L44" s="59">
        <v>5500.0</v>
      </c>
      <c r="M44" s="59">
        <v>5500.0</v>
      </c>
      <c r="N44" s="59">
        <f t="shared" si="23"/>
        <v>57000</v>
      </c>
    </row>
    <row r="45" ht="15.75" customHeight="1">
      <c r="A45" s="45" t="s">
        <v>26</v>
      </c>
      <c r="B45" s="11">
        <v>6656.0</v>
      </c>
      <c r="C45" s="11">
        <v>6656.0</v>
      </c>
      <c r="D45" s="11">
        <v>6656.0</v>
      </c>
      <c r="E45" s="11">
        <v>6656.0</v>
      </c>
      <c r="F45" s="11">
        <v>6656.0</v>
      </c>
      <c r="G45" s="11">
        <v>6656.0</v>
      </c>
      <c r="H45" s="11">
        <v>6656.0</v>
      </c>
      <c r="I45" s="11">
        <v>6656.0</v>
      </c>
      <c r="J45" s="11">
        <v>6656.0</v>
      </c>
      <c r="K45" s="11">
        <v>6656.0</v>
      </c>
      <c r="L45" s="11">
        <v>6656.0</v>
      </c>
      <c r="M45" s="11">
        <v>6656.0</v>
      </c>
      <c r="N45" s="59">
        <f t="shared" si="23"/>
        <v>79872</v>
      </c>
    </row>
    <row r="46" ht="15.75" customHeight="1">
      <c r="A46" s="45" t="s">
        <v>25</v>
      </c>
      <c r="B46" s="63">
        <v>160.0</v>
      </c>
      <c r="C46" s="63">
        <v>160.0</v>
      </c>
      <c r="D46" s="63">
        <v>160.0</v>
      </c>
      <c r="E46" s="63">
        <v>160.0</v>
      </c>
      <c r="F46" s="63">
        <v>160.0</v>
      </c>
      <c r="G46" s="63">
        <v>160.0</v>
      </c>
      <c r="H46" s="63">
        <v>160.0</v>
      </c>
      <c r="I46" s="63">
        <v>160.0</v>
      </c>
      <c r="J46" s="63">
        <v>160.0</v>
      </c>
      <c r="K46" s="63">
        <v>160.0</v>
      </c>
      <c r="L46" s="63">
        <v>160.0</v>
      </c>
      <c r="M46" s="63">
        <v>160.0</v>
      </c>
      <c r="N46" s="59">
        <f t="shared" si="23"/>
        <v>1920</v>
      </c>
    </row>
    <row r="47" ht="15.75" customHeight="1">
      <c r="A47" s="45" t="s">
        <v>27</v>
      </c>
      <c r="B47" s="11">
        <v>15000.0</v>
      </c>
      <c r="C47" s="11">
        <v>15000.0</v>
      </c>
      <c r="D47" s="11">
        <v>15000.0</v>
      </c>
      <c r="E47" s="11">
        <v>15000.0</v>
      </c>
      <c r="F47" s="11">
        <v>15000.0</v>
      </c>
      <c r="G47" s="11">
        <v>15000.0</v>
      </c>
      <c r="H47" s="11">
        <v>15000.0</v>
      </c>
      <c r="I47" s="11">
        <v>15000.0</v>
      </c>
      <c r="J47" s="11">
        <v>15000.0</v>
      </c>
      <c r="K47" s="11">
        <v>15000.0</v>
      </c>
      <c r="L47" s="11">
        <v>15000.0</v>
      </c>
      <c r="M47" s="11">
        <v>15000.0</v>
      </c>
      <c r="N47" s="59">
        <f t="shared" si="23"/>
        <v>180000</v>
      </c>
    </row>
    <row r="48" ht="15.75" customHeight="1">
      <c r="A48" s="45" t="s">
        <v>22</v>
      </c>
      <c r="B48" s="63">
        <v>1200.0</v>
      </c>
      <c r="C48" s="63">
        <v>1200.0</v>
      </c>
      <c r="D48" s="63">
        <v>1200.0</v>
      </c>
      <c r="E48" s="63">
        <v>1200.0</v>
      </c>
      <c r="F48" s="63">
        <v>1200.0</v>
      </c>
      <c r="G48" s="63">
        <v>1200.0</v>
      </c>
      <c r="H48" s="63">
        <v>1200.0</v>
      </c>
      <c r="I48" s="63">
        <v>1200.0</v>
      </c>
      <c r="J48" s="63">
        <v>1200.0</v>
      </c>
      <c r="K48" s="63">
        <v>1200.0</v>
      </c>
      <c r="L48" s="63">
        <v>1200.0</v>
      </c>
      <c r="M48" s="63">
        <v>1200.0</v>
      </c>
      <c r="N48" s="59">
        <f t="shared" si="23"/>
        <v>14400</v>
      </c>
    </row>
    <row r="49" ht="15.75" customHeight="1">
      <c r="A49" s="64" t="s">
        <v>78</v>
      </c>
      <c r="B49" s="59">
        <f t="shared" ref="B49:N49" si="24">B40-SUM(B43:B48)</f>
        <v>-37015.54545</v>
      </c>
      <c r="C49" s="59">
        <f t="shared" si="24"/>
        <v>-43604.63636</v>
      </c>
      <c r="D49" s="59">
        <f t="shared" si="24"/>
        <v>-18601.45455</v>
      </c>
      <c r="E49" s="59">
        <f t="shared" si="24"/>
        <v>-6159.636364</v>
      </c>
      <c r="F49" s="59">
        <f t="shared" si="24"/>
        <v>-26119.18182</v>
      </c>
      <c r="G49" s="59">
        <f t="shared" si="24"/>
        <v>-34422.81818</v>
      </c>
      <c r="H49" s="59">
        <f t="shared" si="24"/>
        <v>-38516.45455</v>
      </c>
      <c r="I49" s="59">
        <f t="shared" si="24"/>
        <v>-43226</v>
      </c>
      <c r="J49" s="59">
        <f t="shared" si="24"/>
        <v>-35703.72727</v>
      </c>
      <c r="K49" s="59">
        <f t="shared" si="24"/>
        <v>-38368.72727</v>
      </c>
      <c r="L49" s="59">
        <f t="shared" si="24"/>
        <v>17366.27273</v>
      </c>
      <c r="M49" s="59">
        <f t="shared" si="24"/>
        <v>31061.27273</v>
      </c>
      <c r="N49" s="59">
        <f t="shared" si="24"/>
        <v>-273310.6364</v>
      </c>
    </row>
    <row r="50" ht="15.75" customHeight="1">
      <c r="A50" s="64" t="s">
        <v>79</v>
      </c>
      <c r="B50" s="59">
        <f t="shared" ref="B50:M50" si="25">B49*0.07</f>
        <v>-2591.088182</v>
      </c>
      <c r="C50" s="59">
        <f t="shared" si="25"/>
        <v>-3052.324545</v>
      </c>
      <c r="D50" s="59">
        <f t="shared" si="25"/>
        <v>-1302.101818</v>
      </c>
      <c r="E50" s="59">
        <f t="shared" si="25"/>
        <v>-431.1745455</v>
      </c>
      <c r="F50" s="59">
        <f t="shared" si="25"/>
        <v>-1828.342727</v>
      </c>
      <c r="G50" s="59">
        <f t="shared" si="25"/>
        <v>-2409.597273</v>
      </c>
      <c r="H50" s="59">
        <f t="shared" si="25"/>
        <v>-2696.151818</v>
      </c>
      <c r="I50" s="59">
        <f t="shared" si="25"/>
        <v>-3025.82</v>
      </c>
      <c r="J50" s="59">
        <f t="shared" si="25"/>
        <v>-2499.260909</v>
      </c>
      <c r="K50" s="59">
        <f t="shared" si="25"/>
        <v>-2685.810909</v>
      </c>
      <c r="L50" s="59">
        <f t="shared" si="25"/>
        <v>1215.639091</v>
      </c>
      <c r="M50" s="59">
        <f t="shared" si="25"/>
        <v>2174.289091</v>
      </c>
      <c r="N50" s="59">
        <f t="shared" ref="N50:N51" si="27">SUM(B50:M50)</f>
        <v>-19131.74455</v>
      </c>
    </row>
    <row r="51" ht="15.75" customHeight="1">
      <c r="A51" s="64" t="s">
        <v>80</v>
      </c>
      <c r="B51" s="59">
        <f t="shared" ref="B51:M51" si="26">B49-B50</f>
        <v>-34424.45727</v>
      </c>
      <c r="C51" s="59">
        <f t="shared" si="26"/>
        <v>-40552.31182</v>
      </c>
      <c r="D51" s="59">
        <f t="shared" si="26"/>
        <v>-17299.35273</v>
      </c>
      <c r="E51" s="59">
        <f t="shared" si="26"/>
        <v>-5728.461818</v>
      </c>
      <c r="F51" s="59">
        <f t="shared" si="26"/>
        <v>-24290.83909</v>
      </c>
      <c r="G51" s="59">
        <f t="shared" si="26"/>
        <v>-32013.22091</v>
      </c>
      <c r="H51" s="59">
        <f t="shared" si="26"/>
        <v>-35820.30273</v>
      </c>
      <c r="I51" s="59">
        <f t="shared" si="26"/>
        <v>-40200.18</v>
      </c>
      <c r="J51" s="59">
        <f t="shared" si="26"/>
        <v>-33204.46636</v>
      </c>
      <c r="K51" s="59">
        <f t="shared" si="26"/>
        <v>-35682.91636</v>
      </c>
      <c r="L51" s="59">
        <f t="shared" si="26"/>
        <v>16150.63364</v>
      </c>
      <c r="M51" s="59">
        <f t="shared" si="26"/>
        <v>28886.98364</v>
      </c>
      <c r="N51" s="59">
        <f t="shared" si="27"/>
        <v>-254178.8918</v>
      </c>
    </row>
    <row r="52" ht="15.75" customHeight="1">
      <c r="A52" s="64" t="s">
        <v>81</v>
      </c>
      <c r="B52" s="59">
        <f>B51</f>
        <v>-34424.45727</v>
      </c>
      <c r="C52" s="59">
        <f t="shared" ref="C52:M52" si="28">C51+B52</f>
        <v>-74976.76909</v>
      </c>
      <c r="D52" s="59">
        <f t="shared" si="28"/>
        <v>-92276.12182</v>
      </c>
      <c r="E52" s="59">
        <f t="shared" si="28"/>
        <v>-98004.58364</v>
      </c>
      <c r="F52" s="59">
        <f t="shared" si="28"/>
        <v>-122295.4227</v>
      </c>
      <c r="G52" s="59">
        <f t="shared" si="28"/>
        <v>-154308.6436</v>
      </c>
      <c r="H52" s="59">
        <f t="shared" si="28"/>
        <v>-190128.9464</v>
      </c>
      <c r="I52" s="59">
        <f t="shared" si="28"/>
        <v>-230329.1264</v>
      </c>
      <c r="J52" s="59">
        <f t="shared" si="28"/>
        <v>-263533.5927</v>
      </c>
      <c r="K52" s="59">
        <f t="shared" si="28"/>
        <v>-299216.5091</v>
      </c>
      <c r="L52" s="59">
        <f t="shared" si="28"/>
        <v>-283065.8755</v>
      </c>
      <c r="M52" s="59">
        <f t="shared" si="28"/>
        <v>-254178.8918</v>
      </c>
      <c r="N52" s="59">
        <f>M52</f>
        <v>-254178.8918</v>
      </c>
    </row>
    <row r="53" ht="15.75" customHeight="1">
      <c r="A53" s="58" t="s">
        <v>82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>
        <f t="shared" ref="N53:N54" si="30">SUM(B53:M53)</f>
        <v>0</v>
      </c>
    </row>
    <row r="54" ht="15.75" customHeight="1">
      <c r="A54" s="64" t="s">
        <v>83</v>
      </c>
      <c r="B54" s="59">
        <f t="shared" ref="B54:M54" si="29">B51</f>
        <v>-34424.45727</v>
      </c>
      <c r="C54" s="59">
        <f t="shared" si="29"/>
        <v>-40552.31182</v>
      </c>
      <c r="D54" s="59">
        <f t="shared" si="29"/>
        <v>-17299.35273</v>
      </c>
      <c r="E54" s="59">
        <f t="shared" si="29"/>
        <v>-5728.461818</v>
      </c>
      <c r="F54" s="59">
        <f t="shared" si="29"/>
        <v>-24290.83909</v>
      </c>
      <c r="G54" s="59">
        <f t="shared" si="29"/>
        <v>-32013.22091</v>
      </c>
      <c r="H54" s="59">
        <f t="shared" si="29"/>
        <v>-35820.30273</v>
      </c>
      <c r="I54" s="59">
        <f t="shared" si="29"/>
        <v>-40200.18</v>
      </c>
      <c r="J54" s="59">
        <f t="shared" si="29"/>
        <v>-33204.46636</v>
      </c>
      <c r="K54" s="59">
        <f t="shared" si="29"/>
        <v>-35682.91636</v>
      </c>
      <c r="L54" s="59">
        <f t="shared" si="29"/>
        <v>16150.63364</v>
      </c>
      <c r="M54" s="59">
        <f t="shared" si="29"/>
        <v>28886.98364</v>
      </c>
      <c r="N54" s="59">
        <f t="shared" si="30"/>
        <v>-254178.8918</v>
      </c>
    </row>
    <row r="55" ht="15.75" customHeight="1"/>
    <row r="56" ht="15.75" customHeight="1"/>
    <row r="57" ht="15.75" customHeight="1"/>
    <row r="58" ht="15.75" customHeight="1">
      <c r="A58" s="6" t="s">
        <v>56</v>
      </c>
    </row>
    <row r="59" ht="15.75" customHeight="1">
      <c r="A59" s="55"/>
      <c r="B59" s="56" t="s">
        <v>2</v>
      </c>
      <c r="C59" s="56" t="s">
        <v>3</v>
      </c>
      <c r="D59" s="56" t="s">
        <v>4</v>
      </c>
      <c r="E59" s="56" t="s">
        <v>5</v>
      </c>
      <c r="F59" s="56" t="s">
        <v>6</v>
      </c>
      <c r="G59" s="56" t="s">
        <v>7</v>
      </c>
      <c r="H59" s="56" t="s">
        <v>8</v>
      </c>
      <c r="I59" s="56" t="s">
        <v>9</v>
      </c>
      <c r="J59" s="56" t="s">
        <v>10</v>
      </c>
      <c r="K59" s="56" t="s">
        <v>11</v>
      </c>
      <c r="L59" s="56" t="s">
        <v>12</v>
      </c>
      <c r="M59" s="56" t="s">
        <v>13</v>
      </c>
      <c r="N59" s="57" t="s">
        <v>14</v>
      </c>
    </row>
    <row r="60" ht="15.75" customHeight="1">
      <c r="A60" s="58" t="s">
        <v>15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ht="15.75" customHeight="1">
      <c r="A61" s="60" t="s">
        <v>84</v>
      </c>
      <c r="B61" s="59">
        <f>700*'Monthly Key Assumptions'!B71</f>
        <v>610400</v>
      </c>
      <c r="C61" s="59">
        <f>700*'Monthly Key Assumptions'!C71</f>
        <v>528500</v>
      </c>
      <c r="D61" s="59">
        <f>700*'Monthly Key Assumptions'!D71</f>
        <v>445200</v>
      </c>
      <c r="E61" s="59">
        <f>700*'Monthly Key Assumptions'!E71</f>
        <v>475300</v>
      </c>
      <c r="F61" s="59">
        <f>700*'Monthly Key Assumptions'!F71</f>
        <v>501900</v>
      </c>
      <c r="G61" s="59">
        <f>700*'Monthly Key Assumptions'!G71</f>
        <v>436800</v>
      </c>
      <c r="H61" s="59">
        <f>700*'Monthly Key Assumptions'!H71</f>
        <v>445900</v>
      </c>
      <c r="I61" s="59">
        <f>700*'Monthly Key Assumptions'!I71</f>
        <v>515900</v>
      </c>
      <c r="J61" s="59">
        <f>700*'Monthly Key Assumptions'!J71</f>
        <v>632100</v>
      </c>
      <c r="K61" s="59">
        <f>700*'Monthly Key Assumptions'!K71</f>
        <v>648900</v>
      </c>
      <c r="L61" s="59">
        <f>700*'Monthly Key Assumptions'!L71</f>
        <v>654500</v>
      </c>
      <c r="M61" s="59">
        <f>700*'Monthly Key Assumptions'!M71</f>
        <v>809200</v>
      </c>
      <c r="N61" s="59">
        <f t="shared" ref="N61:N62" si="31">SUM(B61:M61)</f>
        <v>6704600</v>
      </c>
    </row>
    <row r="62" ht="15.75" customHeight="1">
      <c r="A62" s="39" t="s">
        <v>68</v>
      </c>
      <c r="B62" s="63">
        <f>25*'Monthly Key Assumptions'!B72</f>
        <v>23750</v>
      </c>
      <c r="C62" s="63">
        <f>25*'Monthly Key Assumptions'!C72</f>
        <v>24975</v>
      </c>
      <c r="D62" s="63">
        <f>25*'Monthly Key Assumptions'!D72</f>
        <v>26550</v>
      </c>
      <c r="E62" s="63">
        <f>25*'Monthly Key Assumptions'!E72</f>
        <v>28025</v>
      </c>
      <c r="F62" s="63">
        <f>25*'Monthly Key Assumptions'!F72</f>
        <v>28625</v>
      </c>
      <c r="G62" s="63">
        <f>25*'Monthly Key Assumptions'!G72</f>
        <v>31675</v>
      </c>
      <c r="H62" s="63">
        <f>25*'Monthly Key Assumptions'!H72</f>
        <v>32400</v>
      </c>
      <c r="I62" s="63">
        <f>25*'Monthly Key Assumptions'!I72</f>
        <v>32800</v>
      </c>
      <c r="J62" s="63">
        <f>25*'Monthly Key Assumptions'!J72</f>
        <v>33625</v>
      </c>
      <c r="K62" s="63">
        <f>25*'Monthly Key Assumptions'!K72</f>
        <v>34450</v>
      </c>
      <c r="L62" s="63">
        <f>25*'Monthly Key Assumptions'!L72</f>
        <v>36350</v>
      </c>
      <c r="M62" s="63">
        <f>25*'Monthly Key Assumptions'!M72</f>
        <v>38300</v>
      </c>
      <c r="N62" s="59">
        <f t="shared" si="31"/>
        <v>371525</v>
      </c>
    </row>
    <row r="63" ht="15.75" customHeight="1">
      <c r="A63" s="62" t="s">
        <v>20</v>
      </c>
      <c r="B63" s="63">
        <f t="shared" ref="B63:M63" si="32">B62+B61</f>
        <v>634150</v>
      </c>
      <c r="C63" s="63">
        <f t="shared" si="32"/>
        <v>553475</v>
      </c>
      <c r="D63" s="63">
        <f t="shared" si="32"/>
        <v>471750</v>
      </c>
      <c r="E63" s="63">
        <f t="shared" si="32"/>
        <v>503325</v>
      </c>
      <c r="F63" s="63">
        <f t="shared" si="32"/>
        <v>530525</v>
      </c>
      <c r="G63" s="63">
        <f t="shared" si="32"/>
        <v>468475</v>
      </c>
      <c r="H63" s="63">
        <f t="shared" si="32"/>
        <v>478300</v>
      </c>
      <c r="I63" s="63">
        <f t="shared" si="32"/>
        <v>548700</v>
      </c>
      <c r="J63" s="63">
        <f t="shared" si="32"/>
        <v>665725</v>
      </c>
      <c r="K63" s="63">
        <f t="shared" si="32"/>
        <v>683350</v>
      </c>
      <c r="L63" s="63">
        <f t="shared" si="32"/>
        <v>690850</v>
      </c>
      <c r="M63" s="63">
        <f t="shared" si="32"/>
        <v>847500</v>
      </c>
      <c r="N63" s="59">
        <f>SUM(N61:N62)</f>
        <v>7076125</v>
      </c>
    </row>
    <row r="64" ht="15.75" customHeight="1">
      <c r="A64" s="58" t="s">
        <v>69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ht="15.75" customHeight="1">
      <c r="A65" s="60" t="s">
        <v>70</v>
      </c>
      <c r="B65" s="59">
        <f t="shared" ref="B65:M65" si="33">-B61/550*400</f>
        <v>-443927.2727</v>
      </c>
      <c r="C65" s="59">
        <f t="shared" si="33"/>
        <v>-384363.6364</v>
      </c>
      <c r="D65" s="59">
        <f t="shared" si="33"/>
        <v>-323781.8182</v>
      </c>
      <c r="E65" s="59">
        <f t="shared" si="33"/>
        <v>-345672.7273</v>
      </c>
      <c r="F65" s="59">
        <f t="shared" si="33"/>
        <v>-365018.1818</v>
      </c>
      <c r="G65" s="59">
        <f t="shared" si="33"/>
        <v>-317672.7273</v>
      </c>
      <c r="H65" s="59">
        <f t="shared" si="33"/>
        <v>-324290.9091</v>
      </c>
      <c r="I65" s="59">
        <f t="shared" si="33"/>
        <v>-375200</v>
      </c>
      <c r="J65" s="59">
        <f t="shared" si="33"/>
        <v>-459709.0909</v>
      </c>
      <c r="K65" s="59">
        <f t="shared" si="33"/>
        <v>-471927.2727</v>
      </c>
      <c r="L65" s="59">
        <f t="shared" si="33"/>
        <v>-476000</v>
      </c>
      <c r="M65" s="59">
        <f t="shared" si="33"/>
        <v>-588509.0909</v>
      </c>
      <c r="N65" s="59">
        <f>sum(B65:M65)</f>
        <v>-4876072.727</v>
      </c>
    </row>
    <row r="66" ht="15.75" customHeight="1">
      <c r="A66" s="60" t="s">
        <v>71</v>
      </c>
      <c r="B66" s="63">
        <v>-20595.0</v>
      </c>
      <c r="C66" s="63">
        <v>-21270.0</v>
      </c>
      <c r="D66" s="63">
        <v>-22470.0</v>
      </c>
      <c r="E66" s="63">
        <v>-24000.0</v>
      </c>
      <c r="F66" s="63">
        <v>-24930.0</v>
      </c>
      <c r="G66" s="63">
        <v>-23865.0</v>
      </c>
      <c r="H66" s="63">
        <v>-24495.0</v>
      </c>
      <c r="I66" s="63">
        <v>-26235.0</v>
      </c>
      <c r="J66" s="63">
        <v>-26220.0</v>
      </c>
      <c r="K66" s="63">
        <v>-27075.0</v>
      </c>
      <c r="L66" s="63">
        <v>-29835.0</v>
      </c>
      <c r="M66" s="63">
        <v>-34320.0</v>
      </c>
      <c r="N66" s="59">
        <f>SUM(M66)</f>
        <v>-34320</v>
      </c>
    </row>
    <row r="67" ht="15.75" customHeight="1">
      <c r="A67" s="64" t="s">
        <v>72</v>
      </c>
      <c r="B67" s="59">
        <f t="shared" ref="B67:M67" si="34">SUM(B65:B66)</f>
        <v>-464522.2727</v>
      </c>
      <c r="C67" s="59">
        <f t="shared" si="34"/>
        <v>-405633.6364</v>
      </c>
      <c r="D67" s="59">
        <f t="shared" si="34"/>
        <v>-346251.8182</v>
      </c>
      <c r="E67" s="59">
        <f t="shared" si="34"/>
        <v>-369672.7273</v>
      </c>
      <c r="F67" s="59">
        <f t="shared" si="34"/>
        <v>-389948.1818</v>
      </c>
      <c r="G67" s="59">
        <f t="shared" si="34"/>
        <v>-341537.7273</v>
      </c>
      <c r="H67" s="59">
        <f t="shared" si="34"/>
        <v>-348785.9091</v>
      </c>
      <c r="I67" s="59">
        <f t="shared" si="34"/>
        <v>-401435</v>
      </c>
      <c r="J67" s="59">
        <f t="shared" si="34"/>
        <v>-485929.0909</v>
      </c>
      <c r="K67" s="59">
        <f t="shared" si="34"/>
        <v>-499002.2727</v>
      </c>
      <c r="L67" s="59">
        <f t="shared" si="34"/>
        <v>-505835</v>
      </c>
      <c r="M67" s="59">
        <f t="shared" si="34"/>
        <v>-622829.0909</v>
      </c>
      <c r="N67" s="59">
        <f t="shared" ref="N67:N68" si="36">SUM(B67:M67)</f>
        <v>-5181382.727</v>
      </c>
    </row>
    <row r="68" ht="15.75" customHeight="1">
      <c r="A68" s="64" t="s">
        <v>73</v>
      </c>
      <c r="B68" s="59">
        <f t="shared" ref="B68:M68" si="35">B63+B67</f>
        <v>169627.7273</v>
      </c>
      <c r="C68" s="59">
        <f t="shared" si="35"/>
        <v>147841.3636</v>
      </c>
      <c r="D68" s="59">
        <f t="shared" si="35"/>
        <v>125498.1818</v>
      </c>
      <c r="E68" s="59">
        <f t="shared" si="35"/>
        <v>133652.2727</v>
      </c>
      <c r="F68" s="59">
        <f t="shared" si="35"/>
        <v>140576.8182</v>
      </c>
      <c r="G68" s="59">
        <f t="shared" si="35"/>
        <v>126937.2727</v>
      </c>
      <c r="H68" s="59">
        <f t="shared" si="35"/>
        <v>129514.0909</v>
      </c>
      <c r="I68" s="59">
        <f t="shared" si="35"/>
        <v>147265</v>
      </c>
      <c r="J68" s="59">
        <f t="shared" si="35"/>
        <v>179795.9091</v>
      </c>
      <c r="K68" s="59">
        <f t="shared" si="35"/>
        <v>184347.7273</v>
      </c>
      <c r="L68" s="59">
        <f t="shared" si="35"/>
        <v>185015</v>
      </c>
      <c r="M68" s="59">
        <f t="shared" si="35"/>
        <v>224670.9091</v>
      </c>
      <c r="N68" s="59">
        <f t="shared" si="36"/>
        <v>1894742.273</v>
      </c>
    </row>
    <row r="69" ht="15.75" customHeight="1">
      <c r="A69" s="64" t="s">
        <v>74</v>
      </c>
      <c r="B69" s="59">
        <f t="shared" ref="B69:N69" si="37">B68/B61</f>
        <v>0.2778960145</v>
      </c>
      <c r="C69" s="59">
        <f t="shared" si="37"/>
        <v>0.2797376795</v>
      </c>
      <c r="D69" s="59">
        <f t="shared" si="37"/>
        <v>0.2818916932</v>
      </c>
      <c r="E69" s="59">
        <f t="shared" si="37"/>
        <v>0.2811956085</v>
      </c>
      <c r="F69" s="59">
        <f t="shared" si="37"/>
        <v>0.280089297</v>
      </c>
      <c r="G69" s="59">
        <f t="shared" si="37"/>
        <v>0.2906073094</v>
      </c>
      <c r="H69" s="59">
        <f t="shared" si="37"/>
        <v>0.2904554629</v>
      </c>
      <c r="I69" s="59">
        <f t="shared" si="37"/>
        <v>0.2854526071</v>
      </c>
      <c r="J69" s="59">
        <f t="shared" si="37"/>
        <v>0.2844421913</v>
      </c>
      <c r="K69" s="59">
        <f t="shared" si="37"/>
        <v>0.2840926603</v>
      </c>
      <c r="L69" s="59">
        <f t="shared" si="37"/>
        <v>0.2826814362</v>
      </c>
      <c r="M69" s="59">
        <f t="shared" si="37"/>
        <v>0.2776457107</v>
      </c>
      <c r="N69" s="59">
        <f t="shared" si="37"/>
        <v>0.282603328</v>
      </c>
    </row>
    <row r="70" ht="15.75" customHeight="1">
      <c r="A70" s="58" t="s">
        <v>76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ht="15.75" customHeight="1">
      <c r="A71" s="60" t="s">
        <v>77</v>
      </c>
      <c r="B71" s="59">
        <v>105000.0</v>
      </c>
      <c r="C71" s="59">
        <v>105000.0</v>
      </c>
      <c r="D71" s="59">
        <v>105000.0</v>
      </c>
      <c r="E71" s="59">
        <v>105000.0</v>
      </c>
      <c r="F71" s="59">
        <v>105000.0</v>
      </c>
      <c r="G71" s="59">
        <v>105000.0</v>
      </c>
      <c r="H71" s="59">
        <v>105000.0</v>
      </c>
      <c r="I71" s="59">
        <v>105000.0</v>
      </c>
      <c r="J71" s="59">
        <v>105000.0</v>
      </c>
      <c r="K71" s="59">
        <v>105000.0</v>
      </c>
      <c r="L71" s="59">
        <v>105000.0</v>
      </c>
      <c r="M71" s="59">
        <v>105000.0</v>
      </c>
      <c r="N71" s="59">
        <f t="shared" ref="N71:N76" si="38">SUM(B71:M71)</f>
        <v>1260000</v>
      </c>
    </row>
    <row r="72" ht="15.75" customHeight="1">
      <c r="A72" s="45" t="s">
        <v>24</v>
      </c>
      <c r="B72" s="59">
        <v>4500.0</v>
      </c>
      <c r="C72" s="59">
        <v>4500.0</v>
      </c>
      <c r="D72" s="59">
        <v>4500.0</v>
      </c>
      <c r="E72" s="59">
        <v>4500.0</v>
      </c>
      <c r="F72" s="59">
        <v>4500.0</v>
      </c>
      <c r="G72" s="59">
        <v>4500.0</v>
      </c>
      <c r="H72" s="59">
        <v>4500.0</v>
      </c>
      <c r="I72" s="59">
        <v>4500.0</v>
      </c>
      <c r="J72" s="59">
        <v>4500.0</v>
      </c>
      <c r="K72" s="59">
        <v>5500.0</v>
      </c>
      <c r="L72" s="59">
        <v>5500.0</v>
      </c>
      <c r="M72" s="59">
        <v>5500.0</v>
      </c>
      <c r="N72" s="59">
        <f t="shared" si="38"/>
        <v>57000</v>
      </c>
    </row>
    <row r="73" ht="15.75" customHeight="1">
      <c r="A73" s="45" t="s">
        <v>26</v>
      </c>
      <c r="B73" s="11">
        <v>8320.0</v>
      </c>
      <c r="C73" s="11">
        <v>8320.0</v>
      </c>
      <c r="D73" s="11">
        <v>8320.0</v>
      </c>
      <c r="E73" s="11">
        <v>8320.0</v>
      </c>
      <c r="F73" s="11">
        <v>8320.0</v>
      </c>
      <c r="G73" s="11">
        <v>8320.0</v>
      </c>
      <c r="H73" s="11">
        <v>8320.0</v>
      </c>
      <c r="I73" s="11">
        <v>8320.0</v>
      </c>
      <c r="J73" s="11">
        <v>8320.0</v>
      </c>
      <c r="K73" s="11">
        <v>8320.0</v>
      </c>
      <c r="L73" s="11">
        <v>8320.0</v>
      </c>
      <c r="M73" s="11">
        <v>8320.0</v>
      </c>
      <c r="N73" s="59">
        <f t="shared" si="38"/>
        <v>99840</v>
      </c>
    </row>
    <row r="74" ht="15.75" customHeight="1">
      <c r="A74" s="45" t="s">
        <v>25</v>
      </c>
      <c r="B74" s="63">
        <v>180.0</v>
      </c>
      <c r="C74" s="63">
        <v>180.0</v>
      </c>
      <c r="D74" s="63">
        <v>180.0</v>
      </c>
      <c r="E74" s="63">
        <v>180.0</v>
      </c>
      <c r="F74" s="63">
        <v>180.0</v>
      </c>
      <c r="G74" s="63">
        <v>180.0</v>
      </c>
      <c r="H74" s="63">
        <v>180.0</v>
      </c>
      <c r="I74" s="63">
        <v>180.0</v>
      </c>
      <c r="J74" s="63">
        <v>180.0</v>
      </c>
      <c r="K74" s="63">
        <v>180.0</v>
      </c>
      <c r="L74" s="63">
        <v>180.0</v>
      </c>
      <c r="M74" s="63">
        <v>180.0</v>
      </c>
      <c r="N74" s="59">
        <f t="shared" si="38"/>
        <v>2160</v>
      </c>
    </row>
    <row r="75" ht="15.75" customHeight="1">
      <c r="A75" s="45" t="s">
        <v>27</v>
      </c>
      <c r="B75" s="11">
        <v>31500.0</v>
      </c>
      <c r="C75" s="11">
        <v>31500.0</v>
      </c>
      <c r="D75" s="11">
        <v>31500.0</v>
      </c>
      <c r="E75" s="11">
        <v>31500.0</v>
      </c>
      <c r="F75" s="11">
        <v>31500.0</v>
      </c>
      <c r="G75" s="11">
        <v>31500.0</v>
      </c>
      <c r="H75" s="11">
        <v>31500.0</v>
      </c>
      <c r="I75" s="11">
        <v>31500.0</v>
      </c>
      <c r="J75" s="11">
        <v>31500.0</v>
      </c>
      <c r="K75" s="11">
        <v>31500.0</v>
      </c>
      <c r="L75" s="11">
        <v>31500.0</v>
      </c>
      <c r="M75" s="11">
        <v>31500.0</v>
      </c>
      <c r="N75" s="59">
        <f t="shared" si="38"/>
        <v>378000</v>
      </c>
    </row>
    <row r="76" ht="15.75" customHeight="1">
      <c r="A76" s="45" t="s">
        <v>22</v>
      </c>
      <c r="B76" s="63">
        <v>1400.0</v>
      </c>
      <c r="C76" s="63">
        <v>1400.0</v>
      </c>
      <c r="D76" s="63">
        <v>1400.0</v>
      </c>
      <c r="E76" s="63">
        <v>1400.0</v>
      </c>
      <c r="F76" s="63">
        <v>1400.0</v>
      </c>
      <c r="G76" s="63">
        <v>1400.0</v>
      </c>
      <c r="H76" s="63">
        <v>1400.0</v>
      </c>
      <c r="I76" s="63">
        <v>1400.0</v>
      </c>
      <c r="J76" s="63">
        <v>1400.0</v>
      </c>
      <c r="K76" s="63">
        <v>1400.0</v>
      </c>
      <c r="L76" s="63">
        <v>1400.0</v>
      </c>
      <c r="M76" s="63">
        <v>1400.0</v>
      </c>
      <c r="N76" s="59">
        <f t="shared" si="38"/>
        <v>16800</v>
      </c>
    </row>
    <row r="77" ht="15.75" customHeight="1">
      <c r="A77" s="64" t="s">
        <v>78</v>
      </c>
      <c r="B77" s="59">
        <f t="shared" ref="B77:N77" si="39">B68-SUM(B71:B76)</f>
        <v>18727.72727</v>
      </c>
      <c r="C77" s="59">
        <f t="shared" si="39"/>
        <v>-3058.636364</v>
      </c>
      <c r="D77" s="59">
        <f t="shared" si="39"/>
        <v>-25401.81818</v>
      </c>
      <c r="E77" s="59">
        <f t="shared" si="39"/>
        <v>-17247.72727</v>
      </c>
      <c r="F77" s="59">
        <f t="shared" si="39"/>
        <v>-10323.18182</v>
      </c>
      <c r="G77" s="59">
        <f t="shared" si="39"/>
        <v>-23962.72727</v>
      </c>
      <c r="H77" s="59">
        <f t="shared" si="39"/>
        <v>-21385.90909</v>
      </c>
      <c r="I77" s="59">
        <f t="shared" si="39"/>
        <v>-3635</v>
      </c>
      <c r="J77" s="59">
        <f t="shared" si="39"/>
        <v>28895.90909</v>
      </c>
      <c r="K77" s="59">
        <f t="shared" si="39"/>
        <v>32447.72727</v>
      </c>
      <c r="L77" s="59">
        <f t="shared" si="39"/>
        <v>33115</v>
      </c>
      <c r="M77" s="59">
        <f t="shared" si="39"/>
        <v>72770.90909</v>
      </c>
      <c r="N77" s="59">
        <f t="shared" si="39"/>
        <v>80942.27273</v>
      </c>
    </row>
    <row r="78" ht="15.75" customHeight="1">
      <c r="A78" s="64" t="s">
        <v>79</v>
      </c>
      <c r="B78" s="59">
        <f t="shared" ref="B78:M78" si="40">B77*0.07</f>
        <v>1310.940909</v>
      </c>
      <c r="C78" s="59">
        <f t="shared" si="40"/>
        <v>-214.1045455</v>
      </c>
      <c r="D78" s="59">
        <f t="shared" si="40"/>
        <v>-1778.127273</v>
      </c>
      <c r="E78" s="59">
        <f t="shared" si="40"/>
        <v>-1207.340909</v>
      </c>
      <c r="F78" s="59">
        <f t="shared" si="40"/>
        <v>-722.6227273</v>
      </c>
      <c r="G78" s="59">
        <f t="shared" si="40"/>
        <v>-1677.390909</v>
      </c>
      <c r="H78" s="59">
        <f t="shared" si="40"/>
        <v>-1497.013636</v>
      </c>
      <c r="I78" s="59">
        <f t="shared" si="40"/>
        <v>-254.45</v>
      </c>
      <c r="J78" s="59">
        <f t="shared" si="40"/>
        <v>2022.713636</v>
      </c>
      <c r="K78" s="59">
        <f t="shared" si="40"/>
        <v>2271.340909</v>
      </c>
      <c r="L78" s="59">
        <f t="shared" si="40"/>
        <v>2318.05</v>
      </c>
      <c r="M78" s="59">
        <f t="shared" si="40"/>
        <v>5093.963636</v>
      </c>
      <c r="N78" s="59">
        <f t="shared" ref="N78:N79" si="42">SUM(B78:M78)</f>
        <v>5665.959091</v>
      </c>
    </row>
    <row r="79" ht="15.75" customHeight="1">
      <c r="A79" s="64" t="s">
        <v>80</v>
      </c>
      <c r="B79" s="59">
        <f t="shared" ref="B79:M79" si="41">B77-B78</f>
        <v>17416.78636</v>
      </c>
      <c r="C79" s="59">
        <f t="shared" si="41"/>
        <v>-2844.531818</v>
      </c>
      <c r="D79" s="59">
        <f t="shared" si="41"/>
        <v>-23623.69091</v>
      </c>
      <c r="E79" s="59">
        <f t="shared" si="41"/>
        <v>-16040.38636</v>
      </c>
      <c r="F79" s="59">
        <f t="shared" si="41"/>
        <v>-9600.559091</v>
      </c>
      <c r="G79" s="59">
        <f t="shared" si="41"/>
        <v>-22285.33636</v>
      </c>
      <c r="H79" s="59">
        <f t="shared" si="41"/>
        <v>-19888.89545</v>
      </c>
      <c r="I79" s="59">
        <f t="shared" si="41"/>
        <v>-3380.55</v>
      </c>
      <c r="J79" s="59">
        <f t="shared" si="41"/>
        <v>26873.19545</v>
      </c>
      <c r="K79" s="59">
        <f t="shared" si="41"/>
        <v>30176.38636</v>
      </c>
      <c r="L79" s="59">
        <f t="shared" si="41"/>
        <v>30796.95</v>
      </c>
      <c r="M79" s="59">
        <f t="shared" si="41"/>
        <v>67676.94545</v>
      </c>
      <c r="N79" s="59">
        <f t="shared" si="42"/>
        <v>75276.31364</v>
      </c>
    </row>
    <row r="80" ht="15.75" customHeight="1">
      <c r="A80" s="64" t="s">
        <v>81</v>
      </c>
      <c r="B80" s="59">
        <f>B79</f>
        <v>17416.78636</v>
      </c>
      <c r="C80" s="59">
        <f t="shared" ref="C80:M80" si="43">C79+B80</f>
        <v>14572.25455</v>
      </c>
      <c r="D80" s="59">
        <f t="shared" si="43"/>
        <v>-9051.436364</v>
      </c>
      <c r="E80" s="59">
        <f t="shared" si="43"/>
        <v>-25091.82273</v>
      </c>
      <c r="F80" s="59">
        <f t="shared" si="43"/>
        <v>-34692.38182</v>
      </c>
      <c r="G80" s="59">
        <f t="shared" si="43"/>
        <v>-56977.71818</v>
      </c>
      <c r="H80" s="59">
        <f t="shared" si="43"/>
        <v>-76866.61364</v>
      </c>
      <c r="I80" s="59">
        <f t="shared" si="43"/>
        <v>-80247.16364</v>
      </c>
      <c r="J80" s="59">
        <f t="shared" si="43"/>
        <v>-53373.96818</v>
      </c>
      <c r="K80" s="59">
        <f t="shared" si="43"/>
        <v>-23197.58182</v>
      </c>
      <c r="L80" s="59">
        <f t="shared" si="43"/>
        <v>7599.368182</v>
      </c>
      <c r="M80" s="59">
        <f t="shared" si="43"/>
        <v>75276.31364</v>
      </c>
      <c r="N80" s="59">
        <f>M80</f>
        <v>75276.31364</v>
      </c>
    </row>
    <row r="81" ht="15.75" customHeight="1">
      <c r="A81" s="58" t="s">
        <v>82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>
        <f t="shared" ref="N81:N82" si="45">SUM(B81:M81)</f>
        <v>0</v>
      </c>
    </row>
    <row r="82" ht="15.75" customHeight="1">
      <c r="A82" s="64" t="s">
        <v>83</v>
      </c>
      <c r="B82" s="59">
        <f t="shared" ref="B82:M82" si="44">B79</f>
        <v>17416.78636</v>
      </c>
      <c r="C82" s="59">
        <f t="shared" si="44"/>
        <v>-2844.531818</v>
      </c>
      <c r="D82" s="59">
        <f t="shared" si="44"/>
        <v>-23623.69091</v>
      </c>
      <c r="E82" s="59">
        <f t="shared" si="44"/>
        <v>-16040.38636</v>
      </c>
      <c r="F82" s="59">
        <f t="shared" si="44"/>
        <v>-9600.559091</v>
      </c>
      <c r="G82" s="59">
        <f t="shared" si="44"/>
        <v>-22285.33636</v>
      </c>
      <c r="H82" s="59">
        <f t="shared" si="44"/>
        <v>-19888.89545</v>
      </c>
      <c r="I82" s="59">
        <f t="shared" si="44"/>
        <v>-3380.55</v>
      </c>
      <c r="J82" s="59">
        <f t="shared" si="44"/>
        <v>26873.19545</v>
      </c>
      <c r="K82" s="59">
        <f t="shared" si="44"/>
        <v>30176.38636</v>
      </c>
      <c r="L82" s="59">
        <f t="shared" si="44"/>
        <v>30796.95</v>
      </c>
      <c r="M82" s="59">
        <f t="shared" si="44"/>
        <v>67676.94545</v>
      </c>
      <c r="N82" s="59">
        <f t="shared" si="45"/>
        <v>75276.31364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57"/>
  </cols>
  <sheetData>
    <row r="1" ht="15.75" customHeight="1">
      <c r="A1" s="6" t="s">
        <v>85</v>
      </c>
    </row>
    <row r="2" ht="15.75" customHeight="1">
      <c r="A2" s="29" t="s">
        <v>86</v>
      </c>
    </row>
    <row r="3" ht="15.75" customHeight="1">
      <c r="A3" s="6" t="s">
        <v>87</v>
      </c>
    </row>
    <row r="4" ht="15.75" customHeight="1">
      <c r="A4" s="55"/>
      <c r="B4" s="56" t="s">
        <v>2</v>
      </c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56" t="s">
        <v>8</v>
      </c>
      <c r="I4" s="56" t="s">
        <v>9</v>
      </c>
      <c r="J4" s="56" t="s">
        <v>10</v>
      </c>
      <c r="K4" s="56" t="s">
        <v>11</v>
      </c>
      <c r="L4" s="56" t="s">
        <v>12</v>
      </c>
      <c r="M4" s="56" t="s">
        <v>13</v>
      </c>
      <c r="N4" s="57" t="s">
        <v>14</v>
      </c>
    </row>
    <row r="5" ht="15.75" customHeight="1">
      <c r="A5" s="58" t="s">
        <v>88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ht="15.75" customHeight="1">
      <c r="A6" s="68" t="s">
        <v>89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ht="15.75" customHeight="1">
      <c r="A7" s="45" t="s">
        <v>90</v>
      </c>
      <c r="B7" s="45">
        <v>0.0</v>
      </c>
      <c r="C7" s="45">
        <v>0.0</v>
      </c>
      <c r="D7" s="61">
        <f>'Income Statement'!D6</f>
        <v>-35000</v>
      </c>
      <c r="E7" s="61">
        <f>'Income Statement'!E6</f>
        <v>-35000</v>
      </c>
      <c r="F7" s="45">
        <v>0.0</v>
      </c>
      <c r="G7" s="45">
        <v>0.0</v>
      </c>
      <c r="H7" s="61">
        <f>'Income Statement'!H6</f>
        <v>140000</v>
      </c>
      <c r="I7" s="61">
        <f>'Income Statement'!I6</f>
        <v>140000</v>
      </c>
      <c r="J7" s="61">
        <f>'Income Statement'!J6</f>
        <v>140000</v>
      </c>
      <c r="K7" s="61">
        <f>'Income Statement'!K6</f>
        <v>140000</v>
      </c>
      <c r="L7" s="61">
        <f>'Income Statement'!L6</f>
        <v>140000</v>
      </c>
      <c r="M7" s="61">
        <f>'Income Statement'!M6</f>
        <v>140000</v>
      </c>
      <c r="N7" s="45">
        <f t="shared" ref="N7:N10" si="1">SUM(B7:M7)</f>
        <v>770000</v>
      </c>
    </row>
    <row r="8" ht="15.75" customHeight="1">
      <c r="A8" s="69" t="s">
        <v>91</v>
      </c>
      <c r="B8" s="39">
        <v>100.0</v>
      </c>
      <c r="C8" s="39">
        <v>210.0</v>
      </c>
      <c r="D8" s="39">
        <v>270.0</v>
      </c>
      <c r="E8" s="39">
        <v>330.0</v>
      </c>
      <c r="F8" s="39">
        <v>440.0</v>
      </c>
      <c r="G8" s="39">
        <v>550.0</v>
      </c>
      <c r="H8" s="39">
        <v>460.0</v>
      </c>
      <c r="I8" s="39">
        <v>370.0</v>
      </c>
      <c r="J8" s="39">
        <v>280.0</v>
      </c>
      <c r="K8" s="39">
        <v>190.0</v>
      </c>
      <c r="L8" s="39">
        <v>100.0</v>
      </c>
      <c r="M8" s="39">
        <v>10.0</v>
      </c>
      <c r="N8" s="45">
        <f t="shared" si="1"/>
        <v>3310</v>
      </c>
    </row>
    <row r="9" ht="15.75" customHeight="1">
      <c r="A9" s="68" t="s">
        <v>92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>
        <f t="shared" si="1"/>
        <v>0</v>
      </c>
    </row>
    <row r="10" ht="15.75" customHeight="1">
      <c r="A10" s="45" t="s">
        <v>93</v>
      </c>
      <c r="B10" s="39">
        <v>30000.0</v>
      </c>
      <c r="C10" s="39">
        <v>30000.0</v>
      </c>
      <c r="D10" s="39">
        <v>30000.0</v>
      </c>
      <c r="E10" s="39">
        <v>30000.0</v>
      </c>
      <c r="F10" s="39">
        <v>30000.0</v>
      </c>
      <c r="G10" s="39">
        <v>30000.0</v>
      </c>
      <c r="H10" s="39">
        <v>30000.0</v>
      </c>
      <c r="I10" s="39">
        <v>30000.0</v>
      </c>
      <c r="J10" s="39">
        <v>30000.0</v>
      </c>
      <c r="K10" s="39">
        <v>30000.0</v>
      </c>
      <c r="L10" s="39">
        <v>30000.0</v>
      </c>
      <c r="M10" s="39">
        <v>30000.0</v>
      </c>
      <c r="N10" s="45">
        <f t="shared" si="1"/>
        <v>360000</v>
      </c>
    </row>
    <row r="11" ht="15.75" customHeight="1">
      <c r="A11" s="70" t="s">
        <v>94</v>
      </c>
      <c r="B11" s="45">
        <f t="shared" ref="B11:M11" si="2">B7+B8*700+B10</f>
        <v>100000</v>
      </c>
      <c r="C11" s="45">
        <f t="shared" si="2"/>
        <v>177000</v>
      </c>
      <c r="D11" s="61">
        <f t="shared" si="2"/>
        <v>184000</v>
      </c>
      <c r="E11" s="61">
        <f t="shared" si="2"/>
        <v>226000</v>
      </c>
      <c r="F11" s="45">
        <f t="shared" si="2"/>
        <v>338000</v>
      </c>
      <c r="G11" s="45">
        <f t="shared" si="2"/>
        <v>415000</v>
      </c>
      <c r="H11" s="61">
        <f t="shared" si="2"/>
        <v>492000</v>
      </c>
      <c r="I11" s="61">
        <f t="shared" si="2"/>
        <v>429000</v>
      </c>
      <c r="J11" s="61">
        <f t="shared" si="2"/>
        <v>366000</v>
      </c>
      <c r="K11" s="61">
        <f t="shared" si="2"/>
        <v>303000</v>
      </c>
      <c r="L11" s="61">
        <f t="shared" si="2"/>
        <v>240000</v>
      </c>
      <c r="M11" s="61">
        <f t="shared" si="2"/>
        <v>177000</v>
      </c>
      <c r="N11" s="45">
        <f>SUM(N7:N10)</f>
        <v>1133310</v>
      </c>
    </row>
    <row r="12" ht="15.75" customHeight="1">
      <c r="A12" s="58" t="s">
        <v>95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ht="15.75" customHeight="1">
      <c r="A13" s="68" t="s">
        <v>96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ht="15.75" customHeight="1">
      <c r="A14" s="60" t="s">
        <v>79</v>
      </c>
      <c r="B14" s="45">
        <f>'Income Statement'!B23*-1</f>
        <v>13047.3</v>
      </c>
      <c r="C14" s="45">
        <f>'Income Statement'!C23*-1</f>
        <v>8847.3</v>
      </c>
      <c r="D14" s="45">
        <f>'Income Statement'!D23*-1</f>
        <v>12756.8</v>
      </c>
      <c r="E14" s="45">
        <f>'Income Statement'!E23*-1</f>
        <v>12756.8</v>
      </c>
      <c r="F14" s="45">
        <f>'Income Statement'!F23*-1</f>
        <v>8847.3</v>
      </c>
      <c r="G14" s="45">
        <f>'Income Statement'!G23*-1</f>
        <v>8917.3</v>
      </c>
      <c r="H14" s="45">
        <f>'Income Statement'!H23*-1</f>
        <v>4745.3</v>
      </c>
      <c r="I14" s="45">
        <f>'Income Statement'!I23*-1</f>
        <v>4745.3</v>
      </c>
      <c r="J14" s="45">
        <f>'Income Statement'!J23*-1</f>
        <v>4745.3</v>
      </c>
      <c r="K14" s="45">
        <f>'Income Statement'!K23*-1</f>
        <v>4745.3</v>
      </c>
      <c r="L14" s="45">
        <f>'Income Statement'!L23*-1</f>
        <v>4815.3</v>
      </c>
      <c r="M14" s="45">
        <f>'Income Statement'!M23*-1</f>
        <v>4815.3</v>
      </c>
      <c r="N14" s="45">
        <f t="shared" ref="N14:N17" si="3">SUM(B14:M14)</f>
        <v>93784.6</v>
      </c>
    </row>
    <row r="15" ht="15.75" customHeight="1">
      <c r="A15" s="41" t="s">
        <v>97</v>
      </c>
      <c r="B15" s="59">
        <f>'Income Statement'!B16</f>
        <v>105000</v>
      </c>
      <c r="C15" s="59">
        <f>'Income Statement'!C16</f>
        <v>105000</v>
      </c>
      <c r="D15" s="59">
        <f>'Income Statement'!D16</f>
        <v>105000</v>
      </c>
      <c r="E15" s="59">
        <f>'Income Statement'!E16</f>
        <v>105000</v>
      </c>
      <c r="F15" s="59">
        <f>'Income Statement'!F16</f>
        <v>105000</v>
      </c>
      <c r="G15" s="59">
        <f>'Income Statement'!G16</f>
        <v>105000</v>
      </c>
      <c r="H15" s="59">
        <f>'Income Statement'!H16</f>
        <v>105000</v>
      </c>
      <c r="I15" s="59">
        <f>'Income Statement'!I16</f>
        <v>105000</v>
      </c>
      <c r="J15" s="59">
        <f>'Income Statement'!J16</f>
        <v>105000</v>
      </c>
      <c r="K15" s="59">
        <f>'Income Statement'!K16</f>
        <v>105000</v>
      </c>
      <c r="L15" s="59">
        <f>'Income Statement'!L16</f>
        <v>105000</v>
      </c>
      <c r="M15" s="59">
        <f>'Income Statement'!M16</f>
        <v>105000</v>
      </c>
      <c r="N15" s="59">
        <f t="shared" si="3"/>
        <v>1260000</v>
      </c>
    </row>
    <row r="16" ht="15.75" customHeight="1">
      <c r="A16" s="45" t="s">
        <v>26</v>
      </c>
      <c r="B16" s="71">
        <f>'Income Statement'!B18</f>
        <v>4640</v>
      </c>
      <c r="C16" s="71">
        <f>'Income Statement'!C18</f>
        <v>4640</v>
      </c>
      <c r="D16" s="71">
        <f>'Income Statement'!D18</f>
        <v>4640</v>
      </c>
      <c r="E16" s="71">
        <f>'Income Statement'!E18</f>
        <v>4640</v>
      </c>
      <c r="F16" s="71">
        <f>'Income Statement'!F18</f>
        <v>4640</v>
      </c>
      <c r="G16" s="71">
        <f>'Income Statement'!G18</f>
        <v>4640</v>
      </c>
      <c r="H16" s="71">
        <f>'Income Statement'!H18</f>
        <v>4640</v>
      </c>
      <c r="I16" s="71">
        <f>'Income Statement'!I18</f>
        <v>4640</v>
      </c>
      <c r="J16" s="71">
        <f>'Income Statement'!J18</f>
        <v>4640</v>
      </c>
      <c r="K16" s="71">
        <f>'Income Statement'!K18</f>
        <v>4640</v>
      </c>
      <c r="L16" s="71">
        <f>'Income Statement'!L18</f>
        <v>4640</v>
      </c>
      <c r="M16" s="71">
        <f>'Income Statement'!M18</f>
        <v>4640</v>
      </c>
      <c r="N16" s="59">
        <f t="shared" si="3"/>
        <v>55680</v>
      </c>
    </row>
    <row r="17" ht="15.75" customHeight="1">
      <c r="A17" s="45" t="s">
        <v>98</v>
      </c>
      <c r="B17" s="72">
        <v>9000.0</v>
      </c>
      <c r="C17" s="72">
        <v>9000.0</v>
      </c>
      <c r="D17" s="72">
        <v>9000.0</v>
      </c>
      <c r="E17" s="72">
        <v>9000.0</v>
      </c>
      <c r="F17" s="72">
        <v>9000.0</v>
      </c>
      <c r="G17" s="72">
        <v>9000.0</v>
      </c>
      <c r="H17" s="72">
        <v>9000.0</v>
      </c>
      <c r="I17" s="72">
        <v>9000.0</v>
      </c>
      <c r="J17" s="72">
        <v>9000.0</v>
      </c>
      <c r="K17" s="72">
        <v>9000.0</v>
      </c>
      <c r="L17" s="72">
        <v>9000.0</v>
      </c>
      <c r="M17" s="72">
        <v>9000.0</v>
      </c>
      <c r="N17" s="45">
        <f t="shared" si="3"/>
        <v>108000</v>
      </c>
    </row>
    <row r="18" ht="15.75" customHeight="1">
      <c r="A18" s="68" t="s">
        <v>99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ht="15.75" customHeight="1">
      <c r="A19" s="69" t="s">
        <v>100</v>
      </c>
      <c r="B19" s="39">
        <v>500000.0</v>
      </c>
      <c r="C19" s="45">
        <v>0.0</v>
      </c>
      <c r="D19" s="45">
        <v>0.0</v>
      </c>
      <c r="E19" s="45">
        <v>0.0</v>
      </c>
      <c r="F19" s="45">
        <v>0.0</v>
      </c>
      <c r="G19" s="45">
        <v>0.0</v>
      </c>
      <c r="H19" s="45">
        <v>0.0</v>
      </c>
      <c r="I19" s="45">
        <v>0.0</v>
      </c>
      <c r="J19" s="45">
        <v>0.0</v>
      </c>
      <c r="K19" s="45">
        <v>0.0</v>
      </c>
      <c r="L19" s="45">
        <v>0.0</v>
      </c>
      <c r="M19" s="45">
        <v>0.0</v>
      </c>
      <c r="N19" s="45">
        <f>SUM(B19:M19)</f>
        <v>500000</v>
      </c>
    </row>
    <row r="20" ht="15.75" customHeight="1">
      <c r="A20" s="62" t="s">
        <v>101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ht="15.75" customHeight="1">
      <c r="A21" s="69" t="s">
        <v>102</v>
      </c>
      <c r="B21" s="45">
        <f t="shared" ref="B21:M21" si="4">(B11-SUM(B14:B19))</f>
        <v>-531687.3</v>
      </c>
      <c r="C21" s="45">
        <f t="shared" si="4"/>
        <v>49512.7</v>
      </c>
      <c r="D21" s="61">
        <f t="shared" si="4"/>
        <v>52603.2</v>
      </c>
      <c r="E21" s="61">
        <f t="shared" si="4"/>
        <v>94603.2</v>
      </c>
      <c r="F21" s="45">
        <f t="shared" si="4"/>
        <v>210512.7</v>
      </c>
      <c r="G21" s="45">
        <f t="shared" si="4"/>
        <v>287442.7</v>
      </c>
      <c r="H21" s="61">
        <f t="shared" si="4"/>
        <v>368614.7</v>
      </c>
      <c r="I21" s="61">
        <f t="shared" si="4"/>
        <v>305614.7</v>
      </c>
      <c r="J21" s="61">
        <f t="shared" si="4"/>
        <v>242614.7</v>
      </c>
      <c r="K21" s="61">
        <f t="shared" si="4"/>
        <v>179614.7</v>
      </c>
      <c r="L21" s="61">
        <f t="shared" si="4"/>
        <v>116544.7</v>
      </c>
      <c r="M21" s="61">
        <f t="shared" si="4"/>
        <v>53544.7</v>
      </c>
      <c r="N21" s="45">
        <f>SUM(B21:M21)</f>
        <v>1429535.4</v>
      </c>
    </row>
    <row r="22" ht="15.75" customHeight="1">
      <c r="A22" s="73" t="s">
        <v>103</v>
      </c>
      <c r="B22" s="39">
        <v>0.0</v>
      </c>
      <c r="C22" s="39">
        <v>0.0</v>
      </c>
      <c r="D22" s="39">
        <v>0.0</v>
      </c>
      <c r="E22" s="39">
        <v>0.0</v>
      </c>
      <c r="F22" s="39">
        <v>0.0</v>
      </c>
      <c r="G22" s="39">
        <v>0.0</v>
      </c>
      <c r="H22" s="39">
        <v>0.0</v>
      </c>
      <c r="I22" s="39">
        <v>0.0</v>
      </c>
      <c r="J22" s="39">
        <v>0.0</v>
      </c>
      <c r="K22" s="39">
        <v>0.0</v>
      </c>
      <c r="L22" s="39">
        <v>0.0</v>
      </c>
      <c r="M22" s="39">
        <v>0.0</v>
      </c>
      <c r="N22" s="39">
        <v>0.0</v>
      </c>
    </row>
    <row r="23" ht="15.75" customHeight="1">
      <c r="A23" s="70" t="s">
        <v>104</v>
      </c>
      <c r="B23" s="45">
        <f>SUM(B13:B22)</f>
        <v>100000</v>
      </c>
      <c r="C23" s="45">
        <f t="shared" ref="C23:M23" si="5">SUM(C13:C21)</f>
        <v>177000</v>
      </c>
      <c r="D23" s="45">
        <f t="shared" si="5"/>
        <v>184000</v>
      </c>
      <c r="E23" s="45">
        <f t="shared" si="5"/>
        <v>226000</v>
      </c>
      <c r="F23" s="45">
        <f t="shared" si="5"/>
        <v>338000</v>
      </c>
      <c r="G23" s="45">
        <f t="shared" si="5"/>
        <v>415000</v>
      </c>
      <c r="H23" s="45">
        <f t="shared" si="5"/>
        <v>492000</v>
      </c>
      <c r="I23" s="45">
        <f t="shared" si="5"/>
        <v>429000</v>
      </c>
      <c r="J23" s="45">
        <f t="shared" si="5"/>
        <v>366000</v>
      </c>
      <c r="K23" s="45">
        <f t="shared" si="5"/>
        <v>303000</v>
      </c>
      <c r="L23" s="45">
        <f t="shared" si="5"/>
        <v>240000</v>
      </c>
      <c r="M23" s="45">
        <f t="shared" si="5"/>
        <v>177000</v>
      </c>
      <c r="N23" s="45">
        <f>SUM(N13:N22)</f>
        <v>3447000</v>
      </c>
    </row>
    <row r="24" ht="15.75" customHeight="1"/>
    <row r="25" ht="15.75" customHeight="1"/>
    <row r="26" ht="15.75" customHeight="1">
      <c r="A26" s="6" t="s">
        <v>105</v>
      </c>
    </row>
    <row r="27" ht="15.75" customHeight="1">
      <c r="A27" s="55"/>
      <c r="B27" s="56" t="s">
        <v>2</v>
      </c>
      <c r="C27" s="56" t="s">
        <v>3</v>
      </c>
      <c r="D27" s="56" t="s">
        <v>4</v>
      </c>
      <c r="E27" s="56" t="s">
        <v>5</v>
      </c>
      <c r="F27" s="56" t="s">
        <v>6</v>
      </c>
      <c r="G27" s="56" t="s">
        <v>7</v>
      </c>
      <c r="H27" s="56" t="s">
        <v>8</v>
      </c>
      <c r="I27" s="56" t="s">
        <v>9</v>
      </c>
      <c r="J27" s="56" t="s">
        <v>10</v>
      </c>
      <c r="K27" s="56" t="s">
        <v>11</v>
      </c>
      <c r="L27" s="56" t="s">
        <v>12</v>
      </c>
      <c r="M27" s="56" t="s">
        <v>13</v>
      </c>
      <c r="N27" s="57" t="s">
        <v>14</v>
      </c>
    </row>
    <row r="28" ht="15.75" customHeight="1">
      <c r="A28" s="58" t="s">
        <v>88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ht="15.75" customHeight="1">
      <c r="A29" s="68" t="s">
        <v>89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ht="15.75" customHeight="1">
      <c r="A30" s="45" t="s">
        <v>90</v>
      </c>
      <c r="B30" s="59">
        <f>'Income Statement'!B35</f>
        <v>371100</v>
      </c>
      <c r="C30" s="59">
        <f>'Income Statement'!C35</f>
        <v>350050</v>
      </c>
      <c r="D30" s="59">
        <f>'Income Statement'!D35</f>
        <v>449250</v>
      </c>
      <c r="E30" s="59">
        <f>'Income Statement'!E35</f>
        <v>498050</v>
      </c>
      <c r="F30" s="59">
        <f>'Income Statement'!F35</f>
        <v>418225</v>
      </c>
      <c r="G30" s="59">
        <f>'Income Statement'!G35</f>
        <v>384975</v>
      </c>
      <c r="H30" s="59">
        <f>'Income Statement'!H35</f>
        <v>367975</v>
      </c>
      <c r="I30" s="59">
        <f>'Income Statement'!I35</f>
        <v>349175</v>
      </c>
      <c r="J30" s="59">
        <f>'Income Statement'!J35</f>
        <v>378650</v>
      </c>
      <c r="K30" s="59">
        <f>'Income Statement'!K35</f>
        <v>371625</v>
      </c>
      <c r="L30" s="59">
        <f>'Income Statement'!L35</f>
        <v>593975</v>
      </c>
      <c r="M30" s="59">
        <f>'Income Statement'!M35</f>
        <v>648250</v>
      </c>
      <c r="N30" s="59">
        <f t="shared" ref="N30:N33" si="6">SUM(B30:M30)</f>
        <v>5181300</v>
      </c>
    </row>
    <row r="31" ht="15.75" customHeight="1">
      <c r="A31" s="69" t="s">
        <v>91</v>
      </c>
      <c r="B31" s="45">
        <v>97.0</v>
      </c>
      <c r="C31" s="45">
        <v>216.0</v>
      </c>
      <c r="D31" s="45">
        <v>194.0</v>
      </c>
      <c r="E31" s="45">
        <v>104.0</v>
      </c>
      <c r="F31" s="45">
        <v>129.0</v>
      </c>
      <c r="G31" s="45">
        <v>202.0</v>
      </c>
      <c r="H31" s="45">
        <v>301.0</v>
      </c>
      <c r="I31" s="45">
        <v>427.0</v>
      </c>
      <c r="J31" s="45">
        <v>512.0</v>
      </c>
      <c r="K31" s="45">
        <v>608.0</v>
      </c>
      <c r="L31" s="45">
        <v>385.0</v>
      </c>
      <c r="M31" s="45">
        <v>85.0</v>
      </c>
      <c r="N31" s="45">
        <f t="shared" si="6"/>
        <v>3260</v>
      </c>
    </row>
    <row r="32" ht="15.75" customHeight="1">
      <c r="A32" s="68" t="s">
        <v>92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>
        <f t="shared" si="6"/>
        <v>0</v>
      </c>
    </row>
    <row r="33" ht="15.75" customHeight="1">
      <c r="A33" s="45" t="s">
        <v>93</v>
      </c>
      <c r="B33" s="39">
        <v>30000.0</v>
      </c>
      <c r="C33" s="39">
        <v>30000.0</v>
      </c>
      <c r="D33" s="39">
        <v>30000.0</v>
      </c>
      <c r="E33" s="39">
        <v>30000.0</v>
      </c>
      <c r="F33" s="39">
        <v>30000.0</v>
      </c>
      <c r="G33" s="39">
        <v>30000.0</v>
      </c>
      <c r="H33" s="39">
        <v>30000.0</v>
      </c>
      <c r="I33" s="39">
        <v>30000.0</v>
      </c>
      <c r="J33" s="39">
        <v>30000.0</v>
      </c>
      <c r="K33" s="39">
        <v>30000.0</v>
      </c>
      <c r="L33" s="39">
        <v>30000.0</v>
      </c>
      <c r="M33" s="39">
        <v>30000.0</v>
      </c>
      <c r="N33" s="45">
        <f t="shared" si="6"/>
        <v>360000</v>
      </c>
    </row>
    <row r="34" ht="15.75" customHeight="1">
      <c r="A34" s="70" t="s">
        <v>94</v>
      </c>
      <c r="B34" s="59">
        <f>B30+B31*700+B33</f>
        <v>469000</v>
      </c>
      <c r="C34" s="59">
        <f t="shared" ref="C34:N34" si="7">SUM(C30:C33)</f>
        <v>380266</v>
      </c>
      <c r="D34" s="59">
        <f t="shared" si="7"/>
        <v>479444</v>
      </c>
      <c r="E34" s="59">
        <f t="shared" si="7"/>
        <v>528154</v>
      </c>
      <c r="F34" s="59">
        <f t="shared" si="7"/>
        <v>448354</v>
      </c>
      <c r="G34" s="59">
        <f t="shared" si="7"/>
        <v>415177</v>
      </c>
      <c r="H34" s="59">
        <f t="shared" si="7"/>
        <v>398276</v>
      </c>
      <c r="I34" s="59">
        <f t="shared" si="7"/>
        <v>379602</v>
      </c>
      <c r="J34" s="59">
        <f t="shared" si="7"/>
        <v>409162</v>
      </c>
      <c r="K34" s="59">
        <f t="shared" si="7"/>
        <v>402233</v>
      </c>
      <c r="L34" s="59">
        <f t="shared" si="7"/>
        <v>624360</v>
      </c>
      <c r="M34" s="59">
        <f t="shared" si="7"/>
        <v>678335</v>
      </c>
      <c r="N34" s="59">
        <f t="shared" si="7"/>
        <v>5544560</v>
      </c>
    </row>
    <row r="35" ht="15.75" customHeight="1">
      <c r="A35" s="58" t="s">
        <v>95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ht="15.75" customHeight="1">
      <c r="A36" s="68" t="s">
        <v>96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ht="15.75" customHeight="1">
      <c r="A37" s="60" t="s">
        <v>79</v>
      </c>
      <c r="B37" s="74">
        <f>'Income Statement'!B50*-1</f>
        <v>2591.088182</v>
      </c>
      <c r="C37" s="74">
        <f>'Income Statement'!C50*-1</f>
        <v>3052.324545</v>
      </c>
      <c r="D37" s="74">
        <f>'Income Statement'!D50*-1</f>
        <v>1302.101818</v>
      </c>
      <c r="E37" s="74">
        <f>'Income Statement'!E50*-1</f>
        <v>431.1745455</v>
      </c>
      <c r="F37" s="74">
        <f>'Income Statement'!F50*-1</f>
        <v>1828.342727</v>
      </c>
      <c r="G37" s="74">
        <f>'Income Statement'!G50*-1</f>
        <v>2409.597273</v>
      </c>
      <c r="H37" s="74">
        <f>'Income Statement'!H50*-1</f>
        <v>2696.151818</v>
      </c>
      <c r="I37" s="74">
        <f>'Income Statement'!I50*-1</f>
        <v>3025.82</v>
      </c>
      <c r="J37" s="74">
        <f>'Income Statement'!J50*-1</f>
        <v>2499.260909</v>
      </c>
      <c r="K37" s="74">
        <f>'Income Statement'!K50*-1</f>
        <v>2685.810909</v>
      </c>
      <c r="L37" s="74">
        <f>'Income Statement'!L50</f>
        <v>1215.639091</v>
      </c>
      <c r="M37" s="74">
        <f>'Income Statement'!M50</f>
        <v>2174.289091</v>
      </c>
      <c r="N37" s="74">
        <f t="shared" ref="N37:N40" si="8">SUM(B37:M37)</f>
        <v>25911.60091</v>
      </c>
    </row>
    <row r="38" ht="15.75" customHeight="1">
      <c r="A38" s="41" t="s">
        <v>97</v>
      </c>
      <c r="B38" s="45">
        <v>105000.0</v>
      </c>
      <c r="C38" s="45">
        <v>105000.0</v>
      </c>
      <c r="D38" s="45">
        <v>105000.0</v>
      </c>
      <c r="E38" s="45">
        <v>105000.0</v>
      </c>
      <c r="F38" s="45">
        <v>105000.0</v>
      </c>
      <c r="G38" s="45">
        <v>105000.0</v>
      </c>
      <c r="H38" s="45">
        <v>105000.0</v>
      </c>
      <c r="I38" s="45">
        <v>105000.0</v>
      </c>
      <c r="J38" s="45">
        <v>105000.0</v>
      </c>
      <c r="K38" s="45">
        <v>105000.0</v>
      </c>
      <c r="L38" s="45">
        <v>105000.0</v>
      </c>
      <c r="M38" s="45">
        <v>105000.0</v>
      </c>
      <c r="N38" s="45">
        <f t="shared" si="8"/>
        <v>1260000</v>
      </c>
    </row>
    <row r="39" ht="15.75" customHeight="1">
      <c r="A39" s="45" t="s">
        <v>26</v>
      </c>
      <c r="B39" s="72">
        <v>6656.0</v>
      </c>
      <c r="C39" s="72">
        <v>6656.0</v>
      </c>
      <c r="D39" s="72">
        <v>6656.0</v>
      </c>
      <c r="E39" s="72">
        <v>6656.0</v>
      </c>
      <c r="F39" s="72">
        <v>6656.0</v>
      </c>
      <c r="G39" s="72">
        <v>6656.0</v>
      </c>
      <c r="H39" s="72">
        <v>6656.0</v>
      </c>
      <c r="I39" s="72">
        <v>6656.0</v>
      </c>
      <c r="J39" s="72">
        <v>6656.0</v>
      </c>
      <c r="K39" s="72">
        <v>6656.0</v>
      </c>
      <c r="L39" s="72">
        <v>6656.0</v>
      </c>
      <c r="M39" s="72">
        <v>6656.0</v>
      </c>
      <c r="N39" s="45">
        <f t="shared" si="8"/>
        <v>79872</v>
      </c>
    </row>
    <row r="40" ht="15.75" customHeight="1">
      <c r="A40" s="45" t="s">
        <v>98</v>
      </c>
      <c r="B40" s="72">
        <v>15000.0</v>
      </c>
      <c r="C40" s="72">
        <v>15000.0</v>
      </c>
      <c r="D40" s="72">
        <v>15000.0</v>
      </c>
      <c r="E40" s="72">
        <v>15000.0</v>
      </c>
      <c r="F40" s="72">
        <v>15000.0</v>
      </c>
      <c r="G40" s="72">
        <v>15000.0</v>
      </c>
      <c r="H40" s="72">
        <v>15000.0</v>
      </c>
      <c r="I40" s="72">
        <v>15000.0</v>
      </c>
      <c r="J40" s="72">
        <v>15000.0</v>
      </c>
      <c r="K40" s="72">
        <v>15000.0</v>
      </c>
      <c r="L40" s="72">
        <v>15000.0</v>
      </c>
      <c r="M40" s="72">
        <v>15000.0</v>
      </c>
      <c r="N40" s="45">
        <f t="shared" si="8"/>
        <v>180000</v>
      </c>
    </row>
    <row r="41" ht="15.75" customHeight="1">
      <c r="A41" s="68" t="s">
        <v>99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ht="15.75" customHeight="1">
      <c r="A42" s="69" t="s">
        <v>100</v>
      </c>
      <c r="B42" s="45">
        <v>0.0</v>
      </c>
      <c r="C42" s="45">
        <v>0.0</v>
      </c>
      <c r="D42" s="45">
        <v>0.0</v>
      </c>
      <c r="E42" s="45">
        <v>0.0</v>
      </c>
      <c r="F42" s="45">
        <v>0.0</v>
      </c>
      <c r="G42" s="45">
        <v>0.0</v>
      </c>
      <c r="H42" s="45">
        <v>0.0</v>
      </c>
      <c r="I42" s="45">
        <v>0.0</v>
      </c>
      <c r="J42" s="45">
        <v>0.0</v>
      </c>
      <c r="K42" s="45">
        <v>0.0</v>
      </c>
      <c r="L42" s="45">
        <v>0.0</v>
      </c>
      <c r="M42" s="45">
        <v>0.0</v>
      </c>
      <c r="N42" s="45">
        <f>SUM(B42:M42)</f>
        <v>0</v>
      </c>
    </row>
    <row r="43" ht="15.75" customHeight="1">
      <c r="A43" s="62" t="s">
        <v>101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ht="15.75" customHeight="1">
      <c r="A44" s="69" t="s">
        <v>102</v>
      </c>
      <c r="B44" s="59">
        <f t="shared" ref="B44:M44" si="9">(B34-SUM(B37:B42))</f>
        <v>339752.9118</v>
      </c>
      <c r="C44" s="59">
        <f t="shared" si="9"/>
        <v>250557.6755</v>
      </c>
      <c r="D44" s="59">
        <f t="shared" si="9"/>
        <v>351485.8982</v>
      </c>
      <c r="E44" s="59">
        <f t="shared" si="9"/>
        <v>401066.8255</v>
      </c>
      <c r="F44" s="59">
        <f t="shared" si="9"/>
        <v>319869.6573</v>
      </c>
      <c r="G44" s="59">
        <f t="shared" si="9"/>
        <v>286111.4027</v>
      </c>
      <c r="H44" s="59">
        <f t="shared" si="9"/>
        <v>268923.8482</v>
      </c>
      <c r="I44" s="59">
        <f t="shared" si="9"/>
        <v>249920.18</v>
      </c>
      <c r="J44" s="59">
        <f t="shared" si="9"/>
        <v>280006.7391</v>
      </c>
      <c r="K44" s="59">
        <f t="shared" si="9"/>
        <v>272891.1891</v>
      </c>
      <c r="L44" s="59">
        <f t="shared" si="9"/>
        <v>496488.3609</v>
      </c>
      <c r="M44" s="59">
        <f t="shared" si="9"/>
        <v>549504.7109</v>
      </c>
      <c r="N44" s="59">
        <f>SUM(B44:M44)</f>
        <v>4066579.399</v>
      </c>
    </row>
    <row r="45" ht="15.75" customHeight="1">
      <c r="A45" s="73" t="s">
        <v>103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59">
        <f>N21+'Income Statement'!N27 - N44</f>
        <v>-3883039.399</v>
      </c>
    </row>
    <row r="46" ht="15.75" customHeight="1">
      <c r="A46" s="70" t="s">
        <v>104</v>
      </c>
      <c r="B46" s="45">
        <f t="shared" ref="B46:M46" si="10">SUM(B36:B44)</f>
        <v>469000</v>
      </c>
      <c r="C46" s="45">
        <f t="shared" si="10"/>
        <v>380266</v>
      </c>
      <c r="D46" s="45">
        <f t="shared" si="10"/>
        <v>479444</v>
      </c>
      <c r="E46" s="45">
        <f t="shared" si="10"/>
        <v>528154</v>
      </c>
      <c r="F46" s="45">
        <f t="shared" si="10"/>
        <v>448354</v>
      </c>
      <c r="G46" s="45">
        <f t="shared" si="10"/>
        <v>415177</v>
      </c>
      <c r="H46" s="45">
        <f t="shared" si="10"/>
        <v>398276</v>
      </c>
      <c r="I46" s="45">
        <f t="shared" si="10"/>
        <v>379602</v>
      </c>
      <c r="J46" s="45">
        <f t="shared" si="10"/>
        <v>409162</v>
      </c>
      <c r="K46" s="45">
        <f t="shared" si="10"/>
        <v>402233</v>
      </c>
      <c r="L46" s="45">
        <f t="shared" si="10"/>
        <v>624360</v>
      </c>
      <c r="M46" s="45">
        <f t="shared" si="10"/>
        <v>678335</v>
      </c>
      <c r="N46" s="45">
        <f>SUM(N36:N45)</f>
        <v>1729323.601</v>
      </c>
    </row>
    <row r="47" ht="15.75" customHeight="1"/>
    <row r="48" ht="15.75" customHeight="1"/>
    <row r="49" ht="15.75" customHeight="1"/>
    <row r="50" ht="15.75" customHeight="1">
      <c r="A50" s="6" t="s">
        <v>106</v>
      </c>
    </row>
    <row r="51" ht="15.75" customHeight="1">
      <c r="A51" s="55"/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56" t="s">
        <v>7</v>
      </c>
      <c r="H51" s="56" t="s">
        <v>8</v>
      </c>
      <c r="I51" s="56" t="s">
        <v>9</v>
      </c>
      <c r="J51" s="56" t="s">
        <v>10</v>
      </c>
      <c r="K51" s="56" t="s">
        <v>11</v>
      </c>
      <c r="L51" s="56" t="s">
        <v>12</v>
      </c>
      <c r="M51" s="56" t="s">
        <v>13</v>
      </c>
      <c r="N51" s="57" t="s">
        <v>14</v>
      </c>
    </row>
    <row r="52" ht="15.75" customHeight="1">
      <c r="A52" s="58" t="s">
        <v>88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ht="15.75" customHeight="1">
      <c r="A53" s="68" t="s">
        <v>89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</row>
    <row r="54" ht="15.75" customHeight="1">
      <c r="A54" s="45" t="s">
        <v>90</v>
      </c>
      <c r="B54" s="59">
        <f>'Income Statement'!B63</f>
        <v>634150</v>
      </c>
      <c r="C54" s="59">
        <f>'Income Statement'!C63</f>
        <v>553475</v>
      </c>
      <c r="D54" s="59">
        <f>'Income Statement'!D63</f>
        <v>471750</v>
      </c>
      <c r="E54" s="59">
        <f>'Income Statement'!E63</f>
        <v>503325</v>
      </c>
      <c r="F54" s="59">
        <f>'Income Statement'!F63</f>
        <v>530525</v>
      </c>
      <c r="G54" s="59">
        <f>'Income Statement'!G63</f>
        <v>468475</v>
      </c>
      <c r="H54" s="59">
        <f>'Income Statement'!H63</f>
        <v>478300</v>
      </c>
      <c r="I54" s="59">
        <f>'Income Statement'!I63</f>
        <v>548700</v>
      </c>
      <c r="J54" s="59">
        <f>'Income Statement'!J63</f>
        <v>665725</v>
      </c>
      <c r="K54" s="59">
        <f>'Income Statement'!K63</f>
        <v>683350</v>
      </c>
      <c r="L54" s="59">
        <f>'Income Statement'!L63</f>
        <v>690850</v>
      </c>
      <c r="M54" s="59">
        <f>'Income Statement'!M63</f>
        <v>847500</v>
      </c>
      <c r="N54" s="59">
        <f t="shared" ref="N54:N57" si="11">SUM(B54:M54)</f>
        <v>7076125</v>
      </c>
    </row>
    <row r="55" ht="15.75" customHeight="1">
      <c r="A55" s="69" t="s">
        <v>91</v>
      </c>
      <c r="B55" s="45">
        <v>13.0</v>
      </c>
      <c r="C55" s="45">
        <v>194.0</v>
      </c>
      <c r="D55" s="45">
        <v>358.0</v>
      </c>
      <c r="E55" s="45">
        <v>479.0</v>
      </c>
      <c r="F55" s="45">
        <v>562.0</v>
      </c>
      <c r="G55" s="45">
        <v>738.0</v>
      </c>
      <c r="H55" s="45">
        <v>901.0</v>
      </c>
      <c r="I55" s="45">
        <v>964.0</v>
      </c>
      <c r="J55" s="45">
        <v>861.0</v>
      </c>
      <c r="K55" s="45">
        <v>734.0</v>
      </c>
      <c r="L55" s="45">
        <v>599.0</v>
      </c>
      <c r="M55" s="45">
        <v>243.0</v>
      </c>
      <c r="N55" s="45">
        <f t="shared" si="11"/>
        <v>6646</v>
      </c>
    </row>
    <row r="56" ht="15.75" customHeight="1">
      <c r="A56" s="68" t="s">
        <v>92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>
        <f t="shared" si="11"/>
        <v>0</v>
      </c>
    </row>
    <row r="57" ht="15.75" customHeight="1">
      <c r="A57" s="45" t="s">
        <v>93</v>
      </c>
      <c r="B57" s="39">
        <v>30000.0</v>
      </c>
      <c r="C57" s="39">
        <v>30000.0</v>
      </c>
      <c r="D57" s="39">
        <v>30000.0</v>
      </c>
      <c r="E57" s="39">
        <v>30000.0</v>
      </c>
      <c r="F57" s="39">
        <v>30000.0</v>
      </c>
      <c r="G57" s="39">
        <v>30000.0</v>
      </c>
      <c r="H57" s="39">
        <v>30000.0</v>
      </c>
      <c r="I57" s="39">
        <v>30000.0</v>
      </c>
      <c r="J57" s="39">
        <v>30000.0</v>
      </c>
      <c r="K57" s="39">
        <v>30000.0</v>
      </c>
      <c r="L57" s="39">
        <v>30000.0</v>
      </c>
      <c r="M57" s="39">
        <v>30000.0</v>
      </c>
      <c r="N57" s="45">
        <f t="shared" si="11"/>
        <v>360000</v>
      </c>
    </row>
    <row r="58" ht="15.75" customHeight="1">
      <c r="A58" s="70" t="s">
        <v>94</v>
      </c>
      <c r="B58" s="59">
        <f t="shared" ref="B58:M58" si="12">B54+B55*700+B57</f>
        <v>673250</v>
      </c>
      <c r="C58" s="59">
        <f t="shared" si="12"/>
        <v>719275</v>
      </c>
      <c r="D58" s="59">
        <f t="shared" si="12"/>
        <v>752350</v>
      </c>
      <c r="E58" s="59">
        <f t="shared" si="12"/>
        <v>868625</v>
      </c>
      <c r="F58" s="59">
        <f t="shared" si="12"/>
        <v>953925</v>
      </c>
      <c r="G58" s="59">
        <f t="shared" si="12"/>
        <v>1015075</v>
      </c>
      <c r="H58" s="59">
        <f t="shared" si="12"/>
        <v>1139000</v>
      </c>
      <c r="I58" s="59">
        <f t="shared" si="12"/>
        <v>1253500</v>
      </c>
      <c r="J58" s="59">
        <f t="shared" si="12"/>
        <v>1298425</v>
      </c>
      <c r="K58" s="59">
        <f t="shared" si="12"/>
        <v>1227150</v>
      </c>
      <c r="L58" s="59">
        <f t="shared" si="12"/>
        <v>1140150</v>
      </c>
      <c r="M58" s="59">
        <f t="shared" si="12"/>
        <v>1047600</v>
      </c>
      <c r="N58" s="59">
        <f>SUM(N54:N57)</f>
        <v>7442771</v>
      </c>
    </row>
    <row r="59" ht="15.75" customHeight="1">
      <c r="A59" s="58" t="s">
        <v>95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</row>
    <row r="60" ht="15.75" customHeight="1">
      <c r="A60" s="68" t="s">
        <v>96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</row>
    <row r="61" ht="15.75" customHeight="1">
      <c r="A61" s="69" t="s">
        <v>107</v>
      </c>
      <c r="B61" s="74">
        <f>abs('Income Statement'!B78)</f>
        <v>1310.940909</v>
      </c>
      <c r="C61" s="74">
        <f>abs('Income Statement'!C78)</f>
        <v>214.1045455</v>
      </c>
      <c r="D61" s="74">
        <f>abs('Income Statement'!D78)</f>
        <v>1778.127273</v>
      </c>
      <c r="E61" s="74">
        <f>abs('Income Statement'!E78)</f>
        <v>1207.340909</v>
      </c>
      <c r="F61" s="74">
        <f>abs('Income Statement'!F78)</f>
        <v>722.6227273</v>
      </c>
      <c r="G61" s="74">
        <f>abs('Income Statement'!G78)</f>
        <v>1677.390909</v>
      </c>
      <c r="H61" s="74">
        <f>abs('Income Statement'!H78)</f>
        <v>1497.013636</v>
      </c>
      <c r="I61" s="74">
        <f>abs('Income Statement'!I78)</f>
        <v>254.45</v>
      </c>
      <c r="J61" s="74">
        <f>abs('Income Statement'!J78)</f>
        <v>2022.713636</v>
      </c>
      <c r="K61" s="74">
        <f>abs('Income Statement'!K78)</f>
        <v>2271.340909</v>
      </c>
      <c r="L61" s="74">
        <f>abs('Income Statement'!L78)</f>
        <v>2318.05</v>
      </c>
      <c r="M61" s="74">
        <f>abs('Income Statement'!M78)</f>
        <v>5093.963636</v>
      </c>
      <c r="N61" s="74">
        <f t="shared" ref="N61:N64" si="13">SUM(B61:M61)</f>
        <v>20368.05909</v>
      </c>
    </row>
    <row r="62" ht="15.75" customHeight="1">
      <c r="A62" s="41" t="s">
        <v>97</v>
      </c>
      <c r="B62" s="45">
        <v>105000.0</v>
      </c>
      <c r="C62" s="45">
        <v>105000.0</v>
      </c>
      <c r="D62" s="45">
        <v>105000.0</v>
      </c>
      <c r="E62" s="45">
        <v>105000.0</v>
      </c>
      <c r="F62" s="45">
        <v>105000.0</v>
      </c>
      <c r="G62" s="45">
        <v>105000.0</v>
      </c>
      <c r="H62" s="45">
        <v>105000.0</v>
      </c>
      <c r="I62" s="45">
        <v>105000.0</v>
      </c>
      <c r="J62" s="45">
        <v>105000.0</v>
      </c>
      <c r="K62" s="45">
        <v>105000.0</v>
      </c>
      <c r="L62" s="45">
        <v>105000.0</v>
      </c>
      <c r="M62" s="45">
        <v>105000.0</v>
      </c>
      <c r="N62" s="45">
        <f t="shared" si="13"/>
        <v>1260000</v>
      </c>
    </row>
    <row r="63" ht="15.75" customHeight="1">
      <c r="A63" s="45" t="s">
        <v>26</v>
      </c>
      <c r="B63" s="72">
        <v>8320.0</v>
      </c>
      <c r="C63" s="75">
        <v>8320.0</v>
      </c>
      <c r="D63" s="72">
        <v>8320.0</v>
      </c>
      <c r="E63" s="72">
        <v>8320.0</v>
      </c>
      <c r="F63" s="72">
        <v>8320.0</v>
      </c>
      <c r="G63" s="72">
        <v>8320.0</v>
      </c>
      <c r="H63" s="72">
        <v>8320.0</v>
      </c>
      <c r="I63" s="72">
        <v>8320.0</v>
      </c>
      <c r="J63" s="72">
        <v>8320.0</v>
      </c>
      <c r="K63" s="72">
        <v>8320.0</v>
      </c>
      <c r="L63" s="72">
        <v>8320.0</v>
      </c>
      <c r="M63" s="75">
        <v>8320.0</v>
      </c>
      <c r="N63" s="45">
        <f t="shared" si="13"/>
        <v>99840</v>
      </c>
    </row>
    <row r="64" ht="15.75" customHeight="1">
      <c r="A64" s="45" t="s">
        <v>98</v>
      </c>
      <c r="B64" s="39">
        <v>31500.0</v>
      </c>
      <c r="C64" s="39">
        <v>31500.0</v>
      </c>
      <c r="D64" s="39">
        <v>31500.0</v>
      </c>
      <c r="E64" s="39">
        <v>31500.0</v>
      </c>
      <c r="F64" s="39">
        <v>31500.0</v>
      </c>
      <c r="G64" s="39">
        <v>31500.0</v>
      </c>
      <c r="H64" s="39">
        <v>31500.0</v>
      </c>
      <c r="I64" s="39">
        <v>31500.0</v>
      </c>
      <c r="J64" s="39">
        <v>31500.0</v>
      </c>
      <c r="K64" s="39">
        <v>31500.0</v>
      </c>
      <c r="L64" s="39">
        <v>31500.0</v>
      </c>
      <c r="M64" s="39">
        <v>31500.0</v>
      </c>
      <c r="N64" s="45">
        <f t="shared" si="13"/>
        <v>378000</v>
      </c>
    </row>
    <row r="65" ht="15.75" customHeight="1">
      <c r="A65" s="68" t="s">
        <v>99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5.75" customHeight="1">
      <c r="A66" s="69" t="s">
        <v>100</v>
      </c>
      <c r="B66" s="45">
        <v>0.0</v>
      </c>
      <c r="C66" s="45">
        <v>0.0</v>
      </c>
      <c r="D66" s="45">
        <v>0.0</v>
      </c>
      <c r="E66" s="45">
        <v>0.0</v>
      </c>
      <c r="F66" s="45">
        <v>0.0</v>
      </c>
      <c r="G66" s="45">
        <v>0.0</v>
      </c>
      <c r="H66" s="45">
        <v>0.0</v>
      </c>
      <c r="I66" s="45">
        <v>0.0</v>
      </c>
      <c r="J66" s="45">
        <v>0.0</v>
      </c>
      <c r="K66" s="45">
        <v>0.0</v>
      </c>
      <c r="L66" s="45">
        <v>0.0</v>
      </c>
      <c r="M66" s="45">
        <v>0.0</v>
      </c>
      <c r="N66" s="45">
        <f>SUM(B66:M66)</f>
        <v>0</v>
      </c>
    </row>
    <row r="67" ht="15.75" customHeight="1">
      <c r="A67" s="76" t="s">
        <v>101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</row>
    <row r="68" ht="15.75" customHeight="1">
      <c r="A68" s="69" t="s">
        <v>102</v>
      </c>
      <c r="B68" s="59">
        <f t="shared" ref="B68:M68" si="14">(B58-SUM(B61:B66))</f>
        <v>527119.0591</v>
      </c>
      <c r="C68" s="59">
        <f t="shared" si="14"/>
        <v>574240.8955</v>
      </c>
      <c r="D68" s="59">
        <f t="shared" si="14"/>
        <v>605751.8727</v>
      </c>
      <c r="E68" s="59">
        <f t="shared" si="14"/>
        <v>722597.6591</v>
      </c>
      <c r="F68" s="59">
        <f t="shared" si="14"/>
        <v>808382.3773</v>
      </c>
      <c r="G68" s="59">
        <f t="shared" si="14"/>
        <v>868577.6091</v>
      </c>
      <c r="H68" s="59">
        <f t="shared" si="14"/>
        <v>992682.9864</v>
      </c>
      <c r="I68" s="59">
        <f t="shared" si="14"/>
        <v>1108425.55</v>
      </c>
      <c r="J68" s="59">
        <f t="shared" si="14"/>
        <v>1151582.286</v>
      </c>
      <c r="K68" s="59">
        <f t="shared" si="14"/>
        <v>1080058.659</v>
      </c>
      <c r="L68" s="59">
        <f t="shared" si="14"/>
        <v>993011.95</v>
      </c>
      <c r="M68" s="59">
        <f t="shared" si="14"/>
        <v>897686.0364</v>
      </c>
      <c r="N68" s="59">
        <f>SUM(B68:M68)</f>
        <v>10330116.94</v>
      </c>
    </row>
    <row r="69" ht="15.75" customHeight="1">
      <c r="A69" s="73" t="s">
        <v>103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59">
        <f> N44+'Income Statement'!N82 - N68</f>
        <v>-6188261.228</v>
      </c>
    </row>
    <row r="70" ht="15.75" customHeight="1">
      <c r="A70" s="77" t="s">
        <v>104</v>
      </c>
      <c r="B70" s="45">
        <f t="shared" ref="B70:M70" si="15">SUM(B60:B68)</f>
        <v>673250</v>
      </c>
      <c r="C70" s="45">
        <f t="shared" si="15"/>
        <v>719275</v>
      </c>
      <c r="D70" s="45">
        <f t="shared" si="15"/>
        <v>752350</v>
      </c>
      <c r="E70" s="45">
        <f t="shared" si="15"/>
        <v>868625</v>
      </c>
      <c r="F70" s="45">
        <f t="shared" si="15"/>
        <v>953925</v>
      </c>
      <c r="G70" s="45">
        <f t="shared" si="15"/>
        <v>1015075</v>
      </c>
      <c r="H70" s="45">
        <f t="shared" si="15"/>
        <v>1139000</v>
      </c>
      <c r="I70" s="45">
        <f t="shared" si="15"/>
        <v>1253500</v>
      </c>
      <c r="J70" s="45">
        <f t="shared" si="15"/>
        <v>1298425</v>
      </c>
      <c r="K70" s="45">
        <f t="shared" si="15"/>
        <v>1227150</v>
      </c>
      <c r="L70" s="45">
        <f t="shared" si="15"/>
        <v>1140150</v>
      </c>
      <c r="M70" s="45">
        <f t="shared" si="15"/>
        <v>1047600</v>
      </c>
      <c r="N70" s="45">
        <f>SUM(N60:N69)</f>
        <v>5900063.772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71"/>
  </cols>
  <sheetData>
    <row r="1" ht="15.75" customHeight="1">
      <c r="A1" s="6" t="s">
        <v>108</v>
      </c>
    </row>
    <row r="2" ht="15.75" customHeight="1"/>
    <row r="3" ht="15.75" customHeight="1">
      <c r="A3" s="78" t="s">
        <v>87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</row>
    <row r="4" ht="15.75" customHeight="1">
      <c r="A4" s="79" t="s">
        <v>109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5" ht="15.75" customHeight="1">
      <c r="A5" s="55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 t="s">
        <v>8</v>
      </c>
      <c r="I5" s="56" t="s">
        <v>9</v>
      </c>
      <c r="J5" s="56" t="s">
        <v>10</v>
      </c>
      <c r="K5" s="56" t="s">
        <v>11</v>
      </c>
      <c r="L5" s="56" t="s">
        <v>12</v>
      </c>
      <c r="M5" s="56" t="s">
        <v>13</v>
      </c>
      <c r="N5" s="57" t="s">
        <v>14</v>
      </c>
    </row>
    <row r="6" ht="15.75" customHeight="1">
      <c r="A6" s="58" t="s">
        <v>110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ht="15.75" customHeight="1">
      <c r="A7" s="64" t="s">
        <v>111</v>
      </c>
      <c r="B7" s="59">
        <v>0.0</v>
      </c>
      <c r="C7" s="59">
        <v>0.0</v>
      </c>
      <c r="D7" s="59">
        <v>0.0</v>
      </c>
      <c r="E7" s="59">
        <v>0.0</v>
      </c>
      <c r="F7" s="59">
        <v>0.0</v>
      </c>
      <c r="G7" s="59">
        <v>0.0</v>
      </c>
      <c r="H7" s="63">
        <v>140000.0</v>
      </c>
      <c r="I7" s="63">
        <v>140000.0</v>
      </c>
      <c r="J7" s="63">
        <v>140000.0</v>
      </c>
      <c r="K7" s="63">
        <v>140000.0</v>
      </c>
      <c r="L7" s="63">
        <v>140000.0</v>
      </c>
      <c r="M7" s="63">
        <v>140000.0</v>
      </c>
      <c r="N7" s="59">
        <f t="shared" ref="N7:N17" si="1">SUM(B7:M7)</f>
        <v>840000</v>
      </c>
    </row>
    <row r="8" ht="15.75" customHeight="1">
      <c r="A8" s="60" t="s">
        <v>91</v>
      </c>
      <c r="B8" s="59">
        <f>700*'Balance Sheet'!B8</f>
        <v>70000</v>
      </c>
      <c r="C8" s="59">
        <f>700*'Balance Sheet'!C8</f>
        <v>147000</v>
      </c>
      <c r="D8" s="59">
        <f>700*'Balance Sheet'!D8</f>
        <v>189000</v>
      </c>
      <c r="E8" s="59">
        <f>700*'Balance Sheet'!E8</f>
        <v>231000</v>
      </c>
      <c r="F8" s="59">
        <f>700*'Balance Sheet'!F8</f>
        <v>308000</v>
      </c>
      <c r="G8" s="59">
        <f>700*'Balance Sheet'!G8</f>
        <v>385000</v>
      </c>
      <c r="H8" s="59">
        <f>700*'Balance Sheet'!H8</f>
        <v>322000</v>
      </c>
      <c r="I8" s="59">
        <f>700*'Balance Sheet'!I8</f>
        <v>259000</v>
      </c>
      <c r="J8" s="59">
        <f>700*'Balance Sheet'!J8</f>
        <v>196000</v>
      </c>
      <c r="K8" s="59">
        <f>700*'Balance Sheet'!K8</f>
        <v>133000</v>
      </c>
      <c r="L8" s="59">
        <f>700*'Balance Sheet'!L8</f>
        <v>70000</v>
      </c>
      <c r="M8" s="59">
        <f>700*'Balance Sheet'!M8</f>
        <v>7000</v>
      </c>
      <c r="N8" s="59">
        <f t="shared" si="1"/>
        <v>2317000</v>
      </c>
    </row>
    <row r="9" ht="15.75" customHeight="1">
      <c r="A9" s="60" t="s">
        <v>25</v>
      </c>
      <c r="B9" s="59">
        <v>150.0</v>
      </c>
      <c r="C9" s="59">
        <v>150.0</v>
      </c>
      <c r="D9" s="59">
        <v>150.0</v>
      </c>
      <c r="E9" s="59">
        <v>150.0</v>
      </c>
      <c r="F9" s="59">
        <v>150.0</v>
      </c>
      <c r="G9" s="59">
        <v>150.0</v>
      </c>
      <c r="H9" s="59">
        <v>150.0</v>
      </c>
      <c r="I9" s="59">
        <v>150.0</v>
      </c>
      <c r="J9" s="59">
        <v>150.0</v>
      </c>
      <c r="K9" s="59">
        <v>150.0</v>
      </c>
      <c r="L9" s="59">
        <v>150.0</v>
      </c>
      <c r="M9" s="59">
        <v>150.0</v>
      </c>
      <c r="N9" s="59">
        <f t="shared" si="1"/>
        <v>1800</v>
      </c>
    </row>
    <row r="10" ht="15.75" customHeight="1">
      <c r="A10" s="60" t="s">
        <v>112</v>
      </c>
      <c r="B10" s="63">
        <v>9000.0</v>
      </c>
      <c r="C10" s="63">
        <v>9000.0</v>
      </c>
      <c r="D10" s="63">
        <v>9000.0</v>
      </c>
      <c r="E10" s="63">
        <v>9000.0</v>
      </c>
      <c r="F10" s="63">
        <v>9000.0</v>
      </c>
      <c r="G10" s="63">
        <v>9000.0</v>
      </c>
      <c r="H10" s="63">
        <v>9000.0</v>
      </c>
      <c r="I10" s="63">
        <v>9000.0</v>
      </c>
      <c r="J10" s="63">
        <v>9000.0</v>
      </c>
      <c r="K10" s="63">
        <v>9000.0</v>
      </c>
      <c r="L10" s="63">
        <v>9000.0</v>
      </c>
      <c r="M10" s="63">
        <v>9000.0</v>
      </c>
      <c r="N10" s="59">
        <f t="shared" si="1"/>
        <v>108000</v>
      </c>
    </row>
    <row r="11" ht="15.75" customHeight="1">
      <c r="A11" s="45" t="s">
        <v>26</v>
      </c>
      <c r="B11" s="63">
        <v>4640.0</v>
      </c>
      <c r="C11" s="63">
        <v>4640.0</v>
      </c>
      <c r="D11" s="63">
        <v>4640.0</v>
      </c>
      <c r="E11" s="63">
        <v>4640.0</v>
      </c>
      <c r="F11" s="63">
        <v>4640.0</v>
      </c>
      <c r="G11" s="63">
        <v>4640.0</v>
      </c>
      <c r="H11" s="63">
        <v>4640.0</v>
      </c>
      <c r="I11" s="63">
        <v>4640.0</v>
      </c>
      <c r="J11" s="63">
        <v>4640.0</v>
      </c>
      <c r="K11" s="63">
        <v>4640.0</v>
      </c>
      <c r="L11" s="63">
        <v>4640.0</v>
      </c>
      <c r="M11" s="63">
        <v>4640.0</v>
      </c>
      <c r="N11" s="59">
        <f t="shared" si="1"/>
        <v>55680</v>
      </c>
    </row>
    <row r="12" ht="15.75" customHeight="1">
      <c r="A12" s="45" t="s">
        <v>24</v>
      </c>
      <c r="B12" s="59">
        <v>6500.0</v>
      </c>
      <c r="C12" s="59">
        <v>6500.0</v>
      </c>
      <c r="D12" s="59">
        <v>6500.0</v>
      </c>
      <c r="E12" s="59">
        <v>6500.0</v>
      </c>
      <c r="F12" s="59">
        <v>6500.0</v>
      </c>
      <c r="G12" s="59">
        <v>7500.0</v>
      </c>
      <c r="H12" s="59">
        <v>4500.0</v>
      </c>
      <c r="I12" s="59">
        <v>4500.0</v>
      </c>
      <c r="J12" s="59">
        <v>4500.0</v>
      </c>
      <c r="K12" s="59">
        <v>4500.0</v>
      </c>
      <c r="L12" s="59">
        <v>5500.0</v>
      </c>
      <c r="M12" s="59">
        <v>5500.0</v>
      </c>
      <c r="N12" s="59">
        <f t="shared" si="1"/>
        <v>69000</v>
      </c>
    </row>
    <row r="13" ht="15.75" customHeight="1">
      <c r="A13" s="45" t="s">
        <v>23</v>
      </c>
      <c r="B13" s="59"/>
      <c r="C13" s="59"/>
      <c r="D13" s="63">
        <v>-850.0</v>
      </c>
      <c r="E13" s="63">
        <v>-850.0</v>
      </c>
      <c r="F13" s="59"/>
      <c r="G13" s="59"/>
      <c r="H13" s="63">
        <v>-3400.0</v>
      </c>
      <c r="I13" s="63">
        <v>-3400.0</v>
      </c>
      <c r="J13" s="63">
        <v>-3400.0</v>
      </c>
      <c r="K13" s="63">
        <v>-3400.0</v>
      </c>
      <c r="L13" s="63">
        <v>-3400.0</v>
      </c>
      <c r="M13" s="63">
        <v>-3400.0</v>
      </c>
      <c r="N13" s="59">
        <f t="shared" si="1"/>
        <v>-22100</v>
      </c>
    </row>
    <row r="14" ht="15.75" customHeight="1">
      <c r="A14" s="43" t="s">
        <v>22</v>
      </c>
      <c r="B14" s="43">
        <v>1100.0</v>
      </c>
      <c r="C14" s="43">
        <v>1100.0</v>
      </c>
      <c r="D14" s="43">
        <v>1100.0</v>
      </c>
      <c r="E14" s="43">
        <v>1100.0</v>
      </c>
      <c r="F14" s="43">
        <v>1100.0</v>
      </c>
      <c r="G14" s="43">
        <v>1100.0</v>
      </c>
      <c r="H14" s="43">
        <v>1100.0</v>
      </c>
      <c r="I14" s="43">
        <v>1100.0</v>
      </c>
      <c r="J14" s="43">
        <v>1100.0</v>
      </c>
      <c r="K14" s="43">
        <v>1100.0</v>
      </c>
      <c r="L14" s="43">
        <v>1100.0</v>
      </c>
      <c r="M14" s="43">
        <v>1100.0</v>
      </c>
      <c r="N14" s="80">
        <f t="shared" si="1"/>
        <v>13200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80" t="s">
        <v>77</v>
      </c>
      <c r="B15" s="43">
        <v>105000.0</v>
      </c>
      <c r="C15" s="43">
        <v>105000.0</v>
      </c>
      <c r="D15" s="43">
        <v>105000.0</v>
      </c>
      <c r="E15" s="43">
        <v>105000.0</v>
      </c>
      <c r="F15" s="43">
        <v>105000.0</v>
      </c>
      <c r="G15" s="43">
        <v>105000.0</v>
      </c>
      <c r="H15" s="43">
        <v>105000.0</v>
      </c>
      <c r="I15" s="43">
        <v>105000.0</v>
      </c>
      <c r="J15" s="43">
        <v>105000.0</v>
      </c>
      <c r="K15" s="43">
        <v>105000.0</v>
      </c>
      <c r="L15" s="43">
        <v>105000.0</v>
      </c>
      <c r="M15" s="43">
        <v>105000.0</v>
      </c>
      <c r="N15" s="80">
        <f t="shared" si="1"/>
        <v>1260000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60" t="s">
        <v>113</v>
      </c>
      <c r="B16" s="45">
        <v>-13047.300000000001</v>
      </c>
      <c r="C16" s="45">
        <v>-8847.300000000001</v>
      </c>
      <c r="D16" s="45">
        <v>-12756.800000000001</v>
      </c>
      <c r="E16" s="45">
        <v>-12756.800000000001</v>
      </c>
      <c r="F16" s="45">
        <v>-8847.300000000001</v>
      </c>
      <c r="G16" s="45">
        <v>-8917.300000000001</v>
      </c>
      <c r="H16" s="45">
        <v>-4745.3</v>
      </c>
      <c r="I16" s="45">
        <v>-4745.3</v>
      </c>
      <c r="J16" s="45">
        <v>-4745.3</v>
      </c>
      <c r="K16" s="45">
        <v>-4745.3</v>
      </c>
      <c r="L16" s="45">
        <v>-4815.3</v>
      </c>
      <c r="M16" s="45">
        <v>-4815.3</v>
      </c>
      <c r="N16" s="45">
        <f t="shared" si="1"/>
        <v>-93784.6</v>
      </c>
    </row>
    <row r="17" ht="15.75" customHeight="1">
      <c r="A17" s="64" t="s">
        <v>114</v>
      </c>
      <c r="B17" s="59">
        <f t="shared" ref="B17:M17" si="2">B7-(SUM(B8:B16))</f>
        <v>-183342.7</v>
      </c>
      <c r="C17" s="59">
        <f t="shared" si="2"/>
        <v>-264542.7</v>
      </c>
      <c r="D17" s="59">
        <f t="shared" si="2"/>
        <v>-301783.2</v>
      </c>
      <c r="E17" s="59">
        <f t="shared" si="2"/>
        <v>-343783.2</v>
      </c>
      <c r="F17" s="59">
        <f t="shared" si="2"/>
        <v>-425542.7</v>
      </c>
      <c r="G17" s="59">
        <f t="shared" si="2"/>
        <v>-503472.7</v>
      </c>
      <c r="H17" s="59">
        <f t="shared" si="2"/>
        <v>-298244.7</v>
      </c>
      <c r="I17" s="59">
        <f t="shared" si="2"/>
        <v>-235244.7</v>
      </c>
      <c r="J17" s="59">
        <f t="shared" si="2"/>
        <v>-172244.7</v>
      </c>
      <c r="K17" s="59">
        <f t="shared" si="2"/>
        <v>-109244.7</v>
      </c>
      <c r="L17" s="59">
        <f t="shared" si="2"/>
        <v>-47174.7</v>
      </c>
      <c r="M17" s="59">
        <f t="shared" si="2"/>
        <v>15825.3</v>
      </c>
      <c r="N17" s="59">
        <f t="shared" si="1"/>
        <v>-2868795.4</v>
      </c>
    </row>
    <row r="18" ht="15.75" customHeight="1">
      <c r="A18" s="81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ht="15.75" customHeight="1">
      <c r="A19" s="77" t="s">
        <v>115</v>
      </c>
      <c r="B19" s="59">
        <f t="shared" ref="B19:M19" si="3">B17</f>
        <v>-183342.7</v>
      </c>
      <c r="C19" s="59">
        <f t="shared" si="3"/>
        <v>-264542.7</v>
      </c>
      <c r="D19" s="59">
        <f t="shared" si="3"/>
        <v>-301783.2</v>
      </c>
      <c r="E19" s="59">
        <f t="shared" si="3"/>
        <v>-343783.2</v>
      </c>
      <c r="F19" s="59">
        <f t="shared" si="3"/>
        <v>-425542.7</v>
      </c>
      <c r="G19" s="59">
        <f t="shared" si="3"/>
        <v>-503472.7</v>
      </c>
      <c r="H19" s="59">
        <f t="shared" si="3"/>
        <v>-298244.7</v>
      </c>
      <c r="I19" s="59">
        <f t="shared" si="3"/>
        <v>-235244.7</v>
      </c>
      <c r="J19" s="59">
        <f t="shared" si="3"/>
        <v>-172244.7</v>
      </c>
      <c r="K19" s="59">
        <f t="shared" si="3"/>
        <v>-109244.7</v>
      </c>
      <c r="L19" s="59">
        <f t="shared" si="3"/>
        <v>-47174.7</v>
      </c>
      <c r="M19" s="59">
        <f t="shared" si="3"/>
        <v>15825.3</v>
      </c>
      <c r="N19" s="59">
        <f>SUM(B19:M19)</f>
        <v>-2868795.4</v>
      </c>
    </row>
    <row r="20" ht="15.75" customHeight="1">
      <c r="A20" s="6"/>
    </row>
    <row r="21" ht="15.75" customHeight="1">
      <c r="A21" s="82"/>
    </row>
    <row r="22" ht="15.75" customHeight="1">
      <c r="A22" s="78" t="s">
        <v>105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7"/>
    </row>
    <row r="23" ht="15.75" customHeight="1">
      <c r="A23" s="79" t="s">
        <v>116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</row>
    <row r="24" ht="15.75" customHeight="1">
      <c r="A24" s="55"/>
      <c r="B24" s="56" t="s">
        <v>2</v>
      </c>
      <c r="C24" s="56" t="s">
        <v>3</v>
      </c>
      <c r="D24" s="56" t="s">
        <v>4</v>
      </c>
      <c r="E24" s="56" t="s">
        <v>5</v>
      </c>
      <c r="F24" s="56" t="s">
        <v>6</v>
      </c>
      <c r="G24" s="56" t="s">
        <v>7</v>
      </c>
      <c r="H24" s="56" t="s">
        <v>8</v>
      </c>
      <c r="I24" s="56" t="s">
        <v>9</v>
      </c>
      <c r="J24" s="56" t="s">
        <v>10</v>
      </c>
      <c r="K24" s="56" t="s">
        <v>11</v>
      </c>
      <c r="L24" s="56" t="s">
        <v>12</v>
      </c>
      <c r="M24" s="56" t="s">
        <v>13</v>
      </c>
      <c r="N24" s="57" t="s">
        <v>14</v>
      </c>
    </row>
    <row r="25" ht="15.75" customHeight="1">
      <c r="A25" s="58" t="s">
        <v>110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ht="15.75" customHeight="1">
      <c r="A26" s="64" t="s">
        <v>111</v>
      </c>
      <c r="B26" s="59">
        <v>371100.0</v>
      </c>
      <c r="C26" s="59">
        <v>350050.0</v>
      </c>
      <c r="D26" s="59">
        <v>449250.0</v>
      </c>
      <c r="E26" s="59">
        <v>498050.0</v>
      </c>
      <c r="F26" s="59">
        <v>418225.0</v>
      </c>
      <c r="G26" s="59">
        <v>384975.0</v>
      </c>
      <c r="H26" s="59">
        <v>367975.0</v>
      </c>
      <c r="I26" s="59">
        <v>349175.0</v>
      </c>
      <c r="J26" s="59">
        <v>378650.0</v>
      </c>
      <c r="K26" s="59">
        <v>371625.0</v>
      </c>
      <c r="L26" s="59">
        <v>593975.0</v>
      </c>
      <c r="M26" s="59">
        <v>648250.0</v>
      </c>
      <c r="N26" s="59">
        <f t="shared" ref="N26:N36" si="4">SUM(B26:M26)</f>
        <v>5181300</v>
      </c>
    </row>
    <row r="27" ht="15.75" customHeight="1">
      <c r="A27" s="60" t="s">
        <v>91</v>
      </c>
      <c r="B27" s="59">
        <f>700*'Balance Sheet'!B31</f>
        <v>67900</v>
      </c>
      <c r="C27" s="59">
        <f>700*'Balance Sheet'!C31</f>
        <v>151200</v>
      </c>
      <c r="D27" s="59">
        <f>700*'Balance Sheet'!D31</f>
        <v>135800</v>
      </c>
      <c r="E27" s="59">
        <f>700*'Balance Sheet'!E31</f>
        <v>72800</v>
      </c>
      <c r="F27" s="59">
        <f>700*'Balance Sheet'!F31</f>
        <v>90300</v>
      </c>
      <c r="G27" s="59">
        <f>700*'Balance Sheet'!G31</f>
        <v>141400</v>
      </c>
      <c r="H27" s="59">
        <f>700*'Balance Sheet'!H31</f>
        <v>210700</v>
      </c>
      <c r="I27" s="59">
        <f>700*'Balance Sheet'!I31</f>
        <v>298900</v>
      </c>
      <c r="J27" s="59">
        <f>700*'Balance Sheet'!J31</f>
        <v>358400</v>
      </c>
      <c r="K27" s="59">
        <f>700*'Balance Sheet'!K31</f>
        <v>425600</v>
      </c>
      <c r="L27" s="59">
        <f>700*'Balance Sheet'!L31</f>
        <v>269500</v>
      </c>
      <c r="M27" s="59">
        <f>700*'Balance Sheet'!M31</f>
        <v>59500</v>
      </c>
      <c r="N27" s="59">
        <f t="shared" si="4"/>
        <v>2282000</v>
      </c>
    </row>
    <row r="28" ht="15.75" customHeight="1">
      <c r="A28" s="60" t="s">
        <v>25</v>
      </c>
      <c r="B28" s="59">
        <v>160.0</v>
      </c>
      <c r="C28" s="59">
        <v>160.0</v>
      </c>
      <c r="D28" s="59">
        <v>160.0</v>
      </c>
      <c r="E28" s="59">
        <v>160.0</v>
      </c>
      <c r="F28" s="59">
        <v>160.0</v>
      </c>
      <c r="G28" s="59">
        <v>160.0</v>
      </c>
      <c r="H28" s="59">
        <v>160.0</v>
      </c>
      <c r="I28" s="59">
        <v>160.0</v>
      </c>
      <c r="J28" s="59">
        <v>160.0</v>
      </c>
      <c r="K28" s="59">
        <v>160.0</v>
      </c>
      <c r="L28" s="59">
        <v>160.0</v>
      </c>
      <c r="M28" s="59">
        <v>160.0</v>
      </c>
      <c r="N28" s="59">
        <f t="shared" si="4"/>
        <v>1920</v>
      </c>
    </row>
    <row r="29" ht="15.75" customHeight="1">
      <c r="A29" s="60" t="s">
        <v>112</v>
      </c>
      <c r="B29" s="63">
        <v>15000.0</v>
      </c>
      <c r="C29" s="63">
        <v>15000.0</v>
      </c>
      <c r="D29" s="63">
        <v>15000.0</v>
      </c>
      <c r="E29" s="63">
        <v>15000.0</v>
      </c>
      <c r="F29" s="63">
        <v>15000.0</v>
      </c>
      <c r="G29" s="63">
        <v>15000.0</v>
      </c>
      <c r="H29" s="63">
        <v>15000.0</v>
      </c>
      <c r="I29" s="63">
        <v>15000.0</v>
      </c>
      <c r="J29" s="63">
        <v>15000.0</v>
      </c>
      <c r="K29" s="63">
        <v>15000.0</v>
      </c>
      <c r="L29" s="63">
        <v>15000.0</v>
      </c>
      <c r="M29" s="63">
        <v>15000.0</v>
      </c>
      <c r="N29" s="59">
        <f t="shared" si="4"/>
        <v>180000</v>
      </c>
    </row>
    <row r="30" ht="15.75" customHeight="1">
      <c r="A30" s="45" t="s">
        <v>26</v>
      </c>
      <c r="B30" s="63">
        <v>6656.0</v>
      </c>
      <c r="C30" s="63">
        <v>6656.0</v>
      </c>
      <c r="D30" s="63">
        <v>6656.0</v>
      </c>
      <c r="E30" s="63">
        <v>6656.0</v>
      </c>
      <c r="F30" s="63">
        <v>6656.0</v>
      </c>
      <c r="G30" s="63">
        <v>6656.0</v>
      </c>
      <c r="H30" s="63">
        <v>6656.0</v>
      </c>
      <c r="I30" s="63">
        <v>6656.0</v>
      </c>
      <c r="J30" s="63">
        <v>6656.0</v>
      </c>
      <c r="K30" s="63">
        <v>6656.0</v>
      </c>
      <c r="L30" s="63">
        <v>6656.0</v>
      </c>
      <c r="M30" s="63">
        <v>6656.0</v>
      </c>
      <c r="N30" s="59">
        <f t="shared" si="4"/>
        <v>79872</v>
      </c>
    </row>
    <row r="31" ht="15.75" customHeight="1">
      <c r="A31" s="45" t="s">
        <v>24</v>
      </c>
      <c r="B31" s="63">
        <v>4500.0</v>
      </c>
      <c r="C31" s="63">
        <v>4500.0</v>
      </c>
      <c r="D31" s="63">
        <v>4500.0</v>
      </c>
      <c r="E31" s="63">
        <v>4500.0</v>
      </c>
      <c r="F31" s="63">
        <v>4500.0</v>
      </c>
      <c r="G31" s="63">
        <v>4500.0</v>
      </c>
      <c r="H31" s="63">
        <v>4500.0</v>
      </c>
      <c r="I31" s="63">
        <v>4500.0</v>
      </c>
      <c r="J31" s="63">
        <v>4500.0</v>
      </c>
      <c r="K31" s="63">
        <v>5500.0</v>
      </c>
      <c r="L31" s="63">
        <v>5500.0</v>
      </c>
      <c r="M31" s="63">
        <v>5500.0</v>
      </c>
      <c r="N31" s="59">
        <f t="shared" si="4"/>
        <v>57000</v>
      </c>
    </row>
    <row r="32" ht="15.75" customHeight="1">
      <c r="A32" s="45" t="s">
        <v>23</v>
      </c>
      <c r="B32" s="63">
        <v>9345.0</v>
      </c>
      <c r="C32" s="63">
        <v>11175.0</v>
      </c>
      <c r="D32" s="63">
        <v>13590.0</v>
      </c>
      <c r="E32" s="63">
        <v>15330.0</v>
      </c>
      <c r="F32" s="63">
        <v>14010.0</v>
      </c>
      <c r="G32" s="63">
        <v>13500.0</v>
      </c>
      <c r="H32" s="63">
        <v>13830.0</v>
      </c>
      <c r="I32" s="63">
        <v>13485.0</v>
      </c>
      <c r="J32" s="63">
        <v>14565.0</v>
      </c>
      <c r="K32" s="63">
        <v>14805.0</v>
      </c>
      <c r="L32" s="63">
        <v>19020.0</v>
      </c>
      <c r="M32" s="63">
        <v>20400.0</v>
      </c>
      <c r="N32" s="59">
        <f t="shared" si="4"/>
        <v>173055</v>
      </c>
    </row>
    <row r="33" ht="15.75" customHeight="1">
      <c r="A33" s="43" t="s">
        <v>22</v>
      </c>
      <c r="B33" s="43">
        <v>1200.0</v>
      </c>
      <c r="C33" s="43">
        <v>1200.0</v>
      </c>
      <c r="D33" s="43">
        <v>1200.0</v>
      </c>
      <c r="E33" s="43">
        <v>1200.0</v>
      </c>
      <c r="F33" s="43">
        <v>1200.0</v>
      </c>
      <c r="G33" s="43">
        <v>1200.0</v>
      </c>
      <c r="H33" s="43">
        <v>1200.0</v>
      </c>
      <c r="I33" s="43">
        <v>1200.0</v>
      </c>
      <c r="J33" s="43">
        <v>1200.0</v>
      </c>
      <c r="K33" s="43">
        <v>1200.0</v>
      </c>
      <c r="L33" s="43">
        <v>1200.0</v>
      </c>
      <c r="M33" s="43">
        <v>1200.0</v>
      </c>
      <c r="N33" s="80">
        <f t="shared" si="4"/>
        <v>14400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80" t="s">
        <v>77</v>
      </c>
      <c r="B34" s="43">
        <v>105000.0</v>
      </c>
      <c r="C34" s="43">
        <v>105000.0</v>
      </c>
      <c r="D34" s="43">
        <v>105000.0</v>
      </c>
      <c r="E34" s="43">
        <v>105000.0</v>
      </c>
      <c r="F34" s="43">
        <v>105000.0</v>
      </c>
      <c r="G34" s="43">
        <v>105000.0</v>
      </c>
      <c r="H34" s="43">
        <v>105000.0</v>
      </c>
      <c r="I34" s="43">
        <v>105000.0</v>
      </c>
      <c r="J34" s="43">
        <v>105000.0</v>
      </c>
      <c r="K34" s="43">
        <v>105000.0</v>
      </c>
      <c r="L34" s="43">
        <v>105000.0</v>
      </c>
      <c r="M34" s="43">
        <v>105000.0</v>
      </c>
      <c r="N34" s="80">
        <f t="shared" si="4"/>
        <v>1260000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83" t="s">
        <v>113</v>
      </c>
      <c r="B35" s="84">
        <v>-2591.0881818181833</v>
      </c>
      <c r="C35" s="84">
        <v>-3052.324545454545</v>
      </c>
      <c r="D35" s="84">
        <v>-1302.1018181818172</v>
      </c>
      <c r="E35" s="84">
        <v>-431.1745454545447</v>
      </c>
      <c r="F35" s="84">
        <v>-1828.3427272727279</v>
      </c>
      <c r="G35" s="84">
        <v>-2409.5972727272724</v>
      </c>
      <c r="H35" s="84">
        <v>-2696.1518181818215</v>
      </c>
      <c r="I35" s="84">
        <v>-3025.82</v>
      </c>
      <c r="J35" s="84">
        <v>-2499.260909090907</v>
      </c>
      <c r="K35" s="84">
        <v>-2685.8109090909106</v>
      </c>
      <c r="L35" s="84">
        <v>1215.6390909090896</v>
      </c>
      <c r="M35" s="84">
        <v>2174.2890909090897</v>
      </c>
      <c r="N35" s="84">
        <f t="shared" si="4"/>
        <v>-19131.74455</v>
      </c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15.75" customHeight="1">
      <c r="A36" s="64" t="s">
        <v>114</v>
      </c>
      <c r="B36" s="59">
        <f t="shared" ref="B36:M36" si="5">B26-(SUM(B27:B35))</f>
        <v>163930.0882</v>
      </c>
      <c r="C36" s="59">
        <f t="shared" si="5"/>
        <v>58211.32455</v>
      </c>
      <c r="D36" s="59">
        <f t="shared" si="5"/>
        <v>168646.1018</v>
      </c>
      <c r="E36" s="59">
        <f t="shared" si="5"/>
        <v>277835.1745</v>
      </c>
      <c r="F36" s="59">
        <f t="shared" si="5"/>
        <v>183227.3427</v>
      </c>
      <c r="G36" s="59">
        <f t="shared" si="5"/>
        <v>99968.59727</v>
      </c>
      <c r="H36" s="59">
        <f t="shared" si="5"/>
        <v>13625.15182</v>
      </c>
      <c r="I36" s="59">
        <f t="shared" si="5"/>
        <v>-92700.18</v>
      </c>
      <c r="J36" s="59">
        <f t="shared" si="5"/>
        <v>-124331.7391</v>
      </c>
      <c r="K36" s="59">
        <f t="shared" si="5"/>
        <v>-199610.1891</v>
      </c>
      <c r="L36" s="59">
        <f t="shared" si="5"/>
        <v>170723.3609</v>
      </c>
      <c r="M36" s="59">
        <f t="shared" si="5"/>
        <v>432659.7109</v>
      </c>
      <c r="N36" s="59">
        <f t="shared" si="4"/>
        <v>1152184.745</v>
      </c>
    </row>
    <row r="37" ht="15.75" customHeight="1">
      <c r="A37" s="8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ht="15.75" customHeight="1">
      <c r="A38" s="77" t="s">
        <v>115</v>
      </c>
      <c r="B38" s="59">
        <f t="shared" ref="B38:M38" si="6">B36</f>
        <v>163930.0882</v>
      </c>
      <c r="C38" s="59">
        <f t="shared" si="6"/>
        <v>58211.32455</v>
      </c>
      <c r="D38" s="59">
        <f t="shared" si="6"/>
        <v>168646.1018</v>
      </c>
      <c r="E38" s="59">
        <f t="shared" si="6"/>
        <v>277835.1745</v>
      </c>
      <c r="F38" s="59">
        <f t="shared" si="6"/>
        <v>183227.3427</v>
      </c>
      <c r="G38" s="59">
        <f t="shared" si="6"/>
        <v>99968.59727</v>
      </c>
      <c r="H38" s="59">
        <f t="shared" si="6"/>
        <v>13625.15182</v>
      </c>
      <c r="I38" s="59">
        <f t="shared" si="6"/>
        <v>-92700.18</v>
      </c>
      <c r="J38" s="59">
        <f t="shared" si="6"/>
        <v>-124331.7391</v>
      </c>
      <c r="K38" s="59">
        <f t="shared" si="6"/>
        <v>-199610.1891</v>
      </c>
      <c r="L38" s="59">
        <f t="shared" si="6"/>
        <v>170723.3609</v>
      </c>
      <c r="M38" s="59">
        <f t="shared" si="6"/>
        <v>432659.7109</v>
      </c>
      <c r="N38" s="59">
        <f>SUM(B38:M38)</f>
        <v>1152184.745</v>
      </c>
    </row>
    <row r="39" ht="15.75" customHeight="1">
      <c r="A39" s="86"/>
    </row>
    <row r="40" ht="15.75" customHeight="1">
      <c r="A40" s="86"/>
    </row>
    <row r="41" ht="15.75" customHeight="1">
      <c r="A41" s="86"/>
      <c r="B41" s="15"/>
      <c r="C41" s="15"/>
      <c r="D41" s="15"/>
      <c r="E41" s="15"/>
      <c r="F41" s="15"/>
      <c r="G41" s="15"/>
    </row>
    <row r="42" ht="15.75" customHeight="1">
      <c r="A42" s="78" t="s">
        <v>106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7"/>
    </row>
    <row r="43" ht="15.75" customHeight="1">
      <c r="A43" s="79" t="s">
        <v>117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7"/>
    </row>
    <row r="44" ht="15.75" customHeight="1">
      <c r="A44" s="55"/>
      <c r="B44" s="56" t="s">
        <v>2</v>
      </c>
      <c r="C44" s="56" t="s">
        <v>3</v>
      </c>
      <c r="D44" s="56" t="s">
        <v>4</v>
      </c>
      <c r="E44" s="56" t="s">
        <v>5</v>
      </c>
      <c r="F44" s="56" t="s">
        <v>6</v>
      </c>
      <c r="G44" s="56" t="s">
        <v>7</v>
      </c>
      <c r="H44" s="56" t="s">
        <v>8</v>
      </c>
      <c r="I44" s="56" t="s">
        <v>9</v>
      </c>
      <c r="J44" s="56" t="s">
        <v>10</v>
      </c>
      <c r="K44" s="56" t="s">
        <v>11</v>
      </c>
      <c r="L44" s="56" t="s">
        <v>12</v>
      </c>
      <c r="M44" s="56" t="s">
        <v>13</v>
      </c>
      <c r="N44" s="57" t="s">
        <v>14</v>
      </c>
    </row>
    <row r="45" ht="15.75" customHeight="1">
      <c r="A45" s="58" t="s">
        <v>110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</row>
    <row r="46" ht="15.75" customHeight="1">
      <c r="A46" s="64" t="s">
        <v>111</v>
      </c>
      <c r="B46" s="59">
        <v>634150.0</v>
      </c>
      <c r="C46" s="59">
        <v>553475.0</v>
      </c>
      <c r="D46" s="59">
        <v>471750.0</v>
      </c>
      <c r="E46" s="59">
        <v>503325.0</v>
      </c>
      <c r="F46" s="59">
        <v>530525.0</v>
      </c>
      <c r="G46" s="59">
        <v>468475.0</v>
      </c>
      <c r="H46" s="59">
        <v>478300.0</v>
      </c>
      <c r="I46" s="59">
        <v>548700.0</v>
      </c>
      <c r="J46" s="59">
        <v>665725.0</v>
      </c>
      <c r="K46" s="59">
        <v>683350.0</v>
      </c>
      <c r="L46" s="59">
        <v>690850.0</v>
      </c>
      <c r="M46" s="59">
        <v>847500.0</v>
      </c>
      <c r="N46" s="59">
        <f t="shared" ref="N46:N56" si="7">SUM(B46:M46)</f>
        <v>7076125</v>
      </c>
    </row>
    <row r="47" ht="15.75" customHeight="1">
      <c r="A47" s="60" t="s">
        <v>91</v>
      </c>
      <c r="B47" s="59">
        <f>700*'Balance Sheet'!B55</f>
        <v>9100</v>
      </c>
      <c r="C47" s="59">
        <f>700*'Balance Sheet'!C55</f>
        <v>135800</v>
      </c>
      <c r="D47" s="59">
        <f>700*'Balance Sheet'!D55</f>
        <v>250600</v>
      </c>
      <c r="E47" s="59">
        <f>700*'Balance Sheet'!E55</f>
        <v>335300</v>
      </c>
      <c r="F47" s="59">
        <f>700*'Balance Sheet'!F55</f>
        <v>393400</v>
      </c>
      <c r="G47" s="59">
        <f>700*'Balance Sheet'!G55</f>
        <v>516600</v>
      </c>
      <c r="H47" s="59">
        <f>700*'Balance Sheet'!H55</f>
        <v>630700</v>
      </c>
      <c r="I47" s="59">
        <f>700*'Balance Sheet'!I55</f>
        <v>674800</v>
      </c>
      <c r="J47" s="59">
        <f>700*'Balance Sheet'!J55</f>
        <v>602700</v>
      </c>
      <c r="K47" s="59">
        <f>700*'Balance Sheet'!K55</f>
        <v>513800</v>
      </c>
      <c r="L47" s="59">
        <f>700*'Balance Sheet'!L55</f>
        <v>419300</v>
      </c>
      <c r="M47" s="59">
        <f>700*'Balance Sheet'!M55</f>
        <v>170100</v>
      </c>
      <c r="N47" s="59">
        <f t="shared" si="7"/>
        <v>4652200</v>
      </c>
    </row>
    <row r="48" ht="15.75" customHeight="1">
      <c r="A48" s="60" t="s">
        <v>25</v>
      </c>
      <c r="B48" s="63">
        <v>180.0</v>
      </c>
      <c r="C48" s="63">
        <v>180.0</v>
      </c>
      <c r="D48" s="63">
        <v>180.0</v>
      </c>
      <c r="E48" s="63">
        <v>180.0</v>
      </c>
      <c r="F48" s="63">
        <v>180.0</v>
      </c>
      <c r="G48" s="63">
        <v>180.0</v>
      </c>
      <c r="H48" s="63">
        <v>180.0</v>
      </c>
      <c r="I48" s="63">
        <v>180.0</v>
      </c>
      <c r="J48" s="63">
        <v>180.0</v>
      </c>
      <c r="K48" s="63">
        <v>180.0</v>
      </c>
      <c r="L48" s="63">
        <v>180.0</v>
      </c>
      <c r="M48" s="63">
        <v>180.0</v>
      </c>
      <c r="N48" s="59">
        <f t="shared" si="7"/>
        <v>2160</v>
      </c>
    </row>
    <row r="49" ht="15.75" customHeight="1">
      <c r="A49" s="60" t="s">
        <v>112</v>
      </c>
      <c r="B49" s="63">
        <v>31500.0</v>
      </c>
      <c r="C49" s="63">
        <v>31500.0</v>
      </c>
      <c r="D49" s="63">
        <v>31500.0</v>
      </c>
      <c r="E49" s="63">
        <v>31500.0</v>
      </c>
      <c r="F49" s="63">
        <v>31500.0</v>
      </c>
      <c r="G49" s="63">
        <v>31500.0</v>
      </c>
      <c r="H49" s="63">
        <v>31500.0</v>
      </c>
      <c r="I49" s="63">
        <v>31500.0</v>
      </c>
      <c r="J49" s="63">
        <v>31500.0</v>
      </c>
      <c r="K49" s="63">
        <v>31500.0</v>
      </c>
      <c r="L49" s="63">
        <v>31500.0</v>
      </c>
      <c r="M49" s="63">
        <v>31500.0</v>
      </c>
      <c r="N49" s="59">
        <f t="shared" si="7"/>
        <v>378000</v>
      </c>
    </row>
    <row r="50" ht="15.75" customHeight="1">
      <c r="A50" s="45" t="s">
        <v>26</v>
      </c>
      <c r="B50" s="63">
        <v>8320.0</v>
      </c>
      <c r="C50" s="63">
        <v>8320.0</v>
      </c>
      <c r="D50" s="63">
        <v>8320.0</v>
      </c>
      <c r="E50" s="63">
        <v>8320.0</v>
      </c>
      <c r="F50" s="63">
        <v>8320.0</v>
      </c>
      <c r="G50" s="63">
        <v>8320.0</v>
      </c>
      <c r="H50" s="63">
        <v>8320.0</v>
      </c>
      <c r="I50" s="63">
        <v>8320.0</v>
      </c>
      <c r="J50" s="63">
        <v>8320.0</v>
      </c>
      <c r="K50" s="63">
        <v>8320.0</v>
      </c>
      <c r="L50" s="63">
        <v>8320.0</v>
      </c>
      <c r="M50" s="63">
        <v>8320.0</v>
      </c>
      <c r="N50" s="59">
        <f t="shared" si="7"/>
        <v>99840</v>
      </c>
    </row>
    <row r="51" ht="15.75" customHeight="1">
      <c r="A51" s="45" t="s">
        <v>24</v>
      </c>
      <c r="B51" s="63">
        <v>4500.0</v>
      </c>
      <c r="C51" s="63">
        <v>4500.0</v>
      </c>
      <c r="D51" s="63">
        <v>4500.0</v>
      </c>
      <c r="E51" s="63">
        <v>4500.0</v>
      </c>
      <c r="F51" s="63">
        <v>4500.0</v>
      </c>
      <c r="G51" s="63">
        <v>4500.0</v>
      </c>
      <c r="H51" s="63">
        <v>4500.0</v>
      </c>
      <c r="I51" s="63">
        <v>4500.0</v>
      </c>
      <c r="J51" s="63">
        <v>4500.0</v>
      </c>
      <c r="K51" s="63">
        <v>5500.0</v>
      </c>
      <c r="L51" s="63">
        <v>5500.0</v>
      </c>
      <c r="M51" s="63">
        <v>5500.0</v>
      </c>
      <c r="N51" s="59">
        <f t="shared" si="7"/>
        <v>57000</v>
      </c>
    </row>
    <row r="52" ht="15.75" customHeight="1">
      <c r="A52" s="45" t="s">
        <v>23</v>
      </c>
      <c r="B52" s="63">
        <v>20595.0</v>
      </c>
      <c r="C52" s="63">
        <v>21270.0</v>
      </c>
      <c r="D52" s="63">
        <v>22470.0</v>
      </c>
      <c r="E52" s="63">
        <v>24000.0</v>
      </c>
      <c r="F52" s="63">
        <v>24930.0</v>
      </c>
      <c r="G52" s="63">
        <v>23865.0</v>
      </c>
      <c r="H52" s="63">
        <v>24495.0</v>
      </c>
      <c r="I52" s="63">
        <v>26235.0</v>
      </c>
      <c r="J52" s="63">
        <v>26220.0</v>
      </c>
      <c r="K52" s="63">
        <v>27075.0</v>
      </c>
      <c r="L52" s="63">
        <v>29835.0</v>
      </c>
      <c r="M52" s="63">
        <v>34320.0</v>
      </c>
      <c r="N52" s="59">
        <f t="shared" si="7"/>
        <v>305310</v>
      </c>
    </row>
    <row r="53" ht="15.75" customHeight="1">
      <c r="A53" s="87" t="s">
        <v>22</v>
      </c>
      <c r="B53" s="87">
        <v>1400.0</v>
      </c>
      <c r="C53" s="87">
        <v>1400.0</v>
      </c>
      <c r="D53" s="87">
        <v>1400.0</v>
      </c>
      <c r="E53" s="87">
        <v>1400.0</v>
      </c>
      <c r="F53" s="87">
        <v>1400.0</v>
      </c>
      <c r="G53" s="87">
        <v>1400.0</v>
      </c>
      <c r="H53" s="87">
        <v>1400.0</v>
      </c>
      <c r="I53" s="87">
        <v>1400.0</v>
      </c>
      <c r="J53" s="87">
        <v>1400.0</v>
      </c>
      <c r="K53" s="87">
        <v>1400.0</v>
      </c>
      <c r="L53" s="87">
        <v>1400.0</v>
      </c>
      <c r="M53" s="87">
        <v>1400.0</v>
      </c>
      <c r="N53" s="88">
        <f t="shared" si="7"/>
        <v>16800</v>
      </c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>
      <c r="A54" s="88" t="s">
        <v>77</v>
      </c>
      <c r="B54" s="87">
        <v>105000.0</v>
      </c>
      <c r="C54" s="87">
        <v>105000.0</v>
      </c>
      <c r="D54" s="87">
        <v>105000.0</v>
      </c>
      <c r="E54" s="87">
        <v>105000.0</v>
      </c>
      <c r="F54" s="87">
        <v>105000.0</v>
      </c>
      <c r="G54" s="87">
        <v>105000.0</v>
      </c>
      <c r="H54" s="87">
        <v>105000.0</v>
      </c>
      <c r="I54" s="87">
        <v>105000.0</v>
      </c>
      <c r="J54" s="87">
        <v>105000.0</v>
      </c>
      <c r="K54" s="87">
        <v>105000.0</v>
      </c>
      <c r="L54" s="87">
        <v>105000.0</v>
      </c>
      <c r="M54" s="87">
        <v>105000.0</v>
      </c>
      <c r="N54" s="88">
        <f t="shared" si="7"/>
        <v>1260000</v>
      </c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83" t="s">
        <v>113</v>
      </c>
      <c r="B55" s="84">
        <v>1310.9409090909107</v>
      </c>
      <c r="C55" s="84">
        <v>-214.10454545454473</v>
      </c>
      <c r="D55" s="84">
        <v>-1778.1272727272726</v>
      </c>
      <c r="E55" s="84">
        <v>-1207.3409090909065</v>
      </c>
      <c r="F55" s="84">
        <v>-722.6227272727277</v>
      </c>
      <c r="G55" s="84">
        <v>-1677.3909090909067</v>
      </c>
      <c r="H55" s="84">
        <v>-1497.0136363636384</v>
      </c>
      <c r="I55" s="84">
        <v>-254.45000000000002</v>
      </c>
      <c r="J55" s="84">
        <v>2022.7136363636384</v>
      </c>
      <c r="K55" s="84">
        <v>2271.340909090911</v>
      </c>
      <c r="L55" s="84">
        <v>2318.05</v>
      </c>
      <c r="M55" s="84">
        <v>5093.963636363635</v>
      </c>
      <c r="N55" s="84">
        <f t="shared" si="7"/>
        <v>5665.959091</v>
      </c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5.75" customHeight="1">
      <c r="A56" s="64" t="s">
        <v>114</v>
      </c>
      <c r="B56" s="59">
        <f t="shared" ref="B56:M56" si="8">B46-(SUM(B47:B55))</f>
        <v>452244.0591</v>
      </c>
      <c r="C56" s="59">
        <f t="shared" si="8"/>
        <v>245719.1045</v>
      </c>
      <c r="D56" s="59">
        <f t="shared" si="8"/>
        <v>49558.12727</v>
      </c>
      <c r="E56" s="59">
        <f t="shared" si="8"/>
        <v>-5667.659091</v>
      </c>
      <c r="F56" s="59">
        <f t="shared" si="8"/>
        <v>-37982.37727</v>
      </c>
      <c r="G56" s="59">
        <f t="shared" si="8"/>
        <v>-221212.6091</v>
      </c>
      <c r="H56" s="59">
        <f t="shared" si="8"/>
        <v>-326297.9864</v>
      </c>
      <c r="I56" s="59">
        <f t="shared" si="8"/>
        <v>-302980.55</v>
      </c>
      <c r="J56" s="59">
        <f t="shared" si="8"/>
        <v>-116117.7136</v>
      </c>
      <c r="K56" s="59">
        <f t="shared" si="8"/>
        <v>-11696.34091</v>
      </c>
      <c r="L56" s="59">
        <f t="shared" si="8"/>
        <v>87496.95</v>
      </c>
      <c r="M56" s="59">
        <f t="shared" si="8"/>
        <v>486086.0364</v>
      </c>
      <c r="N56" s="59">
        <f t="shared" si="7"/>
        <v>299149.0409</v>
      </c>
    </row>
    <row r="57" ht="15.75" customHeight="1">
      <c r="A57" s="8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</row>
    <row r="58" ht="15.75" customHeight="1">
      <c r="A58" s="77" t="s">
        <v>115</v>
      </c>
      <c r="B58" s="59">
        <f t="shared" ref="B58:M58" si="9">B56</f>
        <v>452244.0591</v>
      </c>
      <c r="C58" s="59">
        <f t="shared" si="9"/>
        <v>245719.1045</v>
      </c>
      <c r="D58" s="59">
        <f t="shared" si="9"/>
        <v>49558.12727</v>
      </c>
      <c r="E58" s="59">
        <f t="shared" si="9"/>
        <v>-5667.659091</v>
      </c>
      <c r="F58" s="59">
        <f t="shared" si="9"/>
        <v>-37982.37727</v>
      </c>
      <c r="G58" s="59">
        <f t="shared" si="9"/>
        <v>-221212.6091</v>
      </c>
      <c r="H58" s="59">
        <f t="shared" si="9"/>
        <v>-326297.9864</v>
      </c>
      <c r="I58" s="59">
        <f t="shared" si="9"/>
        <v>-302980.55</v>
      </c>
      <c r="J58" s="59">
        <f t="shared" si="9"/>
        <v>-116117.7136</v>
      </c>
      <c r="K58" s="59">
        <f t="shared" si="9"/>
        <v>-11696.34091</v>
      </c>
      <c r="L58" s="59">
        <f t="shared" si="9"/>
        <v>87496.95</v>
      </c>
      <c r="M58" s="59">
        <f t="shared" si="9"/>
        <v>486086.0364</v>
      </c>
      <c r="N58" s="59">
        <f>SUM(B58:M58)</f>
        <v>299149.0409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6">
    <mergeCell ref="A3:N3"/>
    <mergeCell ref="A4:N4"/>
    <mergeCell ref="A22:N22"/>
    <mergeCell ref="A23:N23"/>
    <mergeCell ref="A42:N42"/>
    <mergeCell ref="A43:N4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0"/>
  </cols>
  <sheetData>
    <row r="1" ht="15.75" customHeight="1"/>
    <row r="2" ht="15.75" customHeight="1"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31"/>
    </row>
    <row r="3" ht="15.75" customHeigh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</row>
    <row r="4" ht="15.75" customHeight="1">
      <c r="N4" s="15"/>
    </row>
    <row r="5" ht="15.75" customHeight="1">
      <c r="N5" s="15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15" t="s">
        <v>118</v>
      </c>
      <c r="B13" s="8" t="s">
        <v>0</v>
      </c>
      <c r="C13" s="8" t="s">
        <v>48</v>
      </c>
      <c r="D13" s="8" t="s">
        <v>56</v>
      </c>
      <c r="E13" s="15"/>
      <c r="F13" s="15"/>
      <c r="G13" s="15"/>
      <c r="H13" s="15"/>
      <c r="I13" s="15"/>
    </row>
    <row r="14" ht="15.75" customHeight="1">
      <c r="A14" s="15" t="s">
        <v>119</v>
      </c>
      <c r="B14" s="91">
        <f>'Cash Flow Statement'!N19</f>
        <v>-2868795.4</v>
      </c>
      <c r="C14" s="91">
        <f>'Cash Flow Statement'!N38</f>
        <v>1152184.745</v>
      </c>
      <c r="D14" s="91">
        <f>'Cash Flow Statement'!N58</f>
        <v>299149.0409</v>
      </c>
      <c r="E14" s="91"/>
      <c r="F14" s="91"/>
      <c r="G14" s="91"/>
      <c r="H14" s="91"/>
      <c r="I14" s="91"/>
    </row>
    <row r="15" ht="15.75" customHeight="1"/>
    <row r="16" ht="15.75" customHeight="1">
      <c r="A16" s="15" t="s">
        <v>118</v>
      </c>
      <c r="B16" s="8" t="s">
        <v>0</v>
      </c>
      <c r="C16" s="8" t="s">
        <v>48</v>
      </c>
      <c r="D16" s="8" t="s">
        <v>56</v>
      </c>
      <c r="E16" s="15"/>
      <c r="F16" s="15"/>
      <c r="G16" s="15"/>
      <c r="H16" s="15"/>
      <c r="I16" s="15"/>
    </row>
    <row r="17" ht="15.75" customHeight="1">
      <c r="A17" s="15" t="s">
        <v>120</v>
      </c>
      <c r="B17" s="27">
        <f t="shared" ref="B17:D17" si="1">B18-B19</f>
        <v>2015995.4</v>
      </c>
      <c r="C17" s="27">
        <f t="shared" si="1"/>
        <v>5435478.89</v>
      </c>
      <c r="D17" s="27">
        <f t="shared" si="1"/>
        <v>7000848.69</v>
      </c>
      <c r="E17" s="91"/>
      <c r="F17" s="91"/>
      <c r="G17" s="91"/>
      <c r="H17" s="91"/>
      <c r="I17" s="91"/>
    </row>
    <row r="18" ht="15.75" customHeight="1">
      <c r="A18" s="15" t="s">
        <v>121</v>
      </c>
      <c r="B18" s="27">
        <v>770000.0</v>
      </c>
      <c r="C18" s="27">
        <v>5181300.0</v>
      </c>
      <c r="D18" s="27">
        <v>7076125.0</v>
      </c>
      <c r="E18" s="91"/>
      <c r="F18" s="91"/>
      <c r="G18" s="91"/>
      <c r="H18" s="91"/>
      <c r="I18" s="91"/>
    </row>
    <row r="19" ht="15.75" customHeight="1">
      <c r="A19" s="15" t="s">
        <v>83</v>
      </c>
      <c r="B19" s="27">
        <v>-1245995.4</v>
      </c>
      <c r="C19" s="27">
        <v>-254178.89</v>
      </c>
      <c r="D19" s="27">
        <v>75276.31</v>
      </c>
      <c r="E19" s="91"/>
      <c r="F19" s="91"/>
      <c r="G19" s="91"/>
      <c r="H19" s="91"/>
      <c r="I19" s="91"/>
    </row>
    <row r="20" ht="15.75" customHeight="1"/>
    <row r="21" ht="15.75" customHeight="1"/>
    <row r="22" ht="15.75" customHeight="1"/>
    <row r="23" ht="15.75" customHeight="1">
      <c r="A23" s="15" t="s">
        <v>118</v>
      </c>
      <c r="B23" s="8" t="s">
        <v>0</v>
      </c>
      <c r="C23" s="8" t="s">
        <v>48</v>
      </c>
      <c r="D23" s="8" t="s">
        <v>56</v>
      </c>
      <c r="E23" s="15"/>
      <c r="F23" s="15"/>
      <c r="G23" s="15"/>
      <c r="H23" s="15"/>
      <c r="I23" s="15"/>
    </row>
    <row r="24" ht="15.75" customHeight="1">
      <c r="A24" s="8" t="s">
        <v>122</v>
      </c>
      <c r="B24" s="27">
        <v>1300.0</v>
      </c>
      <c r="C24" s="27">
        <v>8545.0</v>
      </c>
      <c r="D24" s="27">
        <v>18123.0</v>
      </c>
      <c r="E24" s="91"/>
      <c r="F24" s="91"/>
      <c r="G24" s="91"/>
      <c r="H24" s="91"/>
      <c r="I24" s="91"/>
    </row>
    <row r="25" ht="15.75" customHeight="1">
      <c r="A25" s="8" t="s">
        <v>123</v>
      </c>
      <c r="B25" s="27">
        <v>1300.0</v>
      </c>
      <c r="C25" s="27">
        <v>7245.0</v>
      </c>
      <c r="D25" s="27">
        <v>9578.0</v>
      </c>
      <c r="E25" s="91"/>
      <c r="F25" s="91"/>
      <c r="G25" s="91"/>
      <c r="H25" s="91"/>
      <c r="I25" s="91"/>
    </row>
    <row r="26" ht="15.75" customHeight="1">
      <c r="A26" s="29" t="s">
        <v>124</v>
      </c>
      <c r="B26" s="29">
        <v>0.0</v>
      </c>
      <c r="C26" s="29">
        <v>450.0</v>
      </c>
      <c r="D26" s="29">
        <v>1532.0</v>
      </c>
    </row>
    <row r="27" ht="15.75" customHeight="1">
      <c r="A27" s="29" t="s">
        <v>125</v>
      </c>
      <c r="B27" s="29">
        <v>0.0</v>
      </c>
      <c r="C27" s="29">
        <v>450.0</v>
      </c>
      <c r="D27" s="29">
        <f>D26-C26</f>
        <v>1082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B68" s="29"/>
      <c r="C68" s="29" t="s">
        <v>126</v>
      </c>
    </row>
    <row r="69" ht="15.75" customHeight="1">
      <c r="B69" s="29"/>
      <c r="C69" s="29" t="s">
        <v>127</v>
      </c>
      <c r="D69" s="29" t="s">
        <v>128</v>
      </c>
      <c r="E69" s="29" t="s">
        <v>129</v>
      </c>
      <c r="F69" s="29" t="s">
        <v>130</v>
      </c>
      <c r="G69" s="29" t="s">
        <v>131</v>
      </c>
      <c r="H69" s="29" t="s">
        <v>132</v>
      </c>
      <c r="I69" s="29" t="s">
        <v>133</v>
      </c>
      <c r="J69" s="29" t="s">
        <v>134</v>
      </c>
      <c r="K69" s="29" t="s">
        <v>135</v>
      </c>
      <c r="L69" s="29" t="s">
        <v>136</v>
      </c>
      <c r="M69" s="29" t="s">
        <v>137</v>
      </c>
      <c r="N69" s="29" t="s">
        <v>138</v>
      </c>
    </row>
    <row r="70" ht="15.75" customHeight="1">
      <c r="B70" s="92"/>
      <c r="C70" s="92">
        <v>0.0</v>
      </c>
      <c r="D70" s="92">
        <v>0.0</v>
      </c>
      <c r="E70" s="92">
        <v>-35000.0</v>
      </c>
      <c r="F70" s="92">
        <v>-35000.0</v>
      </c>
      <c r="G70" s="92">
        <v>0.0</v>
      </c>
      <c r="H70" s="92">
        <v>0.0</v>
      </c>
      <c r="I70" s="92">
        <v>140000.0</v>
      </c>
      <c r="J70" s="92">
        <v>140000.0</v>
      </c>
      <c r="K70" s="92">
        <v>140000.0</v>
      </c>
      <c r="L70" s="92">
        <v>140000.0</v>
      </c>
      <c r="M70" s="92">
        <v>140000.0</v>
      </c>
      <c r="N70" s="92">
        <v>140000.0</v>
      </c>
    </row>
    <row r="71" ht="15.75" customHeight="1">
      <c r="C71" s="29">
        <v>0.0</v>
      </c>
      <c r="D71" s="29">
        <v>0.0</v>
      </c>
      <c r="E71" s="29">
        <v>-20850.0</v>
      </c>
      <c r="F71" s="29">
        <v>-20850.0</v>
      </c>
      <c r="G71" s="29">
        <v>0.0</v>
      </c>
      <c r="H71" s="29">
        <v>0.0</v>
      </c>
      <c r="I71" s="29">
        <v>-83400.0</v>
      </c>
      <c r="J71" s="29">
        <v>-83400.0</v>
      </c>
      <c r="K71" s="29">
        <v>-83400.0</v>
      </c>
      <c r="L71" s="29">
        <v>-83400.0</v>
      </c>
      <c r="M71" s="29">
        <v>-83400.0</v>
      </c>
      <c r="N71" s="29">
        <v>-83400.0</v>
      </c>
    </row>
    <row r="72" ht="15.75" customHeight="1">
      <c r="C72" s="93">
        <f>SUM('Income Statement'!B16:B21)</f>
        <v>186390</v>
      </c>
      <c r="D72" s="93">
        <f>SUM('Income Statement'!C16:C21)</f>
        <v>126390</v>
      </c>
      <c r="E72" s="93">
        <f>SUM('Income Statement'!D16:D21)</f>
        <v>126390</v>
      </c>
      <c r="F72" s="93">
        <f>SUM('Income Statement'!E16:E21)</f>
        <v>126390</v>
      </c>
      <c r="G72" s="93">
        <f>SUM('Income Statement'!F16:F21)</f>
        <v>126390</v>
      </c>
      <c r="H72" s="93">
        <f>SUM('Income Statement'!G16:G21)</f>
        <v>127390</v>
      </c>
      <c r="I72" s="93">
        <f>SUM('Income Statement'!H16:H21)</f>
        <v>124390</v>
      </c>
      <c r="J72" s="93">
        <f>SUM('Income Statement'!I16:I21)</f>
        <v>124390</v>
      </c>
      <c r="K72" s="93">
        <f>SUM('Income Statement'!J16:J21)</f>
        <v>124390</v>
      </c>
      <c r="L72" s="93">
        <f>SUM('Income Statement'!K16:K21)</f>
        <v>124390</v>
      </c>
      <c r="M72" s="93">
        <f>SUM('Income Statement'!L16:L21)</f>
        <v>125390</v>
      </c>
      <c r="N72" s="93">
        <f>SUM('Income Statement'!M16:M21)</f>
        <v>125390</v>
      </c>
    </row>
    <row r="73" ht="15.75" customHeight="1">
      <c r="B73" s="94"/>
      <c r="C73" s="95">
        <f t="shared" ref="C73:N73" si="2">C71-C72</f>
        <v>-186390</v>
      </c>
      <c r="D73" s="95">
        <f t="shared" si="2"/>
        <v>-126390</v>
      </c>
      <c r="E73" s="95">
        <f t="shared" si="2"/>
        <v>-147240</v>
      </c>
      <c r="F73" s="95">
        <f t="shared" si="2"/>
        <v>-147240</v>
      </c>
      <c r="G73" s="95">
        <f t="shared" si="2"/>
        <v>-126390</v>
      </c>
      <c r="H73" s="95">
        <f t="shared" si="2"/>
        <v>-127390</v>
      </c>
      <c r="I73" s="95">
        <f t="shared" si="2"/>
        <v>-207790</v>
      </c>
      <c r="J73" s="95">
        <f t="shared" si="2"/>
        <v>-207790</v>
      </c>
      <c r="K73" s="95">
        <f t="shared" si="2"/>
        <v>-207790</v>
      </c>
      <c r="L73" s="95">
        <f t="shared" si="2"/>
        <v>-207790</v>
      </c>
      <c r="M73" s="95">
        <f t="shared" si="2"/>
        <v>-208790</v>
      </c>
      <c r="N73" s="95">
        <f t="shared" si="2"/>
        <v>-208790</v>
      </c>
    </row>
    <row r="74" ht="15.75" customHeight="1"/>
    <row r="75" ht="15.75" customHeight="1">
      <c r="B75" s="29"/>
      <c r="C75" s="29" t="s">
        <v>139</v>
      </c>
    </row>
    <row r="76" ht="15.75" customHeight="1">
      <c r="B76" s="29"/>
      <c r="C76" s="29" t="s">
        <v>127</v>
      </c>
      <c r="D76" s="29" t="s">
        <v>128</v>
      </c>
      <c r="E76" s="29" t="s">
        <v>129</v>
      </c>
      <c r="F76" s="29" t="s">
        <v>130</v>
      </c>
      <c r="G76" s="29" t="s">
        <v>131</v>
      </c>
      <c r="H76" s="29" t="s">
        <v>132</v>
      </c>
      <c r="I76" s="29" t="s">
        <v>133</v>
      </c>
      <c r="J76" s="29" t="s">
        <v>134</v>
      </c>
      <c r="K76" s="29" t="s">
        <v>135</v>
      </c>
      <c r="L76" s="29" t="s">
        <v>136</v>
      </c>
      <c r="M76" s="29" t="s">
        <v>137</v>
      </c>
      <c r="N76" s="29" t="s">
        <v>138</v>
      </c>
    </row>
    <row r="77" ht="15.75" customHeight="1">
      <c r="B77" s="92"/>
      <c r="C77" s="92">
        <v>371100.0</v>
      </c>
      <c r="D77" s="92">
        <v>350050.0</v>
      </c>
      <c r="E77" s="92">
        <v>449250.0</v>
      </c>
      <c r="F77" s="92">
        <v>498050.0</v>
      </c>
      <c r="G77" s="92">
        <v>418225.0</v>
      </c>
      <c r="H77" s="92">
        <v>384975.0</v>
      </c>
      <c r="I77" s="92">
        <v>367975.0</v>
      </c>
      <c r="J77" s="92">
        <v>349175.0</v>
      </c>
      <c r="K77" s="92">
        <v>378650.0</v>
      </c>
      <c r="L77" s="92">
        <v>371625.0</v>
      </c>
      <c r="M77" s="92">
        <v>593975.0</v>
      </c>
      <c r="N77" s="92">
        <v>648250.0</v>
      </c>
    </row>
    <row r="78" ht="15.75" customHeight="1">
      <c r="C78" s="29">
        <v>-275599.54545454547</v>
      </c>
      <c r="D78" s="29">
        <v>-261138.63636363635</v>
      </c>
      <c r="E78" s="29">
        <v>-335335.45454545453</v>
      </c>
      <c r="F78" s="29">
        <v>-371693.63636363635</v>
      </c>
      <c r="G78" s="29">
        <v>-311828.1818181818</v>
      </c>
      <c r="H78" s="29">
        <v>-286881.8181818182</v>
      </c>
      <c r="I78" s="29">
        <v>-273975.4545454546</v>
      </c>
      <c r="J78" s="29">
        <v>-259885.0</v>
      </c>
      <c r="K78" s="29">
        <v>-281837.72727272724</v>
      </c>
      <c r="L78" s="29">
        <v>-276477.7272727273</v>
      </c>
      <c r="M78" s="29">
        <v>-443092.7272727273</v>
      </c>
      <c r="N78" s="29">
        <v>-483672.7272727273</v>
      </c>
    </row>
    <row r="79" ht="15.75" customHeight="1">
      <c r="C79" s="93">
        <f>SUM('Income Statement'!B43:B48)</f>
        <v>132516</v>
      </c>
      <c r="D79" s="93">
        <f>SUM('Income Statement'!C43:C48)</f>
        <v>132516</v>
      </c>
      <c r="E79" s="93">
        <f>SUM('Income Statement'!D43:D48)</f>
        <v>132516</v>
      </c>
      <c r="F79" s="93">
        <f>SUM('Income Statement'!E43:E48)</f>
        <v>132516</v>
      </c>
      <c r="G79" s="93">
        <f>SUM('Income Statement'!F43:F48)</f>
        <v>132516</v>
      </c>
      <c r="H79" s="93">
        <f>SUM('Income Statement'!G43:G48)</f>
        <v>132516</v>
      </c>
      <c r="I79" s="93">
        <f>SUM('Income Statement'!H43:H48)</f>
        <v>132516</v>
      </c>
      <c r="J79" s="93">
        <f>SUM('Income Statement'!I43:I48)</f>
        <v>132516</v>
      </c>
      <c r="K79" s="93">
        <f>SUM('Income Statement'!J43:J48)</f>
        <v>132516</v>
      </c>
      <c r="L79" s="93">
        <f>SUM('Income Statement'!K43:K48)</f>
        <v>133516</v>
      </c>
      <c r="M79" s="93">
        <f>SUM('Income Statement'!L43:L48)</f>
        <v>133516</v>
      </c>
      <c r="N79" s="93">
        <f>SUM('Income Statement'!M43:M48)</f>
        <v>133516</v>
      </c>
    </row>
    <row r="80" ht="15.75" customHeight="1">
      <c r="B80" s="94"/>
      <c r="C80" s="95">
        <f t="shared" ref="C80:N80" si="3">C78-C79</f>
        <v>-408115.5455</v>
      </c>
      <c r="D80" s="95">
        <f t="shared" si="3"/>
        <v>-393654.6364</v>
      </c>
      <c r="E80" s="95">
        <f t="shared" si="3"/>
        <v>-467851.4545</v>
      </c>
      <c r="F80" s="95">
        <f t="shared" si="3"/>
        <v>-504209.6364</v>
      </c>
      <c r="G80" s="95">
        <f t="shared" si="3"/>
        <v>-444344.1818</v>
      </c>
      <c r="H80" s="95">
        <f t="shared" si="3"/>
        <v>-419397.8182</v>
      </c>
      <c r="I80" s="95">
        <f t="shared" si="3"/>
        <v>-406491.4545</v>
      </c>
      <c r="J80" s="95">
        <f t="shared" si="3"/>
        <v>-392401</v>
      </c>
      <c r="K80" s="95">
        <f t="shared" si="3"/>
        <v>-414353.7273</v>
      </c>
      <c r="L80" s="95">
        <f t="shared" si="3"/>
        <v>-409993.7273</v>
      </c>
      <c r="M80" s="95">
        <f t="shared" si="3"/>
        <v>-576608.7273</v>
      </c>
      <c r="N80" s="95">
        <f t="shared" si="3"/>
        <v>-617188.7273</v>
      </c>
    </row>
    <row r="81" ht="15.75" customHeight="1"/>
    <row r="82" ht="15.75" customHeight="1">
      <c r="B82" s="29"/>
      <c r="C82" s="29" t="s">
        <v>140</v>
      </c>
    </row>
    <row r="83" ht="15.75" customHeight="1">
      <c r="B83" s="29"/>
      <c r="C83" s="29" t="s">
        <v>127</v>
      </c>
      <c r="D83" s="29" t="s">
        <v>128</v>
      </c>
      <c r="E83" s="29" t="s">
        <v>129</v>
      </c>
      <c r="F83" s="29" t="s">
        <v>130</v>
      </c>
      <c r="G83" s="29" t="s">
        <v>131</v>
      </c>
      <c r="H83" s="29" t="s">
        <v>132</v>
      </c>
      <c r="I83" s="29" t="s">
        <v>133</v>
      </c>
      <c r="J83" s="29" t="s">
        <v>134</v>
      </c>
      <c r="K83" s="29" t="s">
        <v>135</v>
      </c>
      <c r="L83" s="29" t="s">
        <v>136</v>
      </c>
      <c r="M83" s="29" t="s">
        <v>137</v>
      </c>
      <c r="N83" s="29" t="s">
        <v>138</v>
      </c>
    </row>
    <row r="84" ht="15.75" customHeight="1">
      <c r="B84" s="92"/>
      <c r="C84" s="92">
        <v>634150.0</v>
      </c>
      <c r="D84" s="92">
        <v>553475.0</v>
      </c>
      <c r="E84" s="92">
        <v>471750.0</v>
      </c>
      <c r="F84" s="92">
        <v>503325.0</v>
      </c>
      <c r="G84" s="92">
        <v>530525.0</v>
      </c>
      <c r="H84" s="92">
        <v>468475.0</v>
      </c>
      <c r="I84" s="92">
        <v>478300.0</v>
      </c>
      <c r="J84" s="92">
        <v>548700.0</v>
      </c>
      <c r="K84" s="92">
        <v>665725.0</v>
      </c>
      <c r="L84" s="92">
        <v>683350.0</v>
      </c>
      <c r="M84" s="92">
        <v>690850.0</v>
      </c>
      <c r="N84" s="92">
        <v>847500.0</v>
      </c>
    </row>
    <row r="85" ht="15.75" customHeight="1">
      <c r="C85" s="29">
        <v>-464522.2727272727</v>
      </c>
      <c r="D85" s="29">
        <v>-405633.63636363635</v>
      </c>
      <c r="E85" s="29">
        <v>-346251.8181818182</v>
      </c>
      <c r="F85" s="29">
        <v>-369672.72727272724</v>
      </c>
      <c r="G85" s="29">
        <v>-389948.1818181818</v>
      </c>
      <c r="H85" s="29">
        <v>-341537.72727272724</v>
      </c>
      <c r="I85" s="29">
        <v>-348785.9090909091</v>
      </c>
      <c r="J85" s="29">
        <v>-401435.0</v>
      </c>
      <c r="K85" s="29">
        <v>-485929.0909090909</v>
      </c>
      <c r="L85" s="29">
        <v>-499002.2727272727</v>
      </c>
      <c r="M85" s="29">
        <v>-505835.0</v>
      </c>
      <c r="N85" s="29">
        <v>-622829.0909090909</v>
      </c>
    </row>
    <row r="86" ht="15.75" customHeight="1">
      <c r="C86" s="93">
        <f>SUM('Income Statement'!B71:B76)</f>
        <v>150900</v>
      </c>
      <c r="D86" s="93">
        <f>SUM('Income Statement'!C71:C76)</f>
        <v>150900</v>
      </c>
      <c r="E86" s="93">
        <f>SUM('Income Statement'!D71:D76)</f>
        <v>150900</v>
      </c>
      <c r="F86" s="93">
        <f>SUM('Income Statement'!E71:E76)</f>
        <v>150900</v>
      </c>
      <c r="G86" s="93">
        <f>SUM('Income Statement'!F71:F76)</f>
        <v>150900</v>
      </c>
      <c r="H86" s="93">
        <f>SUM('Income Statement'!G71:G76)</f>
        <v>150900</v>
      </c>
      <c r="I86" s="93">
        <f>SUM('Income Statement'!H71:H76)</f>
        <v>150900</v>
      </c>
      <c r="J86" s="93">
        <f>SUM('Income Statement'!I71:I76)</f>
        <v>150900</v>
      </c>
      <c r="K86" s="93">
        <f>SUM('Income Statement'!J71:J76)</f>
        <v>150900</v>
      </c>
      <c r="L86" s="93">
        <f>SUM('Income Statement'!K71:K76)</f>
        <v>151900</v>
      </c>
      <c r="M86" s="93">
        <f>SUM('Income Statement'!L71:L76)</f>
        <v>151900</v>
      </c>
      <c r="N86" s="93">
        <f>SUM('Income Statement'!M71:M76)</f>
        <v>151900</v>
      </c>
    </row>
    <row r="87" ht="15.75" customHeight="1">
      <c r="B87" s="94"/>
      <c r="C87" s="95">
        <f t="shared" ref="C87:N87" si="4">C85-C86</f>
        <v>-615422.2727</v>
      </c>
      <c r="D87" s="95">
        <f t="shared" si="4"/>
        <v>-556533.6364</v>
      </c>
      <c r="E87" s="95">
        <f t="shared" si="4"/>
        <v>-497151.8182</v>
      </c>
      <c r="F87" s="95">
        <f t="shared" si="4"/>
        <v>-520572.7273</v>
      </c>
      <c r="G87" s="95">
        <f t="shared" si="4"/>
        <v>-540848.1818</v>
      </c>
      <c r="H87" s="95">
        <f t="shared" si="4"/>
        <v>-492437.7273</v>
      </c>
      <c r="I87" s="95">
        <f t="shared" si="4"/>
        <v>-499685.9091</v>
      </c>
      <c r="J87" s="95">
        <f t="shared" si="4"/>
        <v>-552335</v>
      </c>
      <c r="K87" s="95">
        <f t="shared" si="4"/>
        <v>-636829.0909</v>
      </c>
      <c r="L87" s="95">
        <f t="shared" si="4"/>
        <v>-650902.2727</v>
      </c>
      <c r="M87" s="95">
        <f t="shared" si="4"/>
        <v>-657735</v>
      </c>
      <c r="N87" s="95">
        <f t="shared" si="4"/>
        <v>-774729.0909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B93" s="96" t="s">
        <v>141</v>
      </c>
      <c r="C93" s="96" t="s">
        <v>2</v>
      </c>
      <c r="D93" s="96" t="s">
        <v>3</v>
      </c>
      <c r="E93" s="96" t="s">
        <v>142</v>
      </c>
      <c r="F93" s="96" t="s">
        <v>143</v>
      </c>
      <c r="G93" s="96" t="s">
        <v>6</v>
      </c>
      <c r="H93" s="96" t="s">
        <v>144</v>
      </c>
      <c r="I93" s="96" t="s">
        <v>145</v>
      </c>
      <c r="J93" s="96" t="s">
        <v>146</v>
      </c>
      <c r="K93" s="96" t="s">
        <v>147</v>
      </c>
      <c r="L93" s="96" t="s">
        <v>11</v>
      </c>
      <c r="M93" s="96" t="s">
        <v>12</v>
      </c>
      <c r="N93" s="96" t="s">
        <v>13</v>
      </c>
      <c r="O93" s="96" t="s">
        <v>2</v>
      </c>
      <c r="P93" s="96" t="s">
        <v>3</v>
      </c>
      <c r="Q93" s="96" t="s">
        <v>142</v>
      </c>
      <c r="R93" s="96" t="s">
        <v>143</v>
      </c>
      <c r="S93" s="96" t="s">
        <v>6</v>
      </c>
      <c r="T93" s="96" t="s">
        <v>144</v>
      </c>
      <c r="U93" s="96" t="s">
        <v>145</v>
      </c>
      <c r="V93" s="96" t="s">
        <v>146</v>
      </c>
      <c r="W93" s="96" t="s">
        <v>147</v>
      </c>
      <c r="X93" s="96" t="s">
        <v>11</v>
      </c>
      <c r="Y93" s="96" t="s">
        <v>12</v>
      </c>
      <c r="Z93" s="96" t="s">
        <v>13</v>
      </c>
      <c r="AA93" s="96" t="s">
        <v>2</v>
      </c>
      <c r="AB93" s="96" t="s">
        <v>3</v>
      </c>
      <c r="AC93" s="96" t="s">
        <v>142</v>
      </c>
      <c r="AD93" s="96" t="s">
        <v>143</v>
      </c>
      <c r="AE93" s="96" t="s">
        <v>6</v>
      </c>
      <c r="AF93" s="96" t="s">
        <v>144</v>
      </c>
      <c r="AG93" s="96" t="s">
        <v>145</v>
      </c>
      <c r="AH93" s="96" t="s">
        <v>146</v>
      </c>
      <c r="AI93" s="96" t="s">
        <v>147</v>
      </c>
      <c r="AJ93" s="96" t="s">
        <v>11</v>
      </c>
      <c r="AK93" s="96" t="s">
        <v>12</v>
      </c>
      <c r="AL93" s="96" t="s">
        <v>13</v>
      </c>
    </row>
    <row r="94" ht="15.75" customHeight="1">
      <c r="B94" s="96" t="s">
        <v>121</v>
      </c>
      <c r="C94" s="96">
        <v>0.0</v>
      </c>
      <c r="D94" s="96">
        <v>0.0</v>
      </c>
      <c r="E94" s="96">
        <v>-35000.0</v>
      </c>
      <c r="F94" s="96">
        <v>-35000.0</v>
      </c>
      <c r="G94" s="96">
        <v>0.0</v>
      </c>
      <c r="H94" s="96">
        <v>0.0</v>
      </c>
      <c r="I94" s="96">
        <v>140000.0</v>
      </c>
      <c r="J94" s="96">
        <v>140000.0</v>
      </c>
      <c r="K94" s="96">
        <v>140000.0</v>
      </c>
      <c r="L94" s="96">
        <v>140000.0</v>
      </c>
      <c r="M94" s="96">
        <v>140000.0</v>
      </c>
      <c r="N94" s="96">
        <v>140000.0</v>
      </c>
      <c r="O94" s="96">
        <v>371100.0</v>
      </c>
      <c r="P94" s="96">
        <v>350050.0</v>
      </c>
      <c r="Q94" s="96">
        <v>449250.0</v>
      </c>
      <c r="R94" s="96">
        <v>498050.0</v>
      </c>
      <c r="S94" s="96">
        <v>418225.0</v>
      </c>
      <c r="T94" s="96">
        <v>384975.0</v>
      </c>
      <c r="U94" s="96">
        <v>367975.0</v>
      </c>
      <c r="V94" s="96">
        <v>349175.0</v>
      </c>
      <c r="W94" s="96">
        <v>378650.0</v>
      </c>
      <c r="X94" s="96">
        <v>371625.0</v>
      </c>
      <c r="Y94" s="96">
        <v>593975.0</v>
      </c>
      <c r="Z94" s="96">
        <v>648250.0</v>
      </c>
      <c r="AA94" s="96">
        <v>634150.0</v>
      </c>
      <c r="AB94" s="96">
        <v>553475.0</v>
      </c>
      <c r="AC94" s="96">
        <v>471750.0</v>
      </c>
      <c r="AD94" s="96">
        <v>503325.0</v>
      </c>
      <c r="AE94" s="96">
        <v>530525.0</v>
      </c>
      <c r="AF94" s="96">
        <v>468475.0</v>
      </c>
      <c r="AG94" s="96">
        <v>478300.0</v>
      </c>
      <c r="AH94" s="96">
        <v>548700.0</v>
      </c>
      <c r="AI94" s="96">
        <v>665725.0</v>
      </c>
      <c r="AJ94" s="96">
        <v>683350.0</v>
      </c>
      <c r="AK94" s="96">
        <v>690850.0</v>
      </c>
      <c r="AL94" s="96">
        <v>847500.0</v>
      </c>
    </row>
    <row r="95" ht="15.75" customHeight="1">
      <c r="B95" s="96"/>
      <c r="C95" s="96">
        <v>-186390.0</v>
      </c>
      <c r="D95" s="96">
        <v>-126390.0</v>
      </c>
      <c r="E95" s="96">
        <v>-147240.0</v>
      </c>
      <c r="F95" s="96">
        <v>-147240.0</v>
      </c>
      <c r="G95" s="96">
        <v>-126390.0</v>
      </c>
      <c r="H95" s="96">
        <v>-127390.0</v>
      </c>
      <c r="I95" s="96">
        <v>-207790.0</v>
      </c>
      <c r="J95" s="96">
        <v>-207790.0</v>
      </c>
      <c r="K95" s="96">
        <v>-207790.0</v>
      </c>
      <c r="L95" s="96">
        <v>-207790.0</v>
      </c>
      <c r="M95" s="96">
        <v>-208790.0</v>
      </c>
      <c r="N95" s="96">
        <v>-208790.0</v>
      </c>
      <c r="O95" s="96">
        <v>-408115.54545454547</v>
      </c>
      <c r="P95" s="96">
        <v>-393654.63636363635</v>
      </c>
      <c r="Q95" s="96">
        <v>-467851.45454545453</v>
      </c>
      <c r="R95" s="96">
        <v>-504209.63636363635</v>
      </c>
      <c r="S95" s="96">
        <v>-444344.1818181818</v>
      </c>
      <c r="T95" s="96">
        <v>-419397.8181818182</v>
      </c>
      <c r="U95" s="96">
        <v>-406491.4545454546</v>
      </c>
      <c r="V95" s="96">
        <v>-392401.0</v>
      </c>
      <c r="W95" s="96">
        <v>-414353.72727272724</v>
      </c>
      <c r="X95" s="96">
        <v>-409993.7272727273</v>
      </c>
      <c r="Y95" s="96">
        <v>-576608.7272727273</v>
      </c>
      <c r="Z95" s="96">
        <v>-617188.7272727273</v>
      </c>
      <c r="AA95" s="96">
        <v>-615422.2727272727</v>
      </c>
      <c r="AB95" s="96">
        <v>-556533.6363636364</v>
      </c>
      <c r="AC95" s="96">
        <v>-497151.8181818182</v>
      </c>
      <c r="AD95" s="96">
        <v>-520572.72727272724</v>
      </c>
      <c r="AE95" s="96">
        <v>-540848.1818181819</v>
      </c>
      <c r="AF95" s="96">
        <v>-492437.72727272724</v>
      </c>
      <c r="AG95" s="96">
        <v>-499685.9090909091</v>
      </c>
      <c r="AH95" s="96">
        <v>-552335.0</v>
      </c>
      <c r="AI95" s="96">
        <v>-636829.0909090908</v>
      </c>
      <c r="AJ95" s="96">
        <v>-650902.2727272727</v>
      </c>
      <c r="AK95" s="96">
        <v>-657735.0</v>
      </c>
      <c r="AL95" s="96">
        <v>-774729.0909090909</v>
      </c>
    </row>
    <row r="96" ht="15.75" customHeight="1">
      <c r="B96" s="96" t="s">
        <v>120</v>
      </c>
      <c r="C96" s="96">
        <f t="shared" ref="C96:AL96" si="5">ABS(C95)</f>
        <v>186390</v>
      </c>
      <c r="D96" s="96">
        <f t="shared" si="5"/>
        <v>126390</v>
      </c>
      <c r="E96" s="96">
        <f t="shared" si="5"/>
        <v>147240</v>
      </c>
      <c r="F96" s="96">
        <f t="shared" si="5"/>
        <v>147240</v>
      </c>
      <c r="G96" s="96">
        <f t="shared" si="5"/>
        <v>126390</v>
      </c>
      <c r="H96" s="96">
        <f t="shared" si="5"/>
        <v>127390</v>
      </c>
      <c r="I96" s="96">
        <f t="shared" si="5"/>
        <v>207790</v>
      </c>
      <c r="J96" s="96">
        <f t="shared" si="5"/>
        <v>207790</v>
      </c>
      <c r="K96" s="96">
        <f t="shared" si="5"/>
        <v>207790</v>
      </c>
      <c r="L96" s="96">
        <f t="shared" si="5"/>
        <v>207790</v>
      </c>
      <c r="M96" s="96">
        <f t="shared" si="5"/>
        <v>208790</v>
      </c>
      <c r="N96" s="96">
        <f t="shared" si="5"/>
        <v>208790</v>
      </c>
      <c r="O96" s="96">
        <f t="shared" si="5"/>
        <v>408115.5455</v>
      </c>
      <c r="P96" s="96">
        <f t="shared" si="5"/>
        <v>393654.6364</v>
      </c>
      <c r="Q96" s="96">
        <f t="shared" si="5"/>
        <v>467851.4545</v>
      </c>
      <c r="R96" s="96">
        <f t="shared" si="5"/>
        <v>504209.6364</v>
      </c>
      <c r="S96" s="96">
        <f t="shared" si="5"/>
        <v>444344.1818</v>
      </c>
      <c r="T96" s="96">
        <f t="shared" si="5"/>
        <v>419397.8182</v>
      </c>
      <c r="U96" s="96">
        <f t="shared" si="5"/>
        <v>406491.4545</v>
      </c>
      <c r="V96" s="96">
        <f t="shared" si="5"/>
        <v>392401</v>
      </c>
      <c r="W96" s="96">
        <f t="shared" si="5"/>
        <v>414353.7273</v>
      </c>
      <c r="X96" s="96">
        <f t="shared" si="5"/>
        <v>409993.7273</v>
      </c>
      <c r="Y96" s="96">
        <f t="shared" si="5"/>
        <v>576608.7273</v>
      </c>
      <c r="Z96" s="96">
        <f t="shared" si="5"/>
        <v>617188.7273</v>
      </c>
      <c r="AA96" s="96">
        <f t="shared" si="5"/>
        <v>615422.2727</v>
      </c>
      <c r="AB96" s="96">
        <f t="shared" si="5"/>
        <v>556533.6364</v>
      </c>
      <c r="AC96" s="96">
        <f t="shared" si="5"/>
        <v>497151.8182</v>
      </c>
      <c r="AD96" s="96">
        <f t="shared" si="5"/>
        <v>520572.7273</v>
      </c>
      <c r="AE96" s="96">
        <f t="shared" si="5"/>
        <v>540848.1818</v>
      </c>
      <c r="AF96" s="96">
        <f t="shared" si="5"/>
        <v>492437.7273</v>
      </c>
      <c r="AG96" s="96">
        <f t="shared" si="5"/>
        <v>499685.9091</v>
      </c>
      <c r="AH96" s="96">
        <f t="shared" si="5"/>
        <v>552335</v>
      </c>
      <c r="AI96" s="96">
        <f t="shared" si="5"/>
        <v>636829.0909</v>
      </c>
      <c r="AJ96" s="96">
        <f t="shared" si="5"/>
        <v>650902.2727</v>
      </c>
      <c r="AK96" s="96">
        <f t="shared" si="5"/>
        <v>657735</v>
      </c>
      <c r="AL96" s="96">
        <f t="shared" si="5"/>
        <v>774729.0909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>
      <c r="B103" s="97"/>
      <c r="C103" s="97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>
      <c r="F155" s="29" t="s">
        <v>148</v>
      </c>
      <c r="G155" s="98">
        <f>sum('Monthly Key Assumptions'!B11:G11)</f>
        <v>6600</v>
      </c>
    </row>
    <row r="156" ht="15.75" customHeight="1">
      <c r="F156" s="29" t="s">
        <v>26</v>
      </c>
      <c r="G156" s="98">
        <f>sum('Monthly Key Assumptions'!B15:G15)</f>
        <v>27840</v>
      </c>
    </row>
    <row r="157" ht="15.75" customHeight="1">
      <c r="F157" s="29" t="s">
        <v>149</v>
      </c>
      <c r="G157" s="98">
        <f>SUM('Monthly Key Assumptions'!D12:E12)+23690</f>
        <v>25390</v>
      </c>
    </row>
    <row r="158" ht="15.75" customHeight="1">
      <c r="F158" s="29" t="s">
        <v>150</v>
      </c>
      <c r="G158" s="29">
        <f>abs(SUM('Monthly Key Assumptions'!D8:E8))+270</f>
        <v>90270</v>
      </c>
    </row>
    <row r="159" ht="15.75" customHeight="1">
      <c r="F159" s="29" t="s">
        <v>24</v>
      </c>
      <c r="G159" s="98">
        <f>SUM('Monthly Key Assumptions'!B13:G13)+20000</f>
        <v>60000</v>
      </c>
    </row>
    <row r="160" ht="15.75" customHeight="1">
      <c r="F160" s="29" t="s">
        <v>151</v>
      </c>
      <c r="G160" s="98">
        <f>SUM('Monthly Key Assumptions'!B17:G17)</f>
        <v>52500</v>
      </c>
    </row>
    <row r="161" ht="15.75" customHeight="1">
      <c r="F161" s="29" t="s">
        <v>152</v>
      </c>
      <c r="G161" s="98">
        <f>SUM('Monthly Key Assumptions'!B16:G16)+100000</f>
        <v>244000</v>
      </c>
    </row>
    <row r="162" ht="15.75" customHeight="1">
      <c r="F162" s="29">
        <v>500000.0</v>
      </c>
      <c r="G162" s="98">
        <f>SUM(G156:G161)</f>
        <v>500000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29"/>
    <col customWidth="1" min="6" max="6" width="21.57"/>
    <col customWidth="1" min="7" max="7" width="15.86"/>
    <col customWidth="1" min="8" max="9" width="18.43"/>
    <col customWidth="1" min="11" max="11" width="22.86"/>
    <col customWidth="1" min="12" max="12" width="17.29"/>
  </cols>
  <sheetData>
    <row r="1" ht="15.75" customHeight="1">
      <c r="A1" s="6" t="s">
        <v>153</v>
      </c>
      <c r="G1" s="99"/>
      <c r="H1" s="99"/>
      <c r="I1" s="99"/>
      <c r="J1" s="99"/>
      <c r="K1" s="99"/>
      <c r="L1" s="100"/>
    </row>
    <row r="2" ht="15.75" customHeight="1">
      <c r="B2" s="15"/>
      <c r="G2" s="6"/>
      <c r="H2" s="6"/>
      <c r="I2" s="6"/>
      <c r="J2" s="6"/>
      <c r="K2" s="6"/>
      <c r="L2" s="6"/>
    </row>
    <row r="3" ht="15.75" customHeight="1">
      <c r="A3" s="101" t="s">
        <v>154</v>
      </c>
      <c r="B3" s="15"/>
      <c r="C3" s="102" t="s">
        <v>155</v>
      </c>
      <c r="G3" s="6"/>
      <c r="H3" s="6"/>
      <c r="I3" s="6"/>
      <c r="J3" s="6"/>
      <c r="K3" s="6"/>
      <c r="L3" s="6"/>
    </row>
    <row r="4" ht="15.75" customHeight="1">
      <c r="B4" s="15"/>
      <c r="C4" s="102" t="s">
        <v>156</v>
      </c>
      <c r="G4" s="6"/>
      <c r="H4" s="6"/>
      <c r="I4" s="6"/>
      <c r="J4" s="6"/>
      <c r="K4" s="6"/>
      <c r="L4" s="6"/>
    </row>
    <row r="5" ht="15.75" customHeight="1">
      <c r="A5" s="101"/>
      <c r="C5" s="102" t="s">
        <v>157</v>
      </c>
      <c r="G5" s="31"/>
      <c r="H5" s="15"/>
      <c r="I5" s="15"/>
      <c r="J5" s="15"/>
      <c r="K5" s="15"/>
      <c r="L5" s="15"/>
    </row>
    <row r="6" ht="15.75" customHeight="1">
      <c r="A6" s="101"/>
      <c r="C6" s="102" t="s">
        <v>158</v>
      </c>
      <c r="G6" s="31"/>
      <c r="H6" s="15"/>
      <c r="I6" s="15"/>
      <c r="J6" s="15"/>
      <c r="K6" s="15"/>
      <c r="L6" s="15"/>
    </row>
    <row r="7" ht="15.75" customHeight="1">
      <c r="A7" s="101" t="s">
        <v>159</v>
      </c>
      <c r="G7" s="31"/>
      <c r="H7" s="15"/>
      <c r="I7" s="15"/>
      <c r="J7" s="15"/>
      <c r="K7" s="15"/>
      <c r="L7" s="15"/>
    </row>
    <row r="8" ht="15.75" customHeight="1">
      <c r="A8" s="29" t="s">
        <v>160</v>
      </c>
      <c r="C8" s="29" t="s">
        <v>161</v>
      </c>
      <c r="G8" s="31"/>
      <c r="H8" s="15"/>
      <c r="I8" s="15"/>
      <c r="J8" s="15"/>
      <c r="K8" s="15"/>
      <c r="L8" s="15"/>
    </row>
    <row r="9" ht="15.75" customHeight="1">
      <c r="A9" s="15"/>
      <c r="B9" s="15"/>
      <c r="G9" s="31"/>
      <c r="H9" s="15"/>
      <c r="I9" s="15"/>
      <c r="J9" s="15"/>
      <c r="K9" s="15"/>
      <c r="L9" s="15"/>
    </row>
    <row r="10" ht="15.75" customHeight="1"/>
    <row r="11" ht="15.75" customHeight="1">
      <c r="A11" s="15"/>
      <c r="B11" s="15"/>
    </row>
    <row r="12" ht="15.75" customHeight="1">
      <c r="A12" s="101" t="s">
        <v>162</v>
      </c>
    </row>
    <row r="13" ht="15.75" customHeight="1">
      <c r="A13" s="29" t="s">
        <v>163</v>
      </c>
      <c r="C13" s="102" t="s">
        <v>164</v>
      </c>
    </row>
    <row r="14" ht="15.75" customHeight="1">
      <c r="A14" s="15"/>
      <c r="B14" s="15"/>
    </row>
    <row r="15" ht="15.75" customHeight="1">
      <c r="A15" s="101" t="s">
        <v>165</v>
      </c>
      <c r="B15" s="15"/>
    </row>
    <row r="16" ht="15.75" customHeight="1">
      <c r="A16" s="29" t="s">
        <v>166</v>
      </c>
      <c r="C16" s="102" t="s">
        <v>167</v>
      </c>
    </row>
    <row r="17" ht="15.75" customHeight="1">
      <c r="A17" s="8" t="s">
        <v>168</v>
      </c>
      <c r="B17" s="15"/>
      <c r="C17" s="102" t="s">
        <v>169</v>
      </c>
    </row>
    <row r="18" ht="15.75" customHeight="1">
      <c r="A18" s="29" t="s">
        <v>170</v>
      </c>
      <c r="C18" s="102" t="s">
        <v>171</v>
      </c>
    </row>
    <row r="19" ht="15.75" customHeight="1">
      <c r="A19" s="29" t="s">
        <v>172</v>
      </c>
      <c r="C19" s="102" t="s">
        <v>173</v>
      </c>
    </row>
    <row r="20" ht="15.75" customHeight="1">
      <c r="A20" s="29" t="s">
        <v>174</v>
      </c>
      <c r="C20" s="102" t="s">
        <v>175</v>
      </c>
    </row>
    <row r="21" ht="15.75" customHeight="1">
      <c r="A21" s="29" t="s">
        <v>176</v>
      </c>
      <c r="C21" s="102" t="s">
        <v>177</v>
      </c>
    </row>
    <row r="22" ht="15.75" customHeight="1">
      <c r="A22" s="29" t="s">
        <v>178</v>
      </c>
      <c r="C22" s="102" t="s">
        <v>179</v>
      </c>
    </row>
    <row r="23" ht="15.75" customHeight="1">
      <c r="A23" s="29"/>
      <c r="C23" s="29"/>
    </row>
    <row r="24" ht="15.75" customHeight="1">
      <c r="A24" s="101" t="s">
        <v>180</v>
      </c>
    </row>
    <row r="25" ht="15.75" customHeight="1">
      <c r="A25" s="29" t="s">
        <v>181</v>
      </c>
      <c r="C25" s="102" t="s">
        <v>182</v>
      </c>
    </row>
    <row r="26" ht="15.75" customHeight="1">
      <c r="A26" s="6"/>
    </row>
    <row r="27" ht="15.75" customHeight="1">
      <c r="A27" s="15"/>
      <c r="B27" s="103"/>
    </row>
    <row r="28" ht="15.75" customHeight="1">
      <c r="A28" s="15"/>
      <c r="B28" s="103"/>
    </row>
    <row r="29" ht="15.75" customHeight="1">
      <c r="A29" s="15"/>
      <c r="B29" s="103"/>
    </row>
    <row r="30" ht="15.75" customHeight="1">
      <c r="A30" s="15"/>
      <c r="B30" s="103"/>
    </row>
    <row r="31" ht="15.75" customHeight="1">
      <c r="A31" s="15"/>
      <c r="B31" s="103"/>
    </row>
    <row r="32" ht="15.75" customHeight="1">
      <c r="A32" s="15"/>
      <c r="B32" s="103"/>
    </row>
    <row r="33" ht="15.75" customHeight="1">
      <c r="A33" s="15"/>
      <c r="B33" s="103"/>
    </row>
    <row r="34" ht="15.75" customHeight="1">
      <c r="A34" s="15"/>
      <c r="B34" s="103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hyperlinks>
    <hyperlink r:id="rId1" ref="C3"/>
    <hyperlink r:id="rId2" ref="C4"/>
    <hyperlink r:id="rId3" ref="C5"/>
    <hyperlink r:id="rId4" ref="C6"/>
    <hyperlink r:id="rId5" ref="C13"/>
    <hyperlink r:id="rId6" ref="C16"/>
    <hyperlink r:id="rId7" ref="C17"/>
    <hyperlink r:id="rId8" ref="C18"/>
    <hyperlink r:id="rId9" ref="C19"/>
    <hyperlink r:id="rId10" ref="C20"/>
    <hyperlink r:id="rId11" ref="C21"/>
    <hyperlink r:id="rId12" ref="C22"/>
    <hyperlink r:id="rId13" ref="C25"/>
  </hyperlinks>
  <printOptions/>
  <pageMargins bottom="0.75" footer="0.0" header="0.0" left="0.7" right="0.7" top="0.75"/>
  <pageSetup orientation="landscape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