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marton\Dropbox\Teaching\Boston University\Courses -- Mine\SI 444 Spring 2016 -- Marton\Assignments\3 Final assignment -- Presentation\Sample Documents\Sample Financials\"/>
    </mc:Choice>
  </mc:AlternateContent>
  <bookViews>
    <workbookView xWindow="0" yWindow="0" windowWidth="23040" windowHeight="8820"/>
  </bookViews>
  <sheets>
    <sheet name="Monthly Year 1" sheetId="1" r:id="rId1"/>
    <sheet name="Monthly Year 2" sheetId="2" r:id="rId2"/>
    <sheet name="Annual" sheetId="3" r:id="rId3"/>
    <sheet name="Break Even Analysis" sheetId="4" r:id="rId4"/>
    <sheet name="Average Cost Calculations" sheetId="5" r:id="rId5"/>
    <sheet name="Sources" sheetId="6" r:id="rId6"/>
  </sheets>
  <calcPr calcId="152511"/>
  <fileRecoveryPr repairLoad="1"/>
</workbook>
</file>

<file path=xl/calcChain.xml><?xml version="1.0" encoding="utf-8"?>
<calcChain xmlns="http://schemas.openxmlformats.org/spreadsheetml/2006/main">
  <c r="H8" i="5" l="1"/>
  <c r="G8" i="5"/>
  <c r="J8" i="5" s="1"/>
  <c r="D8" i="5"/>
  <c r="I7" i="5"/>
  <c r="H7" i="5"/>
  <c r="G7" i="5"/>
  <c r="J7" i="5" s="1"/>
  <c r="D7" i="5"/>
  <c r="J6" i="5"/>
  <c r="I6" i="5"/>
  <c r="G6" i="5"/>
  <c r="D6" i="5"/>
  <c r="H6" i="5" s="1"/>
  <c r="I5" i="5"/>
  <c r="G5" i="5"/>
  <c r="J5" i="5" s="1"/>
  <c r="D5" i="5"/>
  <c r="H5" i="5" s="1"/>
  <c r="I4" i="5"/>
  <c r="H4" i="5"/>
  <c r="G4" i="5"/>
  <c r="J4" i="5" s="1"/>
  <c r="D4" i="5"/>
  <c r="I3" i="5"/>
  <c r="H3" i="5"/>
  <c r="G3" i="5"/>
  <c r="J3" i="5" s="1"/>
  <c r="D3" i="5"/>
  <c r="J2" i="5"/>
  <c r="I2" i="5"/>
  <c r="I9" i="5" s="1"/>
  <c r="G2" i="5"/>
  <c r="G9" i="5" s="1"/>
  <c r="D2" i="5"/>
  <c r="H2" i="5" s="1"/>
  <c r="H31" i="4"/>
  <c r="H30" i="4"/>
  <c r="H29" i="4"/>
  <c r="H28" i="4"/>
  <c r="H27" i="4"/>
  <c r="H26" i="4"/>
  <c r="H23" i="4"/>
  <c r="H22" i="4"/>
  <c r="H21" i="4"/>
  <c r="N20" i="4"/>
  <c r="H20" i="4"/>
  <c r="N19" i="4"/>
  <c r="H19" i="4"/>
  <c r="C19" i="4"/>
  <c r="J15" i="4"/>
  <c r="E15" i="4"/>
  <c r="N14" i="4"/>
  <c r="N13" i="4"/>
  <c r="N12" i="4"/>
  <c r="N10" i="4"/>
  <c r="N8" i="4"/>
  <c r="J8" i="4"/>
  <c r="E8" i="4"/>
  <c r="N18" i="4" s="1"/>
  <c r="N7" i="4"/>
  <c r="N6" i="4"/>
  <c r="N5" i="4"/>
  <c r="F25" i="3"/>
  <c r="E25" i="3"/>
  <c r="D25" i="3"/>
  <c r="C25" i="3"/>
  <c r="B6" i="3"/>
  <c r="A3" i="3"/>
  <c r="O28" i="2"/>
  <c r="C31" i="3" s="1"/>
  <c r="O27" i="2"/>
  <c r="C30" i="3" s="1"/>
  <c r="N22" i="2"/>
  <c r="M22" i="2"/>
  <c r="L22" i="2"/>
  <c r="K22" i="2"/>
  <c r="J22" i="2"/>
  <c r="I22" i="2"/>
  <c r="H22" i="2"/>
  <c r="G22" i="2"/>
  <c r="F22" i="2"/>
  <c r="E22" i="2"/>
  <c r="D22" i="2"/>
  <c r="C22" i="2"/>
  <c r="N21" i="2"/>
  <c r="M21" i="2"/>
  <c r="L21" i="2"/>
  <c r="K21" i="2"/>
  <c r="J21" i="2"/>
  <c r="I21" i="2"/>
  <c r="H21" i="2"/>
  <c r="G21" i="2"/>
  <c r="F21" i="2"/>
  <c r="E21" i="2"/>
  <c r="D21" i="2"/>
  <c r="C21" i="2"/>
  <c r="N19" i="2"/>
  <c r="M19" i="2"/>
  <c r="L19" i="2"/>
  <c r="K19" i="2"/>
  <c r="J19" i="2"/>
  <c r="I19" i="2"/>
  <c r="H19" i="2"/>
  <c r="G19" i="2"/>
  <c r="F19" i="2"/>
  <c r="E19" i="2"/>
  <c r="D19" i="2"/>
  <c r="C19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2" i="2"/>
  <c r="M12" i="2"/>
  <c r="L12" i="2"/>
  <c r="K12" i="2"/>
  <c r="J12" i="2"/>
  <c r="I12" i="2"/>
  <c r="H12" i="2"/>
  <c r="G12" i="2"/>
  <c r="F12" i="2"/>
  <c r="E12" i="2"/>
  <c r="D12" i="2"/>
  <c r="C12" i="2"/>
  <c r="O2" i="2"/>
  <c r="O27" i="1"/>
  <c r="B31" i="3" s="1"/>
  <c r="O26" i="1"/>
  <c r="B30" i="3" s="1"/>
  <c r="N21" i="1"/>
  <c r="M21" i="1"/>
  <c r="L21" i="1"/>
  <c r="K21" i="1"/>
  <c r="J21" i="1"/>
  <c r="I21" i="1"/>
  <c r="H21" i="1"/>
  <c r="G21" i="1"/>
  <c r="F21" i="1"/>
  <c r="E21" i="1"/>
  <c r="D21" i="1"/>
  <c r="C21" i="1"/>
  <c r="O21" i="1" s="1"/>
  <c r="B25" i="3" s="1"/>
  <c r="N20" i="1"/>
  <c r="M20" i="1"/>
  <c r="L20" i="1"/>
  <c r="K20" i="1"/>
  <c r="J20" i="1"/>
  <c r="I20" i="1"/>
  <c r="H20" i="1"/>
  <c r="G20" i="1"/>
  <c r="F20" i="1"/>
  <c r="E20" i="1"/>
  <c r="D20" i="1"/>
  <c r="C20" i="1"/>
  <c r="N18" i="1"/>
  <c r="M18" i="1"/>
  <c r="L18" i="1"/>
  <c r="K18" i="1"/>
  <c r="J18" i="1"/>
  <c r="I18" i="1"/>
  <c r="H18" i="1"/>
  <c r="G18" i="1"/>
  <c r="F18" i="1"/>
  <c r="E18" i="1"/>
  <c r="D18" i="1"/>
  <c r="C18" i="1"/>
  <c r="O18" i="1" s="1"/>
  <c r="B22" i="3" s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C15" i="1"/>
  <c r="N11" i="1"/>
  <c r="M11" i="1"/>
  <c r="L11" i="1"/>
  <c r="K11" i="1"/>
  <c r="J11" i="1"/>
  <c r="I11" i="1"/>
  <c r="H11" i="1"/>
  <c r="G11" i="1"/>
  <c r="F11" i="1"/>
  <c r="E11" i="1"/>
  <c r="D11" i="1"/>
  <c r="G7" i="1"/>
  <c r="F7" i="1"/>
  <c r="E7" i="1"/>
  <c r="D7" i="1"/>
  <c r="C31" i="4" l="1"/>
  <c r="C30" i="4"/>
  <c r="C29" i="4"/>
  <c r="C28" i="4"/>
  <c r="C26" i="4"/>
  <c r="C27" i="4"/>
  <c r="O20" i="1"/>
  <c r="B24" i="3" s="1"/>
  <c r="O19" i="2"/>
  <c r="O15" i="1"/>
  <c r="B20" i="3" s="1"/>
  <c r="C6" i="3"/>
  <c r="O16" i="2"/>
  <c r="C23" i="4"/>
  <c r="C22" i="4"/>
  <c r="C21" i="4"/>
  <c r="C20" i="4"/>
  <c r="H9" i="5"/>
  <c r="G18" i="4"/>
  <c r="O21" i="2"/>
  <c r="O22" i="2"/>
  <c r="E11" i="4" s="1"/>
  <c r="J9" i="5"/>
  <c r="N9" i="4"/>
  <c r="N11" i="4"/>
  <c r="N15" i="4"/>
  <c r="N16" i="4"/>
  <c r="N17" i="4"/>
  <c r="K7" i="2" l="1"/>
  <c r="K23" i="2" s="1"/>
  <c r="G7" i="2"/>
  <c r="G23" i="2" s="1"/>
  <c r="C7" i="2"/>
  <c r="C23" i="2" s="1"/>
  <c r="M7" i="1"/>
  <c r="M22" i="1" s="1"/>
  <c r="I7" i="1"/>
  <c r="I22" i="1" s="1"/>
  <c r="M7" i="2"/>
  <c r="M23" i="2" s="1"/>
  <c r="H7" i="2"/>
  <c r="H23" i="2" s="1"/>
  <c r="K7" i="1"/>
  <c r="K22" i="1" s="1"/>
  <c r="J7" i="1"/>
  <c r="J22" i="1" s="1"/>
  <c r="L7" i="2"/>
  <c r="L23" i="2" s="1"/>
  <c r="F7" i="2"/>
  <c r="F23" i="2" s="1"/>
  <c r="N7" i="2"/>
  <c r="N23" i="2" s="1"/>
  <c r="I7" i="2"/>
  <c r="I23" i="2" s="1"/>
  <c r="J7" i="2"/>
  <c r="J23" i="2" s="1"/>
  <c r="E7" i="2"/>
  <c r="E23" i="2" s="1"/>
  <c r="N7" i="1"/>
  <c r="N22" i="1" s="1"/>
  <c r="H7" i="1"/>
  <c r="H22" i="1" s="1"/>
  <c r="D7" i="2"/>
  <c r="D23" i="2" s="1"/>
  <c r="L7" i="1"/>
  <c r="L22" i="1" s="1"/>
  <c r="J11" i="4"/>
  <c r="P20" i="4"/>
  <c r="P19" i="4"/>
  <c r="P14" i="4"/>
  <c r="P13" i="4"/>
  <c r="P12" i="4"/>
  <c r="P10" i="4"/>
  <c r="P8" i="4"/>
  <c r="P18" i="4"/>
  <c r="P17" i="4"/>
  <c r="P15" i="4"/>
  <c r="P7" i="4"/>
  <c r="P9" i="4"/>
  <c r="P6" i="4"/>
  <c r="P11" i="4"/>
  <c r="P16" i="4"/>
  <c r="P5" i="4"/>
  <c r="G19" i="4"/>
  <c r="G20" i="4" s="1"/>
  <c r="G21" i="4" s="1"/>
  <c r="G22" i="4" s="1"/>
  <c r="G23" i="4" s="1"/>
  <c r="G26" i="4"/>
  <c r="E9" i="3"/>
  <c r="L20" i="2"/>
  <c r="L24" i="2" s="1"/>
  <c r="L25" i="2" s="1"/>
  <c r="H20" i="2"/>
  <c r="H24" i="2" s="1"/>
  <c r="H25" i="2" s="1"/>
  <c r="D20" i="2"/>
  <c r="D24" i="2" s="1"/>
  <c r="D25" i="2" s="1"/>
  <c r="F9" i="3"/>
  <c r="B9" i="3"/>
  <c r="C23" i="3" s="1"/>
  <c r="M20" i="2"/>
  <c r="M24" i="2" s="1"/>
  <c r="M25" i="2" s="1"/>
  <c r="I20" i="2"/>
  <c r="I24" i="2" s="1"/>
  <c r="I25" i="2" s="1"/>
  <c r="E20" i="2"/>
  <c r="E24" i="2" s="1"/>
  <c r="E25" i="2" s="1"/>
  <c r="C9" i="3"/>
  <c r="J20" i="2"/>
  <c r="J24" i="2" s="1"/>
  <c r="J25" i="2" s="1"/>
  <c r="K5" i="2"/>
  <c r="G5" i="2"/>
  <c r="C5" i="2"/>
  <c r="E9" i="4" s="1"/>
  <c r="G20" i="2"/>
  <c r="G24" i="2" s="1"/>
  <c r="G25" i="2" s="1"/>
  <c r="N5" i="2"/>
  <c r="I5" i="2"/>
  <c r="D5" i="2"/>
  <c r="M5" i="1"/>
  <c r="M19" i="1" s="1"/>
  <c r="M23" i="1" s="1"/>
  <c r="M24" i="1" s="1"/>
  <c r="I5" i="1"/>
  <c r="I19" i="1" s="1"/>
  <c r="I23" i="1" s="1"/>
  <c r="I24" i="1" s="1"/>
  <c r="E5" i="1"/>
  <c r="E19" i="1" s="1"/>
  <c r="E23" i="1" s="1"/>
  <c r="E24" i="1" s="1"/>
  <c r="L5" i="1"/>
  <c r="L19" i="1" s="1"/>
  <c r="L23" i="1" s="1"/>
  <c r="L24" i="1" s="1"/>
  <c r="H5" i="1"/>
  <c r="H19" i="1" s="1"/>
  <c r="H23" i="1" s="1"/>
  <c r="H24" i="1" s="1"/>
  <c r="J5" i="2"/>
  <c r="F20" i="2"/>
  <c r="F24" i="2" s="1"/>
  <c r="F25" i="2" s="1"/>
  <c r="M5" i="2"/>
  <c r="H5" i="2"/>
  <c r="D5" i="1"/>
  <c r="D19" i="1" s="1"/>
  <c r="D23" i="1" s="1"/>
  <c r="D24" i="1" s="1"/>
  <c r="D9" i="3"/>
  <c r="D23" i="3" s="1"/>
  <c r="N20" i="2"/>
  <c r="C20" i="2"/>
  <c r="L5" i="2"/>
  <c r="F5" i="2"/>
  <c r="K5" i="1"/>
  <c r="K19" i="1" s="1"/>
  <c r="K23" i="1" s="1"/>
  <c r="K24" i="1" s="1"/>
  <c r="G5" i="1"/>
  <c r="G19" i="1" s="1"/>
  <c r="G23" i="1" s="1"/>
  <c r="G24" i="1" s="1"/>
  <c r="C5" i="1"/>
  <c r="K20" i="2"/>
  <c r="K24" i="2" s="1"/>
  <c r="K25" i="2" s="1"/>
  <c r="E5" i="2"/>
  <c r="N5" i="1"/>
  <c r="N19" i="1" s="1"/>
  <c r="N23" i="1" s="1"/>
  <c r="N24" i="1" s="1"/>
  <c r="J5" i="1"/>
  <c r="J19" i="1" s="1"/>
  <c r="J23" i="1" s="1"/>
  <c r="J24" i="1" s="1"/>
  <c r="F5" i="1"/>
  <c r="F19" i="1" s="1"/>
  <c r="F23" i="1" s="1"/>
  <c r="F24" i="1" s="1"/>
  <c r="C22" i="3"/>
  <c r="C20" i="3"/>
  <c r="C24" i="3"/>
  <c r="D6" i="3"/>
  <c r="K30" i="2" l="1"/>
  <c r="K33" i="2" s="1"/>
  <c r="K36" i="2" s="1"/>
  <c r="K26" i="2"/>
  <c r="F26" i="2"/>
  <c r="F30" i="2"/>
  <c r="F33" i="2" s="1"/>
  <c r="F36" i="2" s="1"/>
  <c r="E30" i="2"/>
  <c r="E33" i="2" s="1"/>
  <c r="E36" i="2" s="1"/>
  <c r="E26" i="2"/>
  <c r="Q13" i="4"/>
  <c r="C28" i="3"/>
  <c r="C33" i="3" s="1"/>
  <c r="C36" i="3" s="1"/>
  <c r="J29" i="1"/>
  <c r="J32" i="1" s="1"/>
  <c r="J35" i="1" s="1"/>
  <c r="J25" i="1"/>
  <c r="C19" i="1"/>
  <c r="R13" i="1"/>
  <c r="D29" i="1"/>
  <c r="D32" i="1" s="1"/>
  <c r="D35" i="1" s="1"/>
  <c r="D25" i="1"/>
  <c r="I29" i="1"/>
  <c r="I32" i="1" s="1"/>
  <c r="I35" i="1" s="1"/>
  <c r="I25" i="1"/>
  <c r="I30" i="2"/>
  <c r="I33" i="2" s="1"/>
  <c r="I36" i="2" s="1"/>
  <c r="I26" i="2"/>
  <c r="D30" i="2"/>
  <c r="D33" i="2" s="1"/>
  <c r="D36" i="2" s="1"/>
  <c r="D26" i="2"/>
  <c r="G27" i="4"/>
  <c r="Q15" i="4"/>
  <c r="O23" i="2"/>
  <c r="C26" i="3" s="1"/>
  <c r="F29" i="1"/>
  <c r="F32" i="1" s="1"/>
  <c r="F35" i="1" s="1"/>
  <c r="F25" i="1"/>
  <c r="G29" i="1"/>
  <c r="G32" i="1" s="1"/>
  <c r="G35" i="1" s="1"/>
  <c r="G25" i="1"/>
  <c r="C24" i="2"/>
  <c r="O20" i="2"/>
  <c r="H29" i="1"/>
  <c r="H32" i="1" s="1"/>
  <c r="H35" i="1" s="1"/>
  <c r="H25" i="1"/>
  <c r="M29" i="1"/>
  <c r="M32" i="1" s="1"/>
  <c r="M35" i="1" s="1"/>
  <c r="M25" i="1"/>
  <c r="G30" i="2"/>
  <c r="G33" i="2" s="1"/>
  <c r="G36" i="2" s="1"/>
  <c r="G26" i="2"/>
  <c r="J26" i="2"/>
  <c r="J30" i="2"/>
  <c r="J33" i="2" s="1"/>
  <c r="J36" i="2" s="1"/>
  <c r="M30" i="2"/>
  <c r="M33" i="2" s="1"/>
  <c r="M36" i="2" s="1"/>
  <c r="M26" i="2"/>
  <c r="H30" i="2"/>
  <c r="H33" i="2" s="1"/>
  <c r="H36" i="2" s="1"/>
  <c r="H26" i="2"/>
  <c r="E29" i="1"/>
  <c r="E32" i="1" s="1"/>
  <c r="E35" i="1" s="1"/>
  <c r="E25" i="1"/>
  <c r="C27" i="3"/>
  <c r="N29" i="1"/>
  <c r="N32" i="1" s="1"/>
  <c r="N35" i="1" s="1"/>
  <c r="N25" i="1"/>
  <c r="D20" i="3"/>
  <c r="D22" i="3"/>
  <c r="D24" i="3"/>
  <c r="E6" i="3"/>
  <c r="E23" i="3" s="1"/>
  <c r="K29" i="1"/>
  <c r="K32" i="1" s="1"/>
  <c r="K35" i="1" s="1"/>
  <c r="K25" i="1"/>
  <c r="N24" i="2"/>
  <c r="N25" i="2" s="1"/>
  <c r="L29" i="1"/>
  <c r="L32" i="1" s="1"/>
  <c r="L35" i="1" s="1"/>
  <c r="L25" i="1"/>
  <c r="O20" i="4"/>
  <c r="O19" i="4"/>
  <c r="Q19" i="4" s="1"/>
  <c r="O14" i="4"/>
  <c r="Q14" i="4" s="1"/>
  <c r="O13" i="4"/>
  <c r="O12" i="4"/>
  <c r="O10" i="4"/>
  <c r="Q10" i="4" s="1"/>
  <c r="J9" i="4"/>
  <c r="J10" i="4" s="1"/>
  <c r="J12" i="4" s="1"/>
  <c r="O8" i="4"/>
  <c r="Q8" i="4" s="1"/>
  <c r="O11" i="4"/>
  <c r="Q11" i="4" s="1"/>
  <c r="O6" i="4"/>
  <c r="Q6" i="4" s="1"/>
  <c r="O18" i="4"/>
  <c r="O17" i="4"/>
  <c r="Q17" i="4" s="1"/>
  <c r="O15" i="4"/>
  <c r="O7" i="4"/>
  <c r="Q7" i="4" s="1"/>
  <c r="O16" i="4"/>
  <c r="Q16" i="4" s="1"/>
  <c r="O9" i="4"/>
  <c r="O5" i="4"/>
  <c r="E10" i="4"/>
  <c r="E12" i="4" s="1"/>
  <c r="B18" i="4" s="1"/>
  <c r="L30" i="2"/>
  <c r="L33" i="2" s="1"/>
  <c r="L36" i="2" s="1"/>
  <c r="L26" i="2"/>
  <c r="Q5" i="4"/>
  <c r="Q9" i="4"/>
  <c r="Q18" i="4"/>
  <c r="Q12" i="4"/>
  <c r="Q20" i="4"/>
  <c r="O22" i="1"/>
  <c r="B26" i="3" s="1"/>
  <c r="B19" i="4" l="1"/>
  <c r="D18" i="4"/>
  <c r="B26" i="4"/>
  <c r="C23" i="1"/>
  <c r="O19" i="1"/>
  <c r="B23" i="3" s="1"/>
  <c r="B27" i="3" s="1"/>
  <c r="B28" i="3" s="1"/>
  <c r="B33" i="3" s="1"/>
  <c r="B36" i="3" s="1"/>
  <c r="I22" i="4"/>
  <c r="N26" i="2"/>
  <c r="N30" i="2"/>
  <c r="N33" i="2" s="1"/>
  <c r="N36" i="2" s="1"/>
  <c r="O24" i="2"/>
  <c r="O25" i="2" s="1"/>
  <c r="C25" i="2"/>
  <c r="I21" i="4"/>
  <c r="D26" i="3"/>
  <c r="D27" i="3" s="1"/>
  <c r="D28" i="3" s="1"/>
  <c r="D33" i="3" s="1"/>
  <c r="D36" i="3" s="1"/>
  <c r="I19" i="4"/>
  <c r="I23" i="4"/>
  <c r="J23" i="4" s="1"/>
  <c r="E24" i="3"/>
  <c r="F6" i="3"/>
  <c r="E20" i="3"/>
  <c r="E22" i="3"/>
  <c r="G28" i="4"/>
  <c r="I20" i="4"/>
  <c r="J20" i="4" s="1"/>
  <c r="I18" i="4"/>
  <c r="I27" i="4" s="1"/>
  <c r="E26" i="3" l="1"/>
  <c r="J21" i="4"/>
  <c r="I28" i="4"/>
  <c r="J28" i="4" s="1"/>
  <c r="G29" i="4"/>
  <c r="F24" i="3"/>
  <c r="F20" i="3"/>
  <c r="F22" i="3"/>
  <c r="F23" i="3"/>
  <c r="I26" i="4"/>
  <c r="C30" i="2"/>
  <c r="C33" i="2" s="1"/>
  <c r="C36" i="2" s="1"/>
  <c r="C26" i="2"/>
  <c r="J22" i="4"/>
  <c r="B27" i="4"/>
  <c r="D26" i="4"/>
  <c r="O23" i="1"/>
  <c r="C24" i="1"/>
  <c r="O30" i="2"/>
  <c r="O33" i="2" s="1"/>
  <c r="O36" i="2" s="1"/>
  <c r="O26" i="2"/>
  <c r="E27" i="3"/>
  <c r="E28" i="3" s="1"/>
  <c r="E33" i="3" s="1"/>
  <c r="E36" i="3" s="1"/>
  <c r="B20" i="4"/>
  <c r="D19" i="4"/>
  <c r="C29" i="1" l="1"/>
  <c r="C25" i="1"/>
  <c r="O24" i="1"/>
  <c r="O25" i="1" s="1"/>
  <c r="I29" i="4"/>
  <c r="J29" i="4" s="1"/>
  <c r="G30" i="4"/>
  <c r="F26" i="3"/>
  <c r="F27" i="3" s="1"/>
  <c r="F28" i="3" s="1"/>
  <c r="F33" i="3" s="1"/>
  <c r="F36" i="3" s="1"/>
  <c r="G36" i="3" s="1"/>
  <c r="D20" i="4"/>
  <c r="E20" i="4" s="1"/>
  <c r="B21" i="4"/>
  <c r="B28" i="4"/>
  <c r="D27" i="4"/>
  <c r="D28" i="4" l="1"/>
  <c r="E28" i="4" s="1"/>
  <c r="B29" i="4"/>
  <c r="D21" i="4"/>
  <c r="E21" i="4" s="1"/>
  <c r="B22" i="4"/>
  <c r="I30" i="4"/>
  <c r="J30" i="4" s="1"/>
  <c r="G31" i="4"/>
  <c r="I31" i="4" s="1"/>
  <c r="J31" i="4" s="1"/>
  <c r="O29" i="1"/>
  <c r="C32" i="1"/>
  <c r="D29" i="4" l="1"/>
  <c r="E29" i="4" s="1"/>
  <c r="B30" i="4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C35" i="1"/>
  <c r="O32" i="1"/>
  <c r="O35" i="1" s="1"/>
  <c r="D22" i="4"/>
  <c r="E22" i="4" s="1"/>
  <c r="B23" i="4"/>
  <c r="D23" i="4" s="1"/>
  <c r="E23" i="4" s="1"/>
  <c r="C34" i="2" l="1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R26" i="1"/>
  <c r="D30" i="4"/>
  <c r="E30" i="4" s="1"/>
  <c r="B31" i="4"/>
  <c r="D31" i="4" s="1"/>
  <c r="E31" i="4" l="1"/>
</calcChain>
</file>

<file path=xl/sharedStrings.xml><?xml version="1.0" encoding="utf-8"?>
<sst xmlns="http://schemas.openxmlformats.org/spreadsheetml/2006/main" count="229" uniqueCount="109">
  <si>
    <t>Key Assumptions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</si>
  <si>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</si>
  <si>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</si>
  <si>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</si>
  <si>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</si>
  <si>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</si>
  <si>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</si>
  <si>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</si>
  <si>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</si>
  <si>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</si>
  <si>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</si>
  <si>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</si>
  <si>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</si>
  <si>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Units sold</t>
  </si>
  <si>
    <t>Avg Selling Price</t>
  </si>
  <si>
    <t>Material Cost per unit</t>
  </si>
  <si>
    <t>Direct Labor cost per unit</t>
  </si>
  <si>
    <t>Variable Overhead per unit</t>
  </si>
  <si>
    <t>Commission per unit</t>
  </si>
  <si>
    <t>Fixed Overhead per Month</t>
  </si>
  <si>
    <t>2500sqf for 3$ rent/sqf</t>
  </si>
  <si>
    <t>Tax Rate</t>
  </si>
  <si>
    <t>Employee Headcount</t>
  </si>
  <si>
    <t>Income Statement:</t>
  </si>
  <si>
    <t>Total Year</t>
  </si>
  <si>
    <t>Sales</t>
  </si>
  <si>
    <t>v</t>
  </si>
  <si>
    <t>% Increase</t>
  </si>
  <si>
    <t>CGS:</t>
  </si>
  <si>
    <t>Material</t>
  </si>
  <si>
    <t>Direct Labor</t>
  </si>
  <si>
    <t>V</t>
  </si>
  <si>
    <t>Variable Overhead</t>
  </si>
  <si>
    <t>Fixed Overhead</t>
  </si>
  <si>
    <t>F</t>
  </si>
  <si>
    <t>Commission</t>
  </si>
  <si>
    <t>Total CGS</t>
  </si>
  <si>
    <t>Gross Profit</t>
  </si>
  <si>
    <t>Gross Profit Margin</t>
  </si>
  <si>
    <t>Sales &amp; Marketing</t>
  </si>
  <si>
    <t>G&amp;A</t>
  </si>
  <si>
    <t>(EBIT) Operating Profit</t>
  </si>
  <si>
    <t>Pre Tax Net Income</t>
  </si>
  <si>
    <t>Cumulative Earnings</t>
  </si>
  <si>
    <t>Net Income</t>
  </si>
  <si>
    <t>Taxes Payable</t>
  </si>
  <si>
    <t>% increase</t>
  </si>
  <si>
    <t>Julia's Jewels</t>
  </si>
  <si>
    <t>Year 1</t>
  </si>
  <si>
    <t>Year 2</t>
  </si>
  <si>
    <t>Year 3</t>
  </si>
  <si>
    <t>Year 4</t>
  </si>
  <si>
    <t>Year 5</t>
  </si>
  <si>
    <t>Commission Rate per rep</t>
  </si>
  <si>
    <t xml:space="preserve">Fixed Overhead </t>
  </si>
  <si>
    <t xml:space="preserve">Direct labor </t>
  </si>
  <si>
    <t xml:space="preserve">Variable Overhead </t>
  </si>
  <si>
    <t>Gross Margin</t>
  </si>
  <si>
    <t>Break-Even Model: Key Variables</t>
  </si>
  <si>
    <t xml:space="preserve">     Key Assumptions</t>
  </si>
  <si>
    <t>Profit and Losses as a Function of Volume Changes</t>
  </si>
  <si>
    <t>Chart Data</t>
  </si>
  <si>
    <t>Operating Break-Even Chart</t>
  </si>
  <si>
    <t>Volume</t>
  </si>
  <si>
    <t>Revenue</t>
  </si>
  <si>
    <t>Variable Costs</t>
  </si>
  <si>
    <t>Fixed Costs</t>
  </si>
  <si>
    <t>Total Costs</t>
  </si>
  <si>
    <t>What IF?</t>
  </si>
  <si>
    <t>Contribution per unit</t>
  </si>
  <si>
    <t>Revenue per unit</t>
  </si>
  <si>
    <t>Variable costs</t>
  </si>
  <si>
    <t>Fixed costs</t>
  </si>
  <si>
    <t>Break-even volume</t>
  </si>
  <si>
    <t>Profits and losses as a function of volume changes of</t>
  </si>
  <si>
    <t>Profits and losses as a function of Selling Price</t>
  </si>
  <si>
    <t>Profits and Losses as a Function of Volume Changes of</t>
  </si>
  <si>
    <t>Profits and Losses as a Function of Price Changes of</t>
  </si>
  <si>
    <t xml:space="preserve">Increase </t>
  </si>
  <si>
    <t>Profits</t>
  </si>
  <si>
    <t>Increase</t>
  </si>
  <si>
    <t>Sales Price</t>
  </si>
  <si>
    <t>Decrease</t>
  </si>
  <si>
    <t>Losses</t>
  </si>
  <si>
    <t>Type of Repair</t>
  </si>
  <si>
    <t>Price Avg</t>
  </si>
  <si>
    <t xml:space="preserve">Material Cost </t>
  </si>
  <si>
    <t>Time Per Order (hrs)</t>
  </si>
  <si>
    <t>Labor Cost per Hour (based in Idaho)</t>
  </si>
  <si>
    <t>% of Total Sales Orders</t>
  </si>
  <si>
    <t>Ave. Revenue per Order</t>
  </si>
  <si>
    <t>Ave. Labor Cost per Order</t>
  </si>
  <si>
    <t>Ave. Material Cost per Order</t>
  </si>
  <si>
    <t>Ave personal commision per order</t>
  </si>
  <si>
    <t>Ring Repair</t>
  </si>
  <si>
    <t>Chain Repair</t>
  </si>
  <si>
    <t>Clasp Repair</t>
  </si>
  <si>
    <t>Prong Repair</t>
  </si>
  <si>
    <t>Stone Replacement</t>
  </si>
  <si>
    <t>Restringing</t>
  </si>
  <si>
    <t>Stone Setting/Tightening</t>
  </si>
  <si>
    <t>Total</t>
  </si>
  <si>
    <t>Price assumptions based on competitor pricing:</t>
  </si>
  <si>
    <t>http://www.jewelercam.com/pricelist/</t>
  </si>
  <si>
    <t>Warehouse Cost</t>
  </si>
  <si>
    <t>http://www.loopnet.com/Idaho/Boise_Warehouses-For-Lease/</t>
  </si>
  <si>
    <t>Material Cost</t>
  </si>
  <si>
    <t>Idaho Tax Rate</t>
  </si>
  <si>
    <t>https://tax.idaho.gov/i-1044.cfm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</si>
</sst>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\$* #,##0.00_);_(\$* \(#,##0.00\);_(\$* \-??_);_(@_)"/>
    <numFmt numFmtId="165" formatCode="&quot;$&quot;#,##0.00"/>
    <numFmt numFmtId="166" formatCode="_(\$* #,##0_);_(\$* \(#,##0\);_(\$* \-??_);_(@_)"/>
    <numFmt numFmtId="167" formatCode="mm/dd/yy"/>
    <numFmt numFmtId="168" formatCode="_(* #,##0_);_(* \(#,##0\);_(* \-??_);_(@_)"/>
    <numFmt numFmtId="169" formatCode="_-* #,##0_-;\-* #,##0_-;_-* \-??_-;_-@"/>
    <numFmt numFmtId="170" formatCode="0.0%"/>
    <numFmt numFmtId="171" formatCode="[$$-409]#,##0.00;[Red]\-[$$-409]#,##0.00"/>
  </numFmts>
  <fonts count="3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39966"/>
      <name val="Arial"/>
    </font>
    <font>
      <sz val="11"/>
      <color rgb="FF000000"/>
      <name val="Inconsolata"/>
    </font>
    <font>
      <sz val="10"/>
      <color rgb="FF0000FF"/>
      <name val="Arial"/>
    </font>
    <font>
      <u/>
      <sz val="10"/>
      <name val="Arial"/>
    </font>
    <font>
      <b/>
      <sz val="10"/>
      <color rgb="FF0000FF"/>
      <name val="Arial"/>
    </font>
    <font>
      <u/>
      <sz val="10"/>
      <name val="Arial"/>
    </font>
    <font>
      <sz val="10"/>
      <color rgb="FFFF0000"/>
      <name val="Arial"/>
    </font>
    <font>
      <sz val="10"/>
      <color rgb="FF008000"/>
      <name val="Arial"/>
    </font>
    <font>
      <b/>
      <sz val="10"/>
      <color rgb="FF008000"/>
      <name val="Arial"/>
    </font>
    <font>
      <i/>
      <sz val="1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9"/>
      <name val="Arial"/>
    </font>
    <font>
      <b/>
      <sz val="12"/>
      <name val="Times New Roman"/>
    </font>
    <font>
      <b/>
      <sz val="9"/>
      <color rgb="FFFFFFFF"/>
      <name val="Times New Roman"/>
    </font>
    <font>
      <b/>
      <sz val="12"/>
      <color rgb="FFFFFFFF"/>
      <name val="Times New Roman"/>
    </font>
    <font>
      <b/>
      <sz val="10"/>
      <color rgb="FFFFFF99"/>
      <name val="Times New Roman"/>
    </font>
    <font>
      <b/>
      <sz val="12"/>
      <name val="Arial"/>
    </font>
    <font>
      <b/>
      <sz val="10"/>
      <name val="Times New Roman"/>
    </font>
    <font>
      <b/>
      <sz val="9"/>
      <name val="Arial"/>
    </font>
    <font>
      <b/>
      <sz val="8"/>
      <name val="Arial"/>
    </font>
    <font>
      <sz val="8"/>
      <name val="Arial"/>
    </font>
    <font>
      <sz val="8"/>
      <color rgb="FF0000FF"/>
      <name val="Arial"/>
    </font>
    <font>
      <i/>
      <sz val="8"/>
      <color rgb="FF0000FF"/>
      <name val="Arial"/>
    </font>
    <font>
      <i/>
      <sz val="9"/>
      <name val="Arial"/>
    </font>
    <font>
      <b/>
      <i/>
      <sz val="9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37" fontId="1" fillId="0" borderId="0" xfId="0" applyNumberFormat="1" applyFont="1"/>
    <xf numFmtId="37" fontId="1" fillId="0" borderId="0" xfId="0" applyNumberFormat="1" applyFont="1" applyAlignment="1">
      <alignment horizontal="center"/>
    </xf>
    <xf numFmtId="37" fontId="2" fillId="0" borderId="0" xfId="0" applyNumberFormat="1" applyFont="1"/>
    <xf numFmtId="4" fontId="2" fillId="0" borderId="0" xfId="0" applyNumberFormat="1" applyFont="1" applyAlignment="1"/>
    <xf numFmtId="164" fontId="2" fillId="0" borderId="0" xfId="0" applyNumberFormat="1" applyFont="1"/>
    <xf numFmtId="39" fontId="2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/>
    <xf numFmtId="37" fontId="2" fillId="0" borderId="0" xfId="0" applyNumberFormat="1" applyFont="1" applyAlignment="1"/>
    <xf numFmtId="10" fontId="2" fillId="0" borderId="0" xfId="0" applyNumberFormat="1" applyFont="1"/>
    <xf numFmtId="10" fontId="2" fillId="0" borderId="0" xfId="0" applyNumberFormat="1" applyFont="1" applyAlignment="1"/>
    <xf numFmtId="4" fontId="2" fillId="0" borderId="0" xfId="0" applyNumberFormat="1" applyFont="1"/>
    <xf numFmtId="37" fontId="1" fillId="0" borderId="2" xfId="0" applyNumberFormat="1" applyFont="1" applyBorder="1" applyAlignment="1">
      <alignment horizontal="center"/>
    </xf>
    <xf numFmtId="37" fontId="1" fillId="0" borderId="2" xfId="0" applyNumberFormat="1" applyFont="1" applyBorder="1"/>
    <xf numFmtId="37" fontId="4" fillId="0" borderId="0" xfId="0" applyNumberFormat="1" applyFont="1"/>
    <xf numFmtId="166" fontId="2" fillId="0" borderId="0" xfId="0" applyNumberFormat="1" applyFont="1"/>
    <xf numFmtId="37" fontId="4" fillId="0" borderId="0" xfId="0" applyNumberFormat="1" applyFont="1" applyAlignment="1"/>
    <xf numFmtId="10" fontId="5" fillId="3" borderId="0" xfId="0" applyNumberFormat="1" applyFont="1" applyFill="1"/>
    <xf numFmtId="37" fontId="6" fillId="0" borderId="0" xfId="0" applyNumberFormat="1" applyFont="1"/>
    <xf numFmtId="37" fontId="7" fillId="0" borderId="0" xfId="0" applyNumberFormat="1" applyFont="1"/>
    <xf numFmtId="37" fontId="8" fillId="0" borderId="0" xfId="0" applyNumberFormat="1" applyFont="1"/>
    <xf numFmtId="9" fontId="2" fillId="0" borderId="0" xfId="0" applyNumberFormat="1" applyFont="1"/>
    <xf numFmtId="37" fontId="9" fillId="0" borderId="0" xfId="0" applyNumberFormat="1" applyFont="1" applyAlignment="1"/>
    <xf numFmtId="37" fontId="6" fillId="0" borderId="0" xfId="0" applyNumberFormat="1" applyFont="1" applyAlignment="1"/>
    <xf numFmtId="37" fontId="10" fillId="0" borderId="0" xfId="0" applyNumberFormat="1" applyFont="1"/>
    <xf numFmtId="37" fontId="11" fillId="0" borderId="0" xfId="0" applyNumberFormat="1" applyFont="1"/>
    <xf numFmtId="37" fontId="12" fillId="0" borderId="0" xfId="0" applyNumberFormat="1" applyFont="1"/>
    <xf numFmtId="0" fontId="2" fillId="0" borderId="0" xfId="0" applyFont="1"/>
    <xf numFmtId="37" fontId="13" fillId="0" borderId="0" xfId="0" applyNumberFormat="1" applyFont="1"/>
    <xf numFmtId="37" fontId="14" fillId="0" borderId="0" xfId="0" applyNumberFormat="1" applyFont="1"/>
    <xf numFmtId="164" fontId="2" fillId="0" borderId="0" xfId="0" applyNumberFormat="1" applyFont="1" applyAlignment="1"/>
    <xf numFmtId="167" fontId="2" fillId="0" borderId="0" xfId="0" applyNumberFormat="1" applyFont="1"/>
    <xf numFmtId="37" fontId="0" fillId="0" borderId="0" xfId="0" applyNumberFormat="1" applyFont="1"/>
    <xf numFmtId="37" fontId="15" fillId="0" borderId="0" xfId="0" applyNumberFormat="1" applyFont="1"/>
    <xf numFmtId="0" fontId="16" fillId="3" borderId="0" xfId="0" applyFont="1" applyFill="1" applyBorder="1"/>
    <xf numFmtId="3" fontId="17" fillId="3" borderId="0" xfId="0" applyNumberFormat="1" applyFont="1" applyFill="1" applyBorder="1" applyAlignment="1">
      <alignment horizontal="left"/>
    </xf>
    <xf numFmtId="3" fontId="16" fillId="3" borderId="0" xfId="0" applyNumberFormat="1" applyFont="1" applyFill="1" applyBorder="1"/>
    <xf numFmtId="3" fontId="18" fillId="3" borderId="0" xfId="0" applyNumberFormat="1" applyFont="1" applyFill="1" applyBorder="1" applyAlignment="1">
      <alignment horizontal="center"/>
    </xf>
    <xf numFmtId="3" fontId="19" fillId="3" borderId="0" xfId="0" applyNumberFormat="1" applyFont="1" applyFill="1" applyBorder="1" applyAlignment="1">
      <alignment horizontal="left"/>
    </xf>
    <xf numFmtId="168" fontId="20" fillId="3" borderId="0" xfId="0" applyNumberFormat="1" applyFont="1" applyFill="1" applyBorder="1" applyAlignment="1">
      <alignment horizontal="left"/>
    </xf>
    <xf numFmtId="0" fontId="21" fillId="4" borderId="0" xfId="0" applyFont="1" applyFill="1" applyBorder="1"/>
    <xf numFmtId="168" fontId="22" fillId="3" borderId="0" xfId="0" applyNumberFormat="1" applyFont="1" applyFill="1" applyBorder="1" applyAlignment="1">
      <alignment horizontal="left"/>
    </xf>
    <xf numFmtId="164" fontId="16" fillId="3" borderId="0" xfId="0" applyNumberFormat="1" applyFont="1" applyFill="1" applyBorder="1"/>
    <xf numFmtId="168" fontId="2" fillId="0" borderId="0" xfId="0" applyNumberFormat="1" applyFont="1"/>
    <xf numFmtId="168" fontId="23" fillId="3" borderId="3" xfId="0" applyNumberFormat="1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24" fillId="3" borderId="1" xfId="0" applyFont="1" applyFill="1" applyBorder="1"/>
    <xf numFmtId="0" fontId="16" fillId="3" borderId="6" xfId="0" applyFont="1" applyFill="1" applyBorder="1"/>
    <xf numFmtId="0" fontId="25" fillId="3" borderId="7" xfId="0" applyFont="1" applyFill="1" applyBorder="1" applyAlignment="1">
      <alignment horizontal="left"/>
    </xf>
    <xf numFmtId="0" fontId="16" fillId="3" borderId="8" xfId="0" applyFont="1" applyFill="1" applyBorder="1"/>
    <xf numFmtId="168" fontId="26" fillId="3" borderId="9" xfId="0" applyNumberFormat="1" applyFont="1" applyFill="1" applyBorder="1"/>
    <xf numFmtId="168" fontId="25" fillId="3" borderId="9" xfId="0" applyNumberFormat="1" applyFont="1" applyFill="1" applyBorder="1"/>
    <xf numFmtId="0" fontId="24" fillId="3" borderId="7" xfId="0" applyFont="1" applyFill="1" applyBorder="1"/>
    <xf numFmtId="169" fontId="25" fillId="3" borderId="9" xfId="0" applyNumberFormat="1" applyFont="1" applyFill="1" applyBorder="1" applyAlignment="1">
      <alignment horizontal="right"/>
    </xf>
    <xf numFmtId="169" fontId="25" fillId="3" borderId="9" xfId="0" applyNumberFormat="1" applyFont="1" applyFill="1" applyBorder="1" applyAlignment="1">
      <alignment horizontal="right"/>
    </xf>
    <xf numFmtId="0" fontId="24" fillId="3" borderId="10" xfId="0" applyFont="1" applyFill="1" applyBorder="1"/>
    <xf numFmtId="0" fontId="16" fillId="3" borderId="11" xfId="0" applyFont="1" applyFill="1" applyBorder="1"/>
    <xf numFmtId="170" fontId="27" fillId="3" borderId="12" xfId="0" applyNumberFormat="1" applyFont="1" applyFill="1" applyBorder="1"/>
    <xf numFmtId="0" fontId="23" fillId="3" borderId="3" xfId="0" applyFont="1" applyFill="1" applyBorder="1" applyAlignment="1">
      <alignment horizontal="left"/>
    </xf>
    <xf numFmtId="0" fontId="23" fillId="3" borderId="4" xfId="0" applyFont="1" applyFill="1" applyBorder="1"/>
    <xf numFmtId="170" fontId="28" fillId="3" borderId="13" xfId="0" applyNumberFormat="1" applyFont="1" applyFill="1" applyBorder="1"/>
    <xf numFmtId="0" fontId="16" fillId="3" borderId="1" xfId="0" applyFont="1" applyFill="1" applyBorder="1"/>
    <xf numFmtId="0" fontId="2" fillId="0" borderId="0" xfId="0" applyFont="1" applyAlignment="1"/>
    <xf numFmtId="0" fontId="29" fillId="3" borderId="1" xfId="0" applyFont="1" applyFill="1" applyBorder="1" applyAlignment="1">
      <alignment horizontal="right"/>
    </xf>
    <xf numFmtId="0" fontId="29" fillId="3" borderId="0" xfId="0" applyFont="1" applyFill="1" applyBorder="1" applyAlignment="1">
      <alignment horizontal="right"/>
    </xf>
    <xf numFmtId="0" fontId="29" fillId="3" borderId="6" xfId="0" applyFont="1" applyFill="1" applyBorder="1" applyAlignment="1">
      <alignment horizontal="right"/>
    </xf>
    <xf numFmtId="0" fontId="28" fillId="3" borderId="0" xfId="0" applyFont="1" applyFill="1" applyBorder="1" applyAlignment="1">
      <alignment horizontal="right"/>
    </xf>
    <xf numFmtId="168" fontId="16" fillId="3" borderId="1" xfId="0" applyNumberFormat="1" applyFont="1" applyFill="1" applyBorder="1"/>
    <xf numFmtId="168" fontId="16" fillId="3" borderId="0" xfId="0" applyNumberFormat="1" applyFont="1" applyFill="1" applyBorder="1"/>
    <xf numFmtId="171" fontId="16" fillId="3" borderId="1" xfId="0" applyNumberFormat="1" applyFont="1" applyFill="1" applyBorder="1"/>
    <xf numFmtId="170" fontId="16" fillId="3" borderId="0" xfId="0" applyNumberFormat="1" applyFont="1" applyFill="1" applyBorder="1"/>
    <xf numFmtId="9" fontId="16" fillId="3" borderId="6" xfId="0" applyNumberFormat="1" applyFont="1" applyFill="1" applyBorder="1"/>
    <xf numFmtId="168" fontId="29" fillId="3" borderId="1" xfId="0" applyNumberFormat="1" applyFont="1" applyFill="1" applyBorder="1" applyAlignment="1">
      <alignment horizontal="right"/>
    </xf>
    <xf numFmtId="168" fontId="29" fillId="3" borderId="0" xfId="0" applyNumberFormat="1" applyFont="1" applyFill="1" applyBorder="1" applyAlignment="1">
      <alignment horizontal="right"/>
    </xf>
    <xf numFmtId="168" fontId="16" fillId="3" borderId="10" xfId="0" applyNumberFormat="1" applyFont="1" applyFill="1" applyBorder="1"/>
    <xf numFmtId="170" fontId="16" fillId="3" borderId="11" xfId="0" applyNumberFormat="1" applyFont="1" applyFill="1" applyBorder="1"/>
    <xf numFmtId="168" fontId="16" fillId="3" borderId="11" xfId="0" applyNumberFormat="1" applyFont="1" applyFill="1" applyBorder="1"/>
    <xf numFmtId="9" fontId="16" fillId="3" borderId="14" xfId="0" applyNumberFormat="1" applyFont="1" applyFill="1" applyBorder="1"/>
    <xf numFmtId="171" fontId="16" fillId="3" borderId="10" xfId="0" applyNumberFormat="1" applyFont="1" applyFill="1" applyBorder="1"/>
    <xf numFmtId="0" fontId="16" fillId="3" borderId="15" xfId="0" applyFont="1" applyFill="1" applyBorder="1"/>
    <xf numFmtId="0" fontId="2" fillId="3" borderId="0" xfId="0" applyFont="1" applyFill="1" applyBorder="1"/>
    <xf numFmtId="0" fontId="30" fillId="0" borderId="0" xfId="0" applyFont="1" applyAlignment="1"/>
    <xf numFmtId="0" fontId="31" fillId="0" borderId="0" xfId="0" applyFont="1" applyAlignment="1"/>
    <xf numFmtId="0" fontId="3" fillId="0" borderId="0" xfId="0" applyFont="1" applyAlignment="1"/>
    <xf numFmtId="165" fontId="3" fillId="0" borderId="0" xfId="0" applyNumberFormat="1" applyFont="1" applyAlignment="1"/>
    <xf numFmtId="2" fontId="3" fillId="0" borderId="0" xfId="0" applyNumberFormat="1" applyFont="1" applyAlignment="1"/>
    <xf numFmtId="165" fontId="3" fillId="0" borderId="0" xfId="0" applyNumberFormat="1" applyFont="1" applyAlignment="1"/>
    <xf numFmtId="10" fontId="3" fillId="0" borderId="0" xfId="0" applyNumberFormat="1" applyFont="1" applyAlignment="1"/>
    <xf numFmtId="165" fontId="3" fillId="0" borderId="0" xfId="0" applyNumberFormat="1" applyFont="1"/>
    <xf numFmtId="165" fontId="32" fillId="0" borderId="0" xfId="0" applyNumberFormat="1" applyFont="1" applyAlignment="1">
      <alignment horizontal="right"/>
    </xf>
    <xf numFmtId="165" fontId="32" fillId="0" borderId="0" xfId="0" applyNumberFormat="1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37" fontId="1" fillId="2" borderId="1" xfId="0" applyNumberFormat="1" applyFont="1" applyFill="1" applyBorder="1" applyAlignment="1">
      <alignment horizontal="center"/>
    </xf>
    <xf numFmtId="0" fontId="3" fillId="0" borderId="0" xfId="0" applyFont="1" applyBorder="1"/>
    <xf numFmtId="37" fontId="1" fillId="0" borderId="0" xfId="0" applyNumberFormat="1" applyFont="1" applyAlignment="1">
      <alignment horizontal="center"/>
    </xf>
    <xf numFmtId="0" fontId="0" fillId="0" borderId="0" xfId="0" applyFont="1" applyAlignment="1"/>
    <xf numFmtId="37" fontId="1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ewelercam.com/pricelist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ax.idaho.gov/i-1044.cfm" TargetMode="External"/><Relationship Id="rId2" Type="http://schemas.openxmlformats.org/officeDocument/2006/relationships/hyperlink" Target="http://www.jewelercam.com/pricelist/" TargetMode="External"/><Relationship Id="rId1" Type="http://schemas.openxmlformats.org/officeDocument/2006/relationships/hyperlink" Target="http://www.loopnet.com/Idaho/Boise_Warehouses-For-Le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1"/>
  <sheetViews>
    <sheetView tabSelected="1" workbookViewId="0"/>
  </sheetViews>
  <sheetFormatPr defaultColWidth="17.33203125" defaultRowHeight="15" customHeight="1"/>
  <cols>
    <col min="1" max="1" width="23.88671875" customWidth="1"/>
    <col min="2" max="2" width="0" hidden="1" customWidth="1"/>
    <col min="3" max="14" width="10.88671875" customWidth="1"/>
    <col min="15" max="15" width="10.33203125" customWidth="1"/>
    <col min="16" max="25" width="9.109375" customWidth="1"/>
    <col min="26" max="26" width="8" customWidth="1"/>
  </cols>
  <sheetData>
    <row r="1" spans="1:26" ht="12.75" customHeight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3" t="s">
        <v>13</v>
      </c>
      <c r="B2" s="3"/>
      <c r="C2" s="4">
        <v>60</v>
      </c>
      <c r="D2" s="4">
        <v>70</v>
      </c>
      <c r="E2" s="4">
        <v>80</v>
      </c>
      <c r="F2" s="4">
        <v>90</v>
      </c>
      <c r="G2" s="4">
        <v>100</v>
      </c>
      <c r="H2" s="4">
        <v>140</v>
      </c>
      <c r="I2" s="4">
        <v>180</v>
      </c>
      <c r="J2" s="4">
        <v>220</v>
      </c>
      <c r="K2" s="4">
        <v>260</v>
      </c>
      <c r="L2" s="4">
        <v>300</v>
      </c>
      <c r="M2" s="4">
        <v>340</v>
      </c>
      <c r="N2" s="4">
        <v>380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3" t="s">
        <v>14</v>
      </c>
      <c r="B3" s="3"/>
      <c r="C3" s="4">
        <v>32.1</v>
      </c>
      <c r="D3" s="4">
        <v>32.1</v>
      </c>
      <c r="E3" s="4">
        <v>32.1</v>
      </c>
      <c r="F3" s="4">
        <v>32.1</v>
      </c>
      <c r="G3" s="4">
        <v>32.1</v>
      </c>
      <c r="H3" s="4">
        <v>32.1</v>
      </c>
      <c r="I3" s="4">
        <v>32.1</v>
      </c>
      <c r="J3" s="4">
        <v>32.1</v>
      </c>
      <c r="K3" s="4">
        <v>32.1</v>
      </c>
      <c r="L3" s="4">
        <v>32.1</v>
      </c>
      <c r="M3" s="4">
        <v>32.1</v>
      </c>
      <c r="N3" s="4">
        <v>32.1</v>
      </c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3" t="s">
        <v>15</v>
      </c>
      <c r="B4" s="3"/>
      <c r="C4" s="4">
        <v>3.05</v>
      </c>
      <c r="D4" s="4">
        <v>3.05</v>
      </c>
      <c r="E4" s="4">
        <v>3.05</v>
      </c>
      <c r="F4" s="4">
        <v>3.05</v>
      </c>
      <c r="G4" s="4">
        <v>3.05</v>
      </c>
      <c r="H4" s="4">
        <v>3.05</v>
      </c>
      <c r="I4" s="4">
        <v>3.05</v>
      </c>
      <c r="J4" s="4">
        <v>3.05</v>
      </c>
      <c r="K4" s="4">
        <v>3.05</v>
      </c>
      <c r="L4" s="4">
        <v>3.05</v>
      </c>
      <c r="M4" s="4">
        <v>3.05</v>
      </c>
      <c r="N4" s="4">
        <v>3.05</v>
      </c>
      <c r="O4" s="6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" t="s">
        <v>16</v>
      </c>
      <c r="B5" s="3"/>
      <c r="C5" s="4">
        <f>'Average Cost Calculations'!H9</f>
        <v>0.71291666666666675</v>
      </c>
      <c r="D5" s="4">
        <f>'Average Cost Calculations'!H9</f>
        <v>0.71291666666666675</v>
      </c>
      <c r="E5" s="4">
        <f>'Average Cost Calculations'!$H$9</f>
        <v>0.71291666666666675</v>
      </c>
      <c r="F5" s="4">
        <f>'Average Cost Calculations'!$H$9</f>
        <v>0.71291666666666675</v>
      </c>
      <c r="G5" s="4">
        <f>'Average Cost Calculations'!$H$9</f>
        <v>0.71291666666666675</v>
      </c>
      <c r="H5" s="4">
        <f>'Average Cost Calculations'!$H$9</f>
        <v>0.71291666666666675</v>
      </c>
      <c r="I5" s="4">
        <f>'Average Cost Calculations'!$H$9</f>
        <v>0.71291666666666675</v>
      </c>
      <c r="J5" s="4">
        <f>'Average Cost Calculations'!$H$9</f>
        <v>0.71291666666666675</v>
      </c>
      <c r="K5" s="4">
        <f>'Average Cost Calculations'!$H$9</f>
        <v>0.71291666666666675</v>
      </c>
      <c r="L5" s="4">
        <f>'Average Cost Calculations'!$H$9</f>
        <v>0.71291666666666675</v>
      </c>
      <c r="M5" s="4">
        <f>'Average Cost Calculations'!$H$9</f>
        <v>0.71291666666666675</v>
      </c>
      <c r="N5" s="4">
        <f>'Average Cost Calculations'!$H$9</f>
        <v>0.71291666666666675</v>
      </c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 t="s">
        <v>17</v>
      </c>
      <c r="B6" s="3"/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6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7" t="s">
        <v>18</v>
      </c>
      <c r="B7" s="8"/>
      <c r="C7" s="4">
        <v>0</v>
      </c>
      <c r="D7" s="4">
        <f t="shared" ref="D7:G7" si="0">0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>'Average Cost Calculations'!$J$9</f>
        <v>1.605</v>
      </c>
      <c r="I7" s="4">
        <f>'Average Cost Calculations'!$J$9</f>
        <v>1.605</v>
      </c>
      <c r="J7" s="4">
        <f>'Average Cost Calculations'!$J$9</f>
        <v>1.605</v>
      </c>
      <c r="K7" s="4">
        <f>'Average Cost Calculations'!$J$9</f>
        <v>1.605</v>
      </c>
      <c r="L7" s="4">
        <f>'Average Cost Calculations'!$J$9</f>
        <v>1.605</v>
      </c>
      <c r="M7" s="4">
        <f>'Average Cost Calculations'!$J$9</f>
        <v>1.605</v>
      </c>
      <c r="N7" s="4">
        <f>'Average Cost Calculations'!$J$9</f>
        <v>1.605</v>
      </c>
      <c r="O7" s="9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7" t="s">
        <v>19</v>
      </c>
      <c r="B8" s="8"/>
      <c r="C8" s="4">
        <v>7500</v>
      </c>
      <c r="D8" s="4">
        <v>7500</v>
      </c>
      <c r="E8" s="4">
        <v>7500</v>
      </c>
      <c r="F8" s="4">
        <v>7500</v>
      </c>
      <c r="G8" s="4">
        <v>7500</v>
      </c>
      <c r="H8" s="4">
        <v>7500</v>
      </c>
      <c r="I8" s="4">
        <v>7500</v>
      </c>
      <c r="J8" s="4">
        <v>7500</v>
      </c>
      <c r="K8" s="4">
        <v>7500</v>
      </c>
      <c r="L8" s="4">
        <v>7500</v>
      </c>
      <c r="M8" s="4">
        <v>7500</v>
      </c>
      <c r="N8" s="4">
        <v>7500</v>
      </c>
      <c r="O8" s="9" t="s">
        <v>20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">
        <v>21</v>
      </c>
      <c r="B9" s="10"/>
      <c r="C9" s="11">
        <v>7.3999999999999996E-2</v>
      </c>
      <c r="D9" s="11">
        <v>7.3999999999999996E-2</v>
      </c>
      <c r="E9" s="11">
        <v>7.3999999999999996E-2</v>
      </c>
      <c r="F9" s="11">
        <v>7.3999999999999996E-2</v>
      </c>
      <c r="G9" s="11">
        <v>7.3999999999999996E-2</v>
      </c>
      <c r="H9" s="11">
        <v>7.3999999999999996E-2</v>
      </c>
      <c r="I9" s="11">
        <v>7.3999999999999996E-2</v>
      </c>
      <c r="J9" s="11">
        <v>7.3999999999999996E-2</v>
      </c>
      <c r="K9" s="11">
        <v>7.3999999999999996E-2</v>
      </c>
      <c r="L9" s="11">
        <v>7.3999999999999996E-2</v>
      </c>
      <c r="M9" s="11">
        <v>7.3999999999999996E-2</v>
      </c>
      <c r="N9" s="11">
        <v>7.3999999999999996E-2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3" t="s">
        <v>22</v>
      </c>
      <c r="B10" s="3"/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6</v>
      </c>
      <c r="I10" s="4">
        <v>6</v>
      </c>
      <c r="J10" s="4">
        <v>6</v>
      </c>
      <c r="K10" s="4">
        <v>6</v>
      </c>
      <c r="L10" s="4">
        <v>6</v>
      </c>
      <c r="M10" s="4">
        <v>6</v>
      </c>
      <c r="N10" s="4">
        <v>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3"/>
      <c r="C11" s="12"/>
      <c r="D11" s="12">
        <f t="shared" ref="D11:N11" si="1">D2-C2</f>
        <v>10</v>
      </c>
      <c r="E11" s="12">
        <f t="shared" si="1"/>
        <v>10</v>
      </c>
      <c r="F11" s="12">
        <f t="shared" si="1"/>
        <v>10</v>
      </c>
      <c r="G11" s="12">
        <f t="shared" si="1"/>
        <v>10</v>
      </c>
      <c r="H11" s="12">
        <f t="shared" si="1"/>
        <v>40</v>
      </c>
      <c r="I11" s="12">
        <f t="shared" si="1"/>
        <v>40</v>
      </c>
      <c r="J11" s="12">
        <f t="shared" si="1"/>
        <v>40</v>
      </c>
      <c r="K11" s="12">
        <f t="shared" si="1"/>
        <v>40</v>
      </c>
      <c r="L11" s="12">
        <f t="shared" si="1"/>
        <v>40</v>
      </c>
      <c r="M11" s="12">
        <f t="shared" si="1"/>
        <v>40</v>
      </c>
      <c r="N11" s="12">
        <f t="shared" si="1"/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6" t="s">
        <v>23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13" t="s">
        <v>1</v>
      </c>
      <c r="D13" s="13" t="s">
        <v>2</v>
      </c>
      <c r="E13" s="13" t="s">
        <v>3</v>
      </c>
      <c r="F13" s="13" t="s">
        <v>4</v>
      </c>
      <c r="G13" s="13" t="s">
        <v>5</v>
      </c>
      <c r="H13" s="13" t="s">
        <v>6</v>
      </c>
      <c r="I13" s="13" t="s">
        <v>7</v>
      </c>
      <c r="J13" s="13" t="s">
        <v>8</v>
      </c>
      <c r="K13" s="13" t="s">
        <v>9</v>
      </c>
      <c r="L13" s="13" t="s">
        <v>10</v>
      </c>
      <c r="M13" s="13" t="s">
        <v>11</v>
      </c>
      <c r="N13" s="13" t="s">
        <v>12</v>
      </c>
      <c r="O13" s="14" t="s">
        <v>24</v>
      </c>
      <c r="P13" s="3"/>
      <c r="Q13" s="3"/>
      <c r="R13" s="10">
        <f>(C3-C4-C5-C6)/C3</f>
        <v>0.78931723779854612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15" t="s">
        <v>25</v>
      </c>
      <c r="B15" s="15" t="s">
        <v>26</v>
      </c>
      <c r="C15" s="3">
        <f t="shared" ref="C15:N15" si="2">C2*C3</f>
        <v>1926</v>
      </c>
      <c r="D15" s="3">
        <f t="shared" si="2"/>
        <v>2247</v>
      </c>
      <c r="E15" s="3">
        <f t="shared" si="2"/>
        <v>2568</v>
      </c>
      <c r="F15" s="3">
        <f t="shared" si="2"/>
        <v>2889</v>
      </c>
      <c r="G15" s="3">
        <f t="shared" si="2"/>
        <v>3210</v>
      </c>
      <c r="H15" s="3">
        <f t="shared" si="2"/>
        <v>4494</v>
      </c>
      <c r="I15" s="3">
        <f t="shared" si="2"/>
        <v>5778</v>
      </c>
      <c r="J15" s="3">
        <f t="shared" si="2"/>
        <v>7062</v>
      </c>
      <c r="K15" s="3">
        <f t="shared" si="2"/>
        <v>8346</v>
      </c>
      <c r="L15" s="3">
        <f t="shared" si="2"/>
        <v>9630</v>
      </c>
      <c r="M15" s="3">
        <f t="shared" si="2"/>
        <v>10914</v>
      </c>
      <c r="N15" s="3">
        <f t="shared" si="2"/>
        <v>12198</v>
      </c>
      <c r="O15" s="16">
        <f>SUM(C15:N15)</f>
        <v>71262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7" t="s">
        <v>27</v>
      </c>
      <c r="B16" s="15"/>
      <c r="C16" s="10"/>
      <c r="D16" s="18">
        <f t="shared" ref="D16:N16" si="3">D2/C2-1</f>
        <v>0.16666666666666674</v>
      </c>
      <c r="E16" s="18">
        <f t="shared" si="3"/>
        <v>0.14285714285714279</v>
      </c>
      <c r="F16" s="18">
        <f t="shared" si="3"/>
        <v>0.125</v>
      </c>
      <c r="G16" s="18">
        <f t="shared" si="3"/>
        <v>0.11111111111111116</v>
      </c>
      <c r="H16" s="18">
        <f t="shared" si="3"/>
        <v>0.39999999999999991</v>
      </c>
      <c r="I16" s="18">
        <f t="shared" si="3"/>
        <v>0.28571428571428581</v>
      </c>
      <c r="J16" s="18">
        <f t="shared" si="3"/>
        <v>0.22222222222222232</v>
      </c>
      <c r="K16" s="18">
        <f t="shared" si="3"/>
        <v>0.18181818181818188</v>
      </c>
      <c r="L16" s="18">
        <f t="shared" si="3"/>
        <v>0.15384615384615374</v>
      </c>
      <c r="M16" s="18">
        <f t="shared" si="3"/>
        <v>0.1333333333333333</v>
      </c>
      <c r="N16" s="18">
        <f t="shared" si="3"/>
        <v>0.11764705882352944</v>
      </c>
      <c r="O16" s="16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5" t="s">
        <v>29</v>
      </c>
      <c r="B18" s="15" t="s">
        <v>26</v>
      </c>
      <c r="C18" s="3">
        <f t="shared" ref="C18:N18" si="4">C2*C4</f>
        <v>183</v>
      </c>
      <c r="D18" s="3">
        <f t="shared" si="4"/>
        <v>213.5</v>
      </c>
      <c r="E18" s="3">
        <f t="shared" si="4"/>
        <v>244</v>
      </c>
      <c r="F18" s="3">
        <f t="shared" si="4"/>
        <v>274.5</v>
      </c>
      <c r="G18" s="3">
        <f t="shared" si="4"/>
        <v>305</v>
      </c>
      <c r="H18" s="3">
        <f t="shared" si="4"/>
        <v>427</v>
      </c>
      <c r="I18" s="3">
        <f t="shared" si="4"/>
        <v>549</v>
      </c>
      <c r="J18" s="3">
        <f t="shared" si="4"/>
        <v>671</v>
      </c>
      <c r="K18" s="3">
        <f t="shared" si="4"/>
        <v>793</v>
      </c>
      <c r="L18" s="3">
        <f t="shared" si="4"/>
        <v>915</v>
      </c>
      <c r="M18" s="3">
        <f t="shared" si="4"/>
        <v>1037</v>
      </c>
      <c r="N18" s="3">
        <f t="shared" si="4"/>
        <v>1159</v>
      </c>
      <c r="O18" s="3">
        <f t="shared" ref="O18:O21" si="5">SUM(C18:N18)</f>
        <v>6771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5" t="s">
        <v>30</v>
      </c>
      <c r="B19" s="15" t="s">
        <v>31</v>
      </c>
      <c r="C19" s="3">
        <f t="shared" ref="C19:N19" si="6">C2*C5</f>
        <v>42.775000000000006</v>
      </c>
      <c r="D19" s="3">
        <f t="shared" si="6"/>
        <v>49.904166666666676</v>
      </c>
      <c r="E19" s="3">
        <f t="shared" si="6"/>
        <v>57.033333333333339</v>
      </c>
      <c r="F19" s="3">
        <f t="shared" si="6"/>
        <v>64.162500000000009</v>
      </c>
      <c r="G19" s="3">
        <f t="shared" si="6"/>
        <v>71.291666666666671</v>
      </c>
      <c r="H19" s="3">
        <f t="shared" si="6"/>
        <v>99.808333333333351</v>
      </c>
      <c r="I19" s="3">
        <f t="shared" si="6"/>
        <v>128.32500000000002</v>
      </c>
      <c r="J19" s="3">
        <f t="shared" si="6"/>
        <v>156.8416666666667</v>
      </c>
      <c r="K19" s="3">
        <f t="shared" si="6"/>
        <v>185.35833333333335</v>
      </c>
      <c r="L19" s="3">
        <f t="shared" si="6"/>
        <v>213.87500000000003</v>
      </c>
      <c r="M19" s="3">
        <f t="shared" si="6"/>
        <v>242.39166666666671</v>
      </c>
      <c r="N19" s="3">
        <f t="shared" si="6"/>
        <v>270.90833333333336</v>
      </c>
      <c r="O19" s="3">
        <f t="shared" si="5"/>
        <v>1582.6750000000002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5" t="s">
        <v>32</v>
      </c>
      <c r="B20" s="15" t="s">
        <v>31</v>
      </c>
      <c r="C20" s="3">
        <f t="shared" ref="C20:N20" si="7">C6*C2</f>
        <v>180</v>
      </c>
      <c r="D20" s="3">
        <f t="shared" si="7"/>
        <v>210</v>
      </c>
      <c r="E20" s="3">
        <f t="shared" si="7"/>
        <v>240</v>
      </c>
      <c r="F20" s="3">
        <f t="shared" si="7"/>
        <v>270</v>
      </c>
      <c r="G20" s="3">
        <f t="shared" si="7"/>
        <v>300</v>
      </c>
      <c r="H20" s="3">
        <f t="shared" si="7"/>
        <v>420</v>
      </c>
      <c r="I20" s="3">
        <f t="shared" si="7"/>
        <v>540</v>
      </c>
      <c r="J20" s="3">
        <f t="shared" si="7"/>
        <v>660</v>
      </c>
      <c r="K20" s="3">
        <f t="shared" si="7"/>
        <v>780</v>
      </c>
      <c r="L20" s="3">
        <f t="shared" si="7"/>
        <v>900</v>
      </c>
      <c r="M20" s="3">
        <f t="shared" si="7"/>
        <v>1020</v>
      </c>
      <c r="N20" s="3">
        <f t="shared" si="7"/>
        <v>1140</v>
      </c>
      <c r="O20" s="3">
        <f t="shared" si="5"/>
        <v>6660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5" t="s">
        <v>33</v>
      </c>
      <c r="B21" s="15" t="s">
        <v>34</v>
      </c>
      <c r="C21" s="3">
        <f t="shared" ref="C21:N21" si="8">C8</f>
        <v>7500</v>
      </c>
      <c r="D21" s="3">
        <f t="shared" si="8"/>
        <v>7500</v>
      </c>
      <c r="E21" s="3">
        <f t="shared" si="8"/>
        <v>7500</v>
      </c>
      <c r="F21" s="3">
        <f t="shared" si="8"/>
        <v>7500</v>
      </c>
      <c r="G21" s="3">
        <f t="shared" si="8"/>
        <v>7500</v>
      </c>
      <c r="H21" s="3">
        <f t="shared" si="8"/>
        <v>7500</v>
      </c>
      <c r="I21" s="3">
        <f t="shared" si="8"/>
        <v>7500</v>
      </c>
      <c r="J21" s="3">
        <f t="shared" si="8"/>
        <v>7500</v>
      </c>
      <c r="K21" s="3">
        <f t="shared" si="8"/>
        <v>7500</v>
      </c>
      <c r="L21" s="3">
        <f t="shared" si="8"/>
        <v>7500</v>
      </c>
      <c r="M21" s="3">
        <f t="shared" si="8"/>
        <v>7500</v>
      </c>
      <c r="N21" s="3">
        <f t="shared" si="8"/>
        <v>7500</v>
      </c>
      <c r="O21" s="3">
        <f t="shared" si="5"/>
        <v>90000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7" t="s">
        <v>35</v>
      </c>
      <c r="B22" s="15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3">
        <f t="shared" ref="H22:N22" si="9">H2*H7</f>
        <v>224.7</v>
      </c>
      <c r="I22" s="3">
        <f t="shared" si="9"/>
        <v>288.89999999999998</v>
      </c>
      <c r="J22" s="3">
        <f t="shared" si="9"/>
        <v>353.1</v>
      </c>
      <c r="K22" s="3">
        <f t="shared" si="9"/>
        <v>417.3</v>
      </c>
      <c r="L22" s="3">
        <f t="shared" si="9"/>
        <v>481.5</v>
      </c>
      <c r="M22" s="3">
        <f t="shared" si="9"/>
        <v>545.70000000000005</v>
      </c>
      <c r="N22" s="3">
        <f t="shared" si="9"/>
        <v>609.9</v>
      </c>
      <c r="O22" s="3">
        <f>SUM(C22:N22)</f>
        <v>2921.1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9" t="s">
        <v>36</v>
      </c>
      <c r="B23" s="19"/>
      <c r="C23" s="20">
        <f t="shared" ref="C23:N23" si="10">SUM(C18:C22)</f>
        <v>7905.7749999999996</v>
      </c>
      <c r="D23" s="20">
        <f t="shared" si="10"/>
        <v>7973.4041666666672</v>
      </c>
      <c r="E23" s="20">
        <f t="shared" si="10"/>
        <v>8041.0333333333328</v>
      </c>
      <c r="F23" s="20">
        <f t="shared" si="10"/>
        <v>8108.6625000000004</v>
      </c>
      <c r="G23" s="20">
        <f t="shared" si="10"/>
        <v>8176.291666666667</v>
      </c>
      <c r="H23" s="20">
        <f t="shared" si="10"/>
        <v>8671.508333333335</v>
      </c>
      <c r="I23" s="20">
        <f t="shared" si="10"/>
        <v>9006.2250000000004</v>
      </c>
      <c r="J23" s="20">
        <f t="shared" si="10"/>
        <v>9340.9416666666675</v>
      </c>
      <c r="K23" s="20">
        <f t="shared" si="10"/>
        <v>9675.6583333333328</v>
      </c>
      <c r="L23" s="20">
        <f t="shared" si="10"/>
        <v>10010.375</v>
      </c>
      <c r="M23" s="20">
        <f t="shared" si="10"/>
        <v>10345.091666666667</v>
      </c>
      <c r="N23" s="20">
        <f t="shared" si="10"/>
        <v>10679.808333333332</v>
      </c>
      <c r="O23" s="20">
        <f t="shared" ref="O23:O24" si="11">SUM(C23:N23)</f>
        <v>107934.77500000001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21" t="s">
        <v>37</v>
      </c>
      <c r="B24" s="21"/>
      <c r="C24" s="1">
        <f t="shared" ref="C24:N24" si="12">C15-C23</f>
        <v>-5979.7749999999996</v>
      </c>
      <c r="D24" s="1">
        <f t="shared" si="12"/>
        <v>-5726.4041666666672</v>
      </c>
      <c r="E24" s="1">
        <f t="shared" si="12"/>
        <v>-5473.0333333333328</v>
      </c>
      <c r="F24" s="1">
        <f t="shared" si="12"/>
        <v>-5219.6625000000004</v>
      </c>
      <c r="G24" s="1">
        <f t="shared" si="12"/>
        <v>-4966.291666666667</v>
      </c>
      <c r="H24" s="1">
        <f t="shared" si="12"/>
        <v>-4177.508333333335</v>
      </c>
      <c r="I24" s="1">
        <f t="shared" si="12"/>
        <v>-3228.2250000000004</v>
      </c>
      <c r="J24" s="1">
        <f t="shared" si="12"/>
        <v>-2278.9416666666675</v>
      </c>
      <c r="K24" s="1">
        <f t="shared" si="12"/>
        <v>-1329.6583333333328</v>
      </c>
      <c r="L24" s="1">
        <f t="shared" si="12"/>
        <v>-380.375</v>
      </c>
      <c r="M24" s="1">
        <f t="shared" si="12"/>
        <v>568.90833333333285</v>
      </c>
      <c r="N24" s="1">
        <f t="shared" si="12"/>
        <v>1518.1916666666675</v>
      </c>
      <c r="O24" s="1">
        <f t="shared" si="11"/>
        <v>-36672.775000000001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3" t="s">
        <v>38</v>
      </c>
      <c r="B25" s="3"/>
      <c r="C25" s="22">
        <f t="shared" ref="C25:O25" si="13">C24/C15</f>
        <v>-3.1047637590861887</v>
      </c>
      <c r="D25" s="22">
        <f t="shared" si="13"/>
        <v>-2.5484664738169411</v>
      </c>
      <c r="E25" s="22">
        <f t="shared" si="13"/>
        <v>-2.1312435098650049</v>
      </c>
      <c r="F25" s="22">
        <f t="shared" si="13"/>
        <v>-1.8067367601246107</v>
      </c>
      <c r="G25" s="22">
        <f t="shared" si="13"/>
        <v>-1.5471313603322949</v>
      </c>
      <c r="H25" s="22">
        <f t="shared" si="13"/>
        <v>-0.92957461800919783</v>
      </c>
      <c r="I25" s="22">
        <f t="shared" si="13"/>
        <v>-0.55870976116303228</v>
      </c>
      <c r="J25" s="22">
        <f t="shared" si="13"/>
        <v>-0.32270485226092716</v>
      </c>
      <c r="K25" s="22">
        <f t="shared" si="13"/>
        <v>-0.15931683840562338</v>
      </c>
      <c r="L25" s="22">
        <f t="shared" si="13"/>
        <v>-3.9498961578400833E-2</v>
      </c>
      <c r="M25" s="22">
        <f t="shared" si="13"/>
        <v>5.2126473642416425E-2</v>
      </c>
      <c r="N25" s="22">
        <f t="shared" si="13"/>
        <v>0.1244623435535881</v>
      </c>
      <c r="O25" s="22">
        <f t="shared" si="13"/>
        <v>-0.51461894137127784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 t="s">
        <v>39</v>
      </c>
      <c r="B26" s="3" t="s">
        <v>34</v>
      </c>
      <c r="C26" s="9">
        <v>500</v>
      </c>
      <c r="D26" s="9">
        <v>500</v>
      </c>
      <c r="E26" s="9">
        <v>500</v>
      </c>
      <c r="F26" s="9">
        <v>500</v>
      </c>
      <c r="G26" s="9">
        <v>500</v>
      </c>
      <c r="H26" s="9">
        <v>500</v>
      </c>
      <c r="I26" s="9">
        <v>1700</v>
      </c>
      <c r="J26" s="9">
        <v>1700</v>
      </c>
      <c r="K26" s="9">
        <v>1700</v>
      </c>
      <c r="L26" s="9">
        <v>1700</v>
      </c>
      <c r="M26" s="9">
        <v>1700</v>
      </c>
      <c r="N26" s="9">
        <v>1700</v>
      </c>
      <c r="O26" s="3">
        <f t="shared" ref="O26:O27" si="14">SUM(C26:N26)</f>
        <v>13200</v>
      </c>
      <c r="P26" s="3"/>
      <c r="Q26" s="3"/>
      <c r="R26" s="10">
        <f>(N33-I33)/H33</f>
        <v>0.32444527913711746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 t="s">
        <v>40</v>
      </c>
      <c r="B27" s="3" t="s">
        <v>34</v>
      </c>
      <c r="C27" s="23">
        <v>100</v>
      </c>
      <c r="D27" s="23">
        <v>100</v>
      </c>
      <c r="E27" s="23">
        <v>100</v>
      </c>
      <c r="F27" s="23">
        <v>100</v>
      </c>
      <c r="G27" s="23">
        <v>100</v>
      </c>
      <c r="H27" s="23">
        <v>100</v>
      </c>
      <c r="I27" s="23">
        <v>200</v>
      </c>
      <c r="J27" s="23">
        <v>200</v>
      </c>
      <c r="K27" s="23">
        <v>200</v>
      </c>
      <c r="L27" s="23">
        <v>200</v>
      </c>
      <c r="M27" s="23">
        <v>200</v>
      </c>
      <c r="N27" s="23">
        <v>200</v>
      </c>
      <c r="O27" s="20">
        <f t="shared" si="14"/>
        <v>1800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 t="s">
        <v>41</v>
      </c>
      <c r="B29" s="19"/>
      <c r="C29" s="3">
        <f t="shared" ref="C29:N29" si="15">C24-C26-C27</f>
        <v>-6579.7749999999996</v>
      </c>
      <c r="D29" s="3">
        <f t="shared" si="15"/>
        <v>-6326.4041666666672</v>
      </c>
      <c r="E29" s="3">
        <f t="shared" si="15"/>
        <v>-6073.0333333333328</v>
      </c>
      <c r="F29" s="3">
        <f t="shared" si="15"/>
        <v>-5819.6625000000004</v>
      </c>
      <c r="G29" s="3">
        <f t="shared" si="15"/>
        <v>-5566.291666666667</v>
      </c>
      <c r="H29" s="3">
        <f t="shared" si="15"/>
        <v>-4777.508333333335</v>
      </c>
      <c r="I29" s="3">
        <f t="shared" si="15"/>
        <v>-5128.2250000000004</v>
      </c>
      <c r="J29" s="3">
        <f t="shared" si="15"/>
        <v>-4178.9416666666675</v>
      </c>
      <c r="K29" s="3">
        <f t="shared" si="15"/>
        <v>-3229.6583333333328</v>
      </c>
      <c r="L29" s="3">
        <f t="shared" si="15"/>
        <v>-2280.375</v>
      </c>
      <c r="M29" s="3">
        <f t="shared" si="15"/>
        <v>-1331.0916666666672</v>
      </c>
      <c r="N29" s="3">
        <f t="shared" si="15"/>
        <v>-381.80833333333248</v>
      </c>
      <c r="O29" s="3">
        <f>SUM(C29:N29)</f>
        <v>-51672.775000000001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24" t="s">
        <v>42</v>
      </c>
      <c r="B32" s="19"/>
      <c r="C32" s="3">
        <f t="shared" ref="C32:N32" si="16">C29</f>
        <v>-6579.7749999999996</v>
      </c>
      <c r="D32" s="3">
        <f t="shared" si="16"/>
        <v>-6326.4041666666672</v>
      </c>
      <c r="E32" s="3">
        <f t="shared" si="16"/>
        <v>-6073.0333333333328</v>
      </c>
      <c r="F32" s="3">
        <f t="shared" si="16"/>
        <v>-5819.6625000000004</v>
      </c>
      <c r="G32" s="3">
        <f t="shared" si="16"/>
        <v>-5566.291666666667</v>
      </c>
      <c r="H32" s="3">
        <f t="shared" si="16"/>
        <v>-4777.508333333335</v>
      </c>
      <c r="I32" s="3">
        <f t="shared" si="16"/>
        <v>-5128.2250000000004</v>
      </c>
      <c r="J32" s="3">
        <f t="shared" si="16"/>
        <v>-4178.9416666666675</v>
      </c>
      <c r="K32" s="3">
        <f t="shared" si="16"/>
        <v>-3229.6583333333328</v>
      </c>
      <c r="L32" s="3">
        <f t="shared" si="16"/>
        <v>-2280.375</v>
      </c>
      <c r="M32" s="3">
        <f t="shared" si="16"/>
        <v>-1331.0916666666672</v>
      </c>
      <c r="N32" s="3">
        <f t="shared" si="16"/>
        <v>-381.80833333333248</v>
      </c>
      <c r="O32" s="3">
        <f>SUM(C32:N32)</f>
        <v>-51672.775000000001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5" t="s">
        <v>43</v>
      </c>
      <c r="B33" s="19"/>
      <c r="C33" s="3">
        <f>C32</f>
        <v>-6579.7749999999996</v>
      </c>
      <c r="D33" s="3">
        <f t="shared" ref="D33:N33" si="17">C33+D32</f>
        <v>-12906.179166666667</v>
      </c>
      <c r="E33" s="3">
        <f t="shared" si="17"/>
        <v>-18979.212500000001</v>
      </c>
      <c r="F33" s="3">
        <f t="shared" si="17"/>
        <v>-24798.875</v>
      </c>
      <c r="G33" s="3">
        <f t="shared" si="17"/>
        <v>-30365.166666666668</v>
      </c>
      <c r="H33" s="3">
        <f t="shared" si="17"/>
        <v>-35142.675000000003</v>
      </c>
      <c r="I33" s="3">
        <f t="shared" si="17"/>
        <v>-40270.9</v>
      </c>
      <c r="J33" s="3">
        <f t="shared" si="17"/>
        <v>-44449.841666666667</v>
      </c>
      <c r="K33" s="3">
        <f t="shared" si="17"/>
        <v>-47679.5</v>
      </c>
      <c r="L33" s="3">
        <f t="shared" si="17"/>
        <v>-49959.875</v>
      </c>
      <c r="M33" s="3">
        <f t="shared" si="17"/>
        <v>-51290.966666666667</v>
      </c>
      <c r="N33" s="3">
        <f t="shared" si="17"/>
        <v>-51672.775000000001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21" t="s">
        <v>44</v>
      </c>
      <c r="B35" s="21"/>
      <c r="C35" s="1">
        <f t="shared" ref="C35:O35" si="18">C32</f>
        <v>-6579.7749999999996</v>
      </c>
      <c r="D35" s="1">
        <f t="shared" si="18"/>
        <v>-6326.4041666666672</v>
      </c>
      <c r="E35" s="1">
        <f t="shared" si="18"/>
        <v>-6073.0333333333328</v>
      </c>
      <c r="F35" s="1">
        <f t="shared" si="18"/>
        <v>-5819.6625000000004</v>
      </c>
      <c r="G35" s="1">
        <f t="shared" si="18"/>
        <v>-5566.291666666667</v>
      </c>
      <c r="H35" s="1">
        <f t="shared" si="18"/>
        <v>-4777.508333333335</v>
      </c>
      <c r="I35" s="1">
        <f t="shared" si="18"/>
        <v>-5128.2250000000004</v>
      </c>
      <c r="J35" s="1">
        <f t="shared" si="18"/>
        <v>-4178.9416666666675</v>
      </c>
      <c r="K35" s="1">
        <f t="shared" si="18"/>
        <v>-3229.6583333333328</v>
      </c>
      <c r="L35" s="1">
        <f t="shared" si="18"/>
        <v>-2280.375</v>
      </c>
      <c r="M35" s="1">
        <f t="shared" si="18"/>
        <v>-1331.0916666666672</v>
      </c>
      <c r="N35" s="1">
        <f t="shared" si="18"/>
        <v>-381.80833333333248</v>
      </c>
      <c r="O35" s="1">
        <f t="shared" si="18"/>
        <v>-51672.775000000001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98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26"/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26"/>
      <c r="B42" s="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21"/>
      <c r="B44" s="2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"/>
      <c r="B45" s="1"/>
      <c r="C45" s="1"/>
      <c r="D45" s="1"/>
      <c r="E45" s="1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26"/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9"/>
      <c r="B48" s="1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27"/>
      <c r="B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"/>
      <c r="B51" s="1"/>
      <c r="C51" s="1"/>
      <c r="D51" s="1"/>
      <c r="E51" s="1"/>
      <c r="F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26"/>
      <c r="B53" s="2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26"/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26"/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26"/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26"/>
      <c r="B57" s="26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21"/>
      <c r="B58" s="2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28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28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2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26"/>
      <c r="B67" s="2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21"/>
      <c r="B68" s="2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21"/>
      <c r="B70" s="2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98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2"/>
      <c r="B74" s="2"/>
      <c r="C74" s="2"/>
      <c r="D74" s="2"/>
      <c r="E74" s="2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26"/>
      <c r="B75" s="2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6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26"/>
      <c r="B76" s="2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26"/>
      <c r="B79" s="2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26"/>
      <c r="B80" s="2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26"/>
      <c r="B81" s="2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26"/>
      <c r="B82" s="2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26"/>
      <c r="B83" s="2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26"/>
      <c r="B84" s="26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21"/>
      <c r="B86" s="2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26"/>
      <c r="B89" s="2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26"/>
      <c r="B90" s="2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26"/>
      <c r="B91" s="2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26"/>
      <c r="B92" s="2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21"/>
      <c r="B95" s="2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21"/>
      <c r="B97" s="2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26"/>
      <c r="B99" s="2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21"/>
      <c r="B100" s="21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mergeCells count="3">
    <mergeCell ref="A12:O12"/>
    <mergeCell ref="A37:O37"/>
    <mergeCell ref="A72:O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workbookViewId="0"/>
  </sheetViews>
  <sheetFormatPr defaultColWidth="17.33203125" defaultRowHeight="15" customHeight="1"/>
  <cols>
    <col min="1" max="1" width="23.88671875" customWidth="1"/>
    <col min="2" max="2" width="0" hidden="1" customWidth="1"/>
    <col min="3" max="14" width="10.88671875" customWidth="1"/>
    <col min="15" max="15" width="10.33203125" customWidth="1"/>
    <col min="16" max="25" width="9.109375" customWidth="1"/>
    <col min="26" max="26" width="8" customWidth="1"/>
  </cols>
  <sheetData>
    <row r="1" spans="1:26" ht="12.75" customHeight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3" t="s">
        <v>13</v>
      </c>
      <c r="B2" s="3"/>
      <c r="C2" s="9">
        <v>460</v>
      </c>
      <c r="D2" s="9">
        <v>530</v>
      </c>
      <c r="E2" s="9">
        <v>600</v>
      </c>
      <c r="F2" s="9">
        <v>670</v>
      </c>
      <c r="G2" s="9">
        <v>740</v>
      </c>
      <c r="H2" s="9">
        <v>810</v>
      </c>
      <c r="I2" s="9">
        <v>880</v>
      </c>
      <c r="J2" s="9">
        <v>950</v>
      </c>
      <c r="K2" s="9">
        <v>1000</v>
      </c>
      <c r="L2" s="9">
        <v>1000</v>
      </c>
      <c r="M2" s="9">
        <v>1000</v>
      </c>
      <c r="N2" s="9">
        <v>1000</v>
      </c>
      <c r="O2" s="3">
        <f>SUM(C2:N2)</f>
        <v>9640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3" t="s">
        <v>14</v>
      </c>
      <c r="B3" s="3"/>
      <c r="C3" s="9">
        <v>32</v>
      </c>
      <c r="D3" s="9">
        <v>32.1</v>
      </c>
      <c r="E3" s="9">
        <v>32.1</v>
      </c>
      <c r="F3" s="9">
        <v>32.1</v>
      </c>
      <c r="G3" s="9">
        <v>32.1</v>
      </c>
      <c r="H3" s="9">
        <v>32.1</v>
      </c>
      <c r="I3" s="9">
        <v>32.1</v>
      </c>
      <c r="J3" s="9">
        <v>32.1</v>
      </c>
      <c r="K3" s="9">
        <v>32.1</v>
      </c>
      <c r="L3" s="9">
        <v>32.1</v>
      </c>
      <c r="M3" s="9">
        <v>32.1</v>
      </c>
      <c r="N3" s="9">
        <v>32.1</v>
      </c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3" t="s">
        <v>15</v>
      </c>
      <c r="B4" s="3"/>
      <c r="C4" s="6">
        <v>3.05</v>
      </c>
      <c r="D4" s="6">
        <v>3.05</v>
      </c>
      <c r="E4" s="6">
        <v>3.05</v>
      </c>
      <c r="F4" s="6">
        <v>3.05</v>
      </c>
      <c r="G4" s="6">
        <v>3.05</v>
      </c>
      <c r="H4" s="6">
        <v>3.05</v>
      </c>
      <c r="I4" s="6">
        <v>3.05</v>
      </c>
      <c r="J4" s="6">
        <v>3.05</v>
      </c>
      <c r="K4" s="6">
        <v>3.05</v>
      </c>
      <c r="L4" s="6">
        <v>3.05</v>
      </c>
      <c r="M4" s="6">
        <v>3.05</v>
      </c>
      <c r="N4" s="6">
        <v>3.05</v>
      </c>
      <c r="O4" s="6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" t="s">
        <v>16</v>
      </c>
      <c r="B5" s="3"/>
      <c r="C5" s="6">
        <f>'Average Cost Calculations'!$H$9</f>
        <v>0.71291666666666675</v>
      </c>
      <c r="D5" s="6">
        <f>'Average Cost Calculations'!$H$9</f>
        <v>0.71291666666666675</v>
      </c>
      <c r="E5" s="6">
        <f>'Average Cost Calculations'!$H$9</f>
        <v>0.71291666666666675</v>
      </c>
      <c r="F5" s="6">
        <f>'Average Cost Calculations'!$H$9</f>
        <v>0.71291666666666675</v>
      </c>
      <c r="G5" s="6">
        <f>'Average Cost Calculations'!$H$9</f>
        <v>0.71291666666666675</v>
      </c>
      <c r="H5" s="6">
        <f>'Average Cost Calculations'!$H$9</f>
        <v>0.71291666666666675</v>
      </c>
      <c r="I5" s="6">
        <f>'Average Cost Calculations'!$H$9</f>
        <v>0.71291666666666675</v>
      </c>
      <c r="J5" s="6">
        <f>'Average Cost Calculations'!$H$9</f>
        <v>0.71291666666666675</v>
      </c>
      <c r="K5" s="6">
        <f>'Average Cost Calculations'!$H$9</f>
        <v>0.71291666666666675</v>
      </c>
      <c r="L5" s="6">
        <f>'Average Cost Calculations'!$H$9</f>
        <v>0.71291666666666675</v>
      </c>
      <c r="M5" s="6">
        <f>'Average Cost Calculations'!$H$9</f>
        <v>0.71291666666666675</v>
      </c>
      <c r="N5" s="6">
        <f>'Average Cost Calculations'!$H$9</f>
        <v>0.71291666666666675</v>
      </c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 t="s">
        <v>17</v>
      </c>
      <c r="B6" s="3"/>
      <c r="C6" s="6">
        <v>3</v>
      </c>
      <c r="D6" s="6">
        <v>3</v>
      </c>
      <c r="E6" s="6">
        <v>3</v>
      </c>
      <c r="F6" s="6">
        <v>3</v>
      </c>
      <c r="G6" s="6">
        <v>3</v>
      </c>
      <c r="H6" s="6">
        <v>3</v>
      </c>
      <c r="I6" s="6">
        <v>3</v>
      </c>
      <c r="J6" s="6">
        <v>3</v>
      </c>
      <c r="K6" s="6">
        <v>3</v>
      </c>
      <c r="L6" s="6">
        <v>3</v>
      </c>
      <c r="M6" s="6">
        <v>3</v>
      </c>
      <c r="N6" s="6">
        <v>3</v>
      </c>
      <c r="O6" s="6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9" t="s">
        <v>18</v>
      </c>
      <c r="B7" s="3"/>
      <c r="C7" s="6">
        <f>'Average Cost Calculations'!$J$9*2</f>
        <v>3.21</v>
      </c>
      <c r="D7" s="6">
        <f>'Average Cost Calculations'!$J$9*2</f>
        <v>3.21</v>
      </c>
      <c r="E7" s="6">
        <f>'Average Cost Calculations'!$J$9*2</f>
        <v>3.21</v>
      </c>
      <c r="F7" s="6">
        <f>'Average Cost Calculations'!$J$9*2</f>
        <v>3.21</v>
      </c>
      <c r="G7" s="6">
        <f>'Average Cost Calculations'!$J$9*2</f>
        <v>3.21</v>
      </c>
      <c r="H7" s="6">
        <f>'Average Cost Calculations'!$J$9*2</f>
        <v>3.21</v>
      </c>
      <c r="I7" s="6">
        <f>'Average Cost Calculations'!$J$9*2</f>
        <v>3.21</v>
      </c>
      <c r="J7" s="6">
        <f>'Average Cost Calculations'!$J$9*2</f>
        <v>3.21</v>
      </c>
      <c r="K7" s="6">
        <f>'Average Cost Calculations'!$J$9*2</f>
        <v>3.21</v>
      </c>
      <c r="L7" s="6">
        <f>'Average Cost Calculations'!$J$9*2</f>
        <v>3.21</v>
      </c>
      <c r="M7" s="6">
        <f>'Average Cost Calculations'!$J$9*2</f>
        <v>3.21</v>
      </c>
      <c r="N7" s="6">
        <f>'Average Cost Calculations'!$J$9*2</f>
        <v>3.21</v>
      </c>
      <c r="O7" s="6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9" t="s">
        <v>19</v>
      </c>
      <c r="B8" s="3"/>
      <c r="C8" s="31">
        <v>7500</v>
      </c>
      <c r="D8" s="31">
        <v>7500</v>
      </c>
      <c r="E8" s="31">
        <v>7500</v>
      </c>
      <c r="F8" s="31">
        <v>7500</v>
      </c>
      <c r="G8" s="31">
        <v>7500</v>
      </c>
      <c r="H8" s="31">
        <v>7500</v>
      </c>
      <c r="I8" s="31">
        <v>7500</v>
      </c>
      <c r="J8" s="31">
        <v>7500</v>
      </c>
      <c r="K8" s="31">
        <v>7500</v>
      </c>
      <c r="L8" s="31">
        <v>7500</v>
      </c>
      <c r="M8" s="31">
        <v>7500</v>
      </c>
      <c r="N8" s="31">
        <v>7500</v>
      </c>
      <c r="O8" s="9" t="s">
        <v>20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 t="s">
        <v>45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3" t="s">
        <v>21</v>
      </c>
      <c r="B10" s="3"/>
      <c r="C10" s="11">
        <v>7.3999999999999996E-2</v>
      </c>
      <c r="D10" s="11">
        <v>7.3999999999999996E-2</v>
      </c>
      <c r="E10" s="11">
        <v>7.3999999999999996E-2</v>
      </c>
      <c r="F10" s="11">
        <v>7.3999999999999996E-2</v>
      </c>
      <c r="G10" s="11">
        <v>7.3999999999999996E-2</v>
      </c>
      <c r="H10" s="11">
        <v>7.3999999999999996E-2</v>
      </c>
      <c r="I10" s="11">
        <v>7.3999999999999996E-2</v>
      </c>
      <c r="J10" s="11">
        <v>7.3999999999999996E-2</v>
      </c>
      <c r="K10" s="11">
        <v>7.3999999999999996E-2</v>
      </c>
      <c r="L10" s="11">
        <v>7.3999999999999996E-2</v>
      </c>
      <c r="M10" s="11">
        <v>7.3999999999999996E-2</v>
      </c>
      <c r="N10" s="11">
        <v>7.3999999999999996E-2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 t="s">
        <v>22</v>
      </c>
      <c r="B11" s="3"/>
      <c r="C11" s="9">
        <v>7</v>
      </c>
      <c r="D11" s="9">
        <v>7</v>
      </c>
      <c r="E11" s="9">
        <v>7</v>
      </c>
      <c r="F11" s="9">
        <v>7</v>
      </c>
      <c r="G11" s="9">
        <v>7</v>
      </c>
      <c r="H11" s="9">
        <v>8</v>
      </c>
      <c r="I11" s="9">
        <v>8</v>
      </c>
      <c r="J11" s="9">
        <v>8</v>
      </c>
      <c r="K11" s="9">
        <v>8</v>
      </c>
      <c r="L11" s="9">
        <v>8</v>
      </c>
      <c r="M11" s="9">
        <v>8</v>
      </c>
      <c r="N11" s="9">
        <v>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3"/>
      <c r="C12" s="3">
        <f>C2-'Monthly Year 1'!N2</f>
        <v>80</v>
      </c>
      <c r="D12" s="3">
        <f t="shared" ref="D12:N12" si="0">D2-C2</f>
        <v>70</v>
      </c>
      <c r="E12" s="3">
        <f t="shared" si="0"/>
        <v>70</v>
      </c>
      <c r="F12" s="3">
        <f t="shared" si="0"/>
        <v>70</v>
      </c>
      <c r="G12" s="3">
        <f t="shared" si="0"/>
        <v>70</v>
      </c>
      <c r="H12" s="3">
        <f t="shared" si="0"/>
        <v>70</v>
      </c>
      <c r="I12" s="3">
        <f t="shared" si="0"/>
        <v>70</v>
      </c>
      <c r="J12" s="3">
        <f t="shared" si="0"/>
        <v>70</v>
      </c>
      <c r="K12" s="3">
        <f t="shared" si="0"/>
        <v>50</v>
      </c>
      <c r="L12" s="3">
        <f t="shared" si="0"/>
        <v>0</v>
      </c>
      <c r="M12" s="3">
        <f t="shared" si="0"/>
        <v>0</v>
      </c>
      <c r="N12" s="3">
        <f t="shared" si="0"/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96" t="s">
        <v>23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13" t="s">
        <v>1</v>
      </c>
      <c r="D14" s="13" t="s">
        <v>2</v>
      </c>
      <c r="E14" s="13" t="s">
        <v>3</v>
      </c>
      <c r="F14" s="13" t="s">
        <v>4</v>
      </c>
      <c r="G14" s="13" t="s">
        <v>5</v>
      </c>
      <c r="H14" s="13" t="s">
        <v>6</v>
      </c>
      <c r="I14" s="13" t="s">
        <v>7</v>
      </c>
      <c r="J14" s="13" t="s">
        <v>8</v>
      </c>
      <c r="K14" s="13" t="s">
        <v>9</v>
      </c>
      <c r="L14" s="13" t="s">
        <v>10</v>
      </c>
      <c r="M14" s="13" t="s">
        <v>11</v>
      </c>
      <c r="N14" s="13" t="s">
        <v>12</v>
      </c>
      <c r="O14" s="14" t="s">
        <v>24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5" t="s">
        <v>25</v>
      </c>
      <c r="B16" s="15" t="s">
        <v>26</v>
      </c>
      <c r="C16" s="3">
        <f t="shared" ref="C16:N16" si="1">C2*C3</f>
        <v>14720</v>
      </c>
      <c r="D16" s="3">
        <f t="shared" si="1"/>
        <v>17013</v>
      </c>
      <c r="E16" s="3">
        <f t="shared" si="1"/>
        <v>19260</v>
      </c>
      <c r="F16" s="3">
        <f t="shared" si="1"/>
        <v>21507</v>
      </c>
      <c r="G16" s="3">
        <f t="shared" si="1"/>
        <v>23754</v>
      </c>
      <c r="H16" s="3">
        <f t="shared" si="1"/>
        <v>26001</v>
      </c>
      <c r="I16" s="3">
        <f t="shared" si="1"/>
        <v>28248</v>
      </c>
      <c r="J16" s="3">
        <f t="shared" si="1"/>
        <v>30495</v>
      </c>
      <c r="K16" s="3">
        <f t="shared" si="1"/>
        <v>32100</v>
      </c>
      <c r="L16" s="3">
        <f t="shared" si="1"/>
        <v>32100</v>
      </c>
      <c r="M16" s="3">
        <f t="shared" si="1"/>
        <v>32100</v>
      </c>
      <c r="N16" s="3">
        <f t="shared" si="1"/>
        <v>32100</v>
      </c>
      <c r="O16" s="16">
        <f>O2*32.1</f>
        <v>309444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17" t="s">
        <v>46</v>
      </c>
      <c r="B17" s="15"/>
      <c r="C17" s="10">
        <f>C2/'Monthly Year 1'!N2-1</f>
        <v>0.21052631578947367</v>
      </c>
      <c r="D17" s="10">
        <f t="shared" ref="D17:N17" si="2">D2/C2-1</f>
        <v>0.15217391304347827</v>
      </c>
      <c r="E17" s="10">
        <f t="shared" si="2"/>
        <v>0.13207547169811318</v>
      </c>
      <c r="F17" s="10">
        <f t="shared" si="2"/>
        <v>0.1166666666666667</v>
      </c>
      <c r="G17" s="10">
        <f t="shared" si="2"/>
        <v>0.10447761194029859</v>
      </c>
      <c r="H17" s="10">
        <f t="shared" si="2"/>
        <v>9.4594594594594517E-2</v>
      </c>
      <c r="I17" s="10">
        <f t="shared" si="2"/>
        <v>8.6419753086419693E-2</v>
      </c>
      <c r="J17" s="10">
        <f t="shared" si="2"/>
        <v>7.9545454545454586E-2</v>
      </c>
      <c r="K17" s="10">
        <f t="shared" si="2"/>
        <v>5.2631578947368363E-2</v>
      </c>
      <c r="L17" s="10">
        <f t="shared" si="2"/>
        <v>0</v>
      </c>
      <c r="M17" s="10">
        <f t="shared" si="2"/>
        <v>0</v>
      </c>
      <c r="N17" s="10">
        <f t="shared" si="2"/>
        <v>0</v>
      </c>
      <c r="O17" s="1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5" t="s">
        <v>29</v>
      </c>
      <c r="B19" s="15" t="s">
        <v>26</v>
      </c>
      <c r="C19" s="3">
        <f t="shared" ref="C19:N19" si="3">C2*C4</f>
        <v>1403</v>
      </c>
      <c r="D19" s="3">
        <f t="shared" si="3"/>
        <v>1616.5</v>
      </c>
      <c r="E19" s="3">
        <f t="shared" si="3"/>
        <v>1830</v>
      </c>
      <c r="F19" s="3">
        <f t="shared" si="3"/>
        <v>2043.4999999999998</v>
      </c>
      <c r="G19" s="3">
        <f t="shared" si="3"/>
        <v>2257</v>
      </c>
      <c r="H19" s="3">
        <f t="shared" si="3"/>
        <v>2470.5</v>
      </c>
      <c r="I19" s="3">
        <f t="shared" si="3"/>
        <v>2684</v>
      </c>
      <c r="J19" s="3">
        <f t="shared" si="3"/>
        <v>2897.5</v>
      </c>
      <c r="K19" s="3">
        <f t="shared" si="3"/>
        <v>3050</v>
      </c>
      <c r="L19" s="3">
        <f t="shared" si="3"/>
        <v>3050</v>
      </c>
      <c r="M19" s="3">
        <f t="shared" si="3"/>
        <v>3050</v>
      </c>
      <c r="N19" s="3">
        <f t="shared" si="3"/>
        <v>3050</v>
      </c>
      <c r="O19" s="3">
        <f t="shared" ref="O19:O22" si="4">SUM(C19:N19)</f>
        <v>29402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5" t="s">
        <v>30</v>
      </c>
      <c r="B20" s="15" t="s">
        <v>31</v>
      </c>
      <c r="C20" s="3">
        <f>C2*'Average Cost Calculations'!$H$9</f>
        <v>327.94166666666672</v>
      </c>
      <c r="D20" s="3">
        <f>D2*'Average Cost Calculations'!$H$9</f>
        <v>377.84583333333336</v>
      </c>
      <c r="E20" s="3">
        <f>E2*'Average Cost Calculations'!$H$9</f>
        <v>427.75000000000006</v>
      </c>
      <c r="F20" s="3">
        <f>F2*'Average Cost Calculations'!$H$9</f>
        <v>477.6541666666667</v>
      </c>
      <c r="G20" s="3">
        <f>G2*'Average Cost Calculations'!$H$9</f>
        <v>527.55833333333339</v>
      </c>
      <c r="H20" s="3">
        <f>H2*'Average Cost Calculations'!$H$9</f>
        <v>577.46250000000009</v>
      </c>
      <c r="I20" s="3">
        <f>I2*'Average Cost Calculations'!$H$9</f>
        <v>627.36666666666679</v>
      </c>
      <c r="J20" s="3">
        <f>J2*'Average Cost Calculations'!$H$9</f>
        <v>677.27083333333337</v>
      </c>
      <c r="K20" s="3">
        <f>K2*'Average Cost Calculations'!$H$9</f>
        <v>712.91666666666674</v>
      </c>
      <c r="L20" s="3">
        <f>L2*'Average Cost Calculations'!$H$9</f>
        <v>712.91666666666674</v>
      </c>
      <c r="M20" s="3">
        <f>M2*'Average Cost Calculations'!$H$9</f>
        <v>712.91666666666674</v>
      </c>
      <c r="N20" s="3">
        <f>N2*'Average Cost Calculations'!$H$9</f>
        <v>712.91666666666674</v>
      </c>
      <c r="O20" s="3">
        <f t="shared" si="4"/>
        <v>6872.5166666666682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5" t="s">
        <v>32</v>
      </c>
      <c r="B21" s="15" t="s">
        <v>31</v>
      </c>
      <c r="C21" s="3">
        <f t="shared" ref="C21:N21" si="5">C6*C2</f>
        <v>1380</v>
      </c>
      <c r="D21" s="3">
        <f t="shared" si="5"/>
        <v>1590</v>
      </c>
      <c r="E21" s="3">
        <f t="shared" si="5"/>
        <v>1800</v>
      </c>
      <c r="F21" s="3">
        <f t="shared" si="5"/>
        <v>2010</v>
      </c>
      <c r="G21" s="3">
        <f t="shared" si="5"/>
        <v>2220</v>
      </c>
      <c r="H21" s="3">
        <f t="shared" si="5"/>
        <v>2430</v>
      </c>
      <c r="I21" s="3">
        <f t="shared" si="5"/>
        <v>2640</v>
      </c>
      <c r="J21" s="3">
        <f t="shared" si="5"/>
        <v>2850</v>
      </c>
      <c r="K21" s="3">
        <f t="shared" si="5"/>
        <v>3000</v>
      </c>
      <c r="L21" s="3">
        <f t="shared" si="5"/>
        <v>3000</v>
      </c>
      <c r="M21" s="3">
        <f t="shared" si="5"/>
        <v>3000</v>
      </c>
      <c r="N21" s="3">
        <f t="shared" si="5"/>
        <v>3000</v>
      </c>
      <c r="O21" s="3">
        <f t="shared" si="4"/>
        <v>28920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5" t="s">
        <v>33</v>
      </c>
      <c r="B22" s="15" t="s">
        <v>34</v>
      </c>
      <c r="C22" s="3">
        <f t="shared" ref="C22:N22" si="6">C8</f>
        <v>7500</v>
      </c>
      <c r="D22" s="3">
        <f t="shared" si="6"/>
        <v>7500</v>
      </c>
      <c r="E22" s="3">
        <f t="shared" si="6"/>
        <v>7500</v>
      </c>
      <c r="F22" s="3">
        <f t="shared" si="6"/>
        <v>7500</v>
      </c>
      <c r="G22" s="3">
        <f t="shared" si="6"/>
        <v>7500</v>
      </c>
      <c r="H22" s="3">
        <f t="shared" si="6"/>
        <v>7500</v>
      </c>
      <c r="I22" s="3">
        <f t="shared" si="6"/>
        <v>7500</v>
      </c>
      <c r="J22" s="3">
        <f t="shared" si="6"/>
        <v>7500</v>
      </c>
      <c r="K22" s="3">
        <f t="shared" si="6"/>
        <v>7500</v>
      </c>
      <c r="L22" s="3">
        <f t="shared" si="6"/>
        <v>7500</v>
      </c>
      <c r="M22" s="3">
        <f t="shared" si="6"/>
        <v>7500</v>
      </c>
      <c r="N22" s="3">
        <f t="shared" si="6"/>
        <v>7500</v>
      </c>
      <c r="O22" s="3">
        <f t="shared" si="4"/>
        <v>90000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7" t="s">
        <v>35</v>
      </c>
      <c r="B23" s="15"/>
      <c r="C23" s="3">
        <f t="shared" ref="C23:N23" si="7">C2*C7</f>
        <v>1476.6</v>
      </c>
      <c r="D23" s="3">
        <f t="shared" si="7"/>
        <v>1701.3</v>
      </c>
      <c r="E23" s="3">
        <f t="shared" si="7"/>
        <v>1926</v>
      </c>
      <c r="F23" s="3">
        <f t="shared" si="7"/>
        <v>2150.6999999999998</v>
      </c>
      <c r="G23" s="3">
        <f t="shared" si="7"/>
        <v>2375.4</v>
      </c>
      <c r="H23" s="3">
        <f t="shared" si="7"/>
        <v>2600.1</v>
      </c>
      <c r="I23" s="3">
        <f t="shared" si="7"/>
        <v>2824.8</v>
      </c>
      <c r="J23" s="3">
        <f t="shared" si="7"/>
        <v>3049.5</v>
      </c>
      <c r="K23" s="3">
        <f t="shared" si="7"/>
        <v>3210</v>
      </c>
      <c r="L23" s="3">
        <f t="shared" si="7"/>
        <v>3210</v>
      </c>
      <c r="M23" s="3">
        <f t="shared" si="7"/>
        <v>3210</v>
      </c>
      <c r="N23" s="3">
        <f t="shared" si="7"/>
        <v>3210</v>
      </c>
      <c r="O23" s="3">
        <f>SUM(C23:N23)</f>
        <v>30944.400000000001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 t="s">
        <v>36</v>
      </c>
      <c r="B24" s="19"/>
      <c r="C24" s="20">
        <f t="shared" ref="C24:N24" si="8">SUM(C19:C23)</f>
        <v>12087.541666666666</v>
      </c>
      <c r="D24" s="20">
        <f t="shared" si="8"/>
        <v>12785.645833333332</v>
      </c>
      <c r="E24" s="20">
        <f t="shared" si="8"/>
        <v>13483.75</v>
      </c>
      <c r="F24" s="20">
        <f t="shared" si="8"/>
        <v>14181.854166666668</v>
      </c>
      <c r="G24" s="20">
        <f t="shared" si="8"/>
        <v>14879.958333333334</v>
      </c>
      <c r="H24" s="20">
        <f t="shared" si="8"/>
        <v>15578.0625</v>
      </c>
      <c r="I24" s="20">
        <f t="shared" si="8"/>
        <v>16276.166666666668</v>
      </c>
      <c r="J24" s="20">
        <f t="shared" si="8"/>
        <v>16974.270833333336</v>
      </c>
      <c r="K24" s="20">
        <f t="shared" si="8"/>
        <v>17472.916666666668</v>
      </c>
      <c r="L24" s="20">
        <f t="shared" si="8"/>
        <v>17472.916666666668</v>
      </c>
      <c r="M24" s="20">
        <f t="shared" si="8"/>
        <v>17472.916666666668</v>
      </c>
      <c r="N24" s="20">
        <f t="shared" si="8"/>
        <v>17472.916666666668</v>
      </c>
      <c r="O24" s="20">
        <f>SUM(C24:N24)</f>
        <v>186138.91666666663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21" t="s">
        <v>37</v>
      </c>
      <c r="B25" s="21"/>
      <c r="C25" s="1">
        <f t="shared" ref="C25:O25" si="9">C16-C24</f>
        <v>2632.4583333333339</v>
      </c>
      <c r="D25" s="1">
        <f t="shared" si="9"/>
        <v>4227.3541666666679</v>
      </c>
      <c r="E25" s="1">
        <f t="shared" si="9"/>
        <v>5776.25</v>
      </c>
      <c r="F25" s="1">
        <f t="shared" si="9"/>
        <v>7325.1458333333321</v>
      </c>
      <c r="G25" s="1">
        <f t="shared" si="9"/>
        <v>8874.0416666666661</v>
      </c>
      <c r="H25" s="1">
        <f t="shared" si="9"/>
        <v>10422.9375</v>
      </c>
      <c r="I25" s="1">
        <f t="shared" si="9"/>
        <v>11971.833333333332</v>
      </c>
      <c r="J25" s="1">
        <f t="shared" si="9"/>
        <v>13520.729166666664</v>
      </c>
      <c r="K25" s="1">
        <f t="shared" si="9"/>
        <v>14627.083333333332</v>
      </c>
      <c r="L25" s="1">
        <f t="shared" si="9"/>
        <v>14627.083333333332</v>
      </c>
      <c r="M25" s="1">
        <f t="shared" si="9"/>
        <v>14627.083333333332</v>
      </c>
      <c r="N25" s="1">
        <f t="shared" si="9"/>
        <v>14627.083333333332</v>
      </c>
      <c r="O25" s="1">
        <f t="shared" si="9"/>
        <v>123305.08333333337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3" t="s">
        <v>38</v>
      </c>
      <c r="B26" s="3"/>
      <c r="C26" s="22">
        <f t="shared" ref="C26:O26" si="10">C25/C16</f>
        <v>0.17883548460144932</v>
      </c>
      <c r="D26" s="22">
        <f t="shared" si="10"/>
        <v>0.24847787966065174</v>
      </c>
      <c r="E26" s="22">
        <f t="shared" si="10"/>
        <v>0.29990913811007269</v>
      </c>
      <c r="F26" s="22">
        <f t="shared" si="10"/>
        <v>0.34059356643573402</v>
      </c>
      <c r="G26" s="22">
        <f t="shared" si="10"/>
        <v>0.37358094075383791</v>
      </c>
      <c r="H26" s="22">
        <f t="shared" si="10"/>
        <v>0.4008667935848621</v>
      </c>
      <c r="I26" s="22">
        <f t="shared" si="10"/>
        <v>0.42381171528367784</v>
      </c>
      <c r="J26" s="22">
        <f t="shared" si="10"/>
        <v>0.44337528010056287</v>
      </c>
      <c r="K26" s="22">
        <f t="shared" si="10"/>
        <v>0.45567237798546206</v>
      </c>
      <c r="L26" s="22">
        <f t="shared" si="10"/>
        <v>0.45567237798546206</v>
      </c>
      <c r="M26" s="22">
        <f t="shared" si="10"/>
        <v>0.45567237798546206</v>
      </c>
      <c r="N26" s="22">
        <f t="shared" si="10"/>
        <v>0.45567237798546206</v>
      </c>
      <c r="O26" s="22">
        <f t="shared" si="10"/>
        <v>0.39847301396483165</v>
      </c>
      <c r="P26" s="3"/>
      <c r="Q26" s="10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3" t="s">
        <v>39</v>
      </c>
      <c r="B27" s="3" t="s">
        <v>34</v>
      </c>
      <c r="C27" s="9">
        <v>3000</v>
      </c>
      <c r="D27" s="9">
        <v>3000</v>
      </c>
      <c r="E27" s="9">
        <v>3000</v>
      </c>
      <c r="F27" s="9">
        <v>3000</v>
      </c>
      <c r="G27" s="9">
        <v>3000</v>
      </c>
      <c r="H27" s="9">
        <v>3000</v>
      </c>
      <c r="I27" s="9">
        <v>3000</v>
      </c>
      <c r="J27" s="9">
        <v>3000</v>
      </c>
      <c r="K27" s="9">
        <v>3000</v>
      </c>
      <c r="L27" s="9">
        <v>3000</v>
      </c>
      <c r="M27" s="9">
        <v>3000</v>
      </c>
      <c r="N27" s="9">
        <v>3000</v>
      </c>
      <c r="O27" s="3">
        <f t="shared" ref="O27:O28" si="11">SUM(C27:N27)</f>
        <v>36000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3" t="s">
        <v>40</v>
      </c>
      <c r="B28" s="3" t="s">
        <v>34</v>
      </c>
      <c r="C28" s="23">
        <v>400</v>
      </c>
      <c r="D28" s="23">
        <v>400</v>
      </c>
      <c r="E28" s="23">
        <v>400</v>
      </c>
      <c r="F28" s="23">
        <v>400</v>
      </c>
      <c r="G28" s="23">
        <v>400</v>
      </c>
      <c r="H28" s="23">
        <v>400</v>
      </c>
      <c r="I28" s="23">
        <v>400</v>
      </c>
      <c r="J28" s="23">
        <v>400</v>
      </c>
      <c r="K28" s="23">
        <v>400</v>
      </c>
      <c r="L28" s="23">
        <v>400</v>
      </c>
      <c r="M28" s="23">
        <v>400</v>
      </c>
      <c r="N28" s="23">
        <v>400</v>
      </c>
      <c r="O28" s="20">
        <f t="shared" si="11"/>
        <v>4800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9" t="s">
        <v>41</v>
      </c>
      <c r="B30" s="19"/>
      <c r="C30" s="3">
        <f t="shared" ref="C30:O30" si="12">C25-C27-C28</f>
        <v>-767.54166666666606</v>
      </c>
      <c r="D30" s="3">
        <f t="shared" si="12"/>
        <v>827.35416666666788</v>
      </c>
      <c r="E30" s="3">
        <f t="shared" si="12"/>
        <v>2376.25</v>
      </c>
      <c r="F30" s="3">
        <f t="shared" si="12"/>
        <v>3925.1458333333321</v>
      </c>
      <c r="G30" s="3">
        <f t="shared" si="12"/>
        <v>5474.0416666666661</v>
      </c>
      <c r="H30" s="3">
        <f t="shared" si="12"/>
        <v>7022.9375</v>
      </c>
      <c r="I30" s="3">
        <f t="shared" si="12"/>
        <v>8571.8333333333321</v>
      </c>
      <c r="J30" s="3">
        <f t="shared" si="12"/>
        <v>10120.729166666664</v>
      </c>
      <c r="K30" s="3">
        <f t="shared" si="12"/>
        <v>11227.083333333332</v>
      </c>
      <c r="L30" s="3">
        <f t="shared" si="12"/>
        <v>11227.083333333332</v>
      </c>
      <c r="M30" s="3">
        <f t="shared" si="12"/>
        <v>11227.083333333332</v>
      </c>
      <c r="N30" s="3">
        <f t="shared" si="12"/>
        <v>11227.083333333332</v>
      </c>
      <c r="O30" s="3">
        <f t="shared" si="12"/>
        <v>82505.083333333372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9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24" t="s">
        <v>42</v>
      </c>
      <c r="B33" s="19"/>
      <c r="C33" s="3">
        <f t="shared" ref="C33:D33" si="13">C30</f>
        <v>-767.54166666666606</v>
      </c>
      <c r="D33" s="3">
        <f t="shared" si="13"/>
        <v>827.35416666666788</v>
      </c>
      <c r="E33" s="3">
        <f t="shared" ref="E33:O33" si="14">E30*(1-$C$10)</f>
        <v>2200.4075000000003</v>
      </c>
      <c r="F33" s="3">
        <f t="shared" si="14"/>
        <v>3634.6850416666657</v>
      </c>
      <c r="G33" s="3">
        <f t="shared" si="14"/>
        <v>5068.962583333333</v>
      </c>
      <c r="H33" s="3">
        <f t="shared" si="14"/>
        <v>6503.2401250000003</v>
      </c>
      <c r="I33" s="3">
        <f t="shared" si="14"/>
        <v>7937.5176666666657</v>
      </c>
      <c r="J33" s="3">
        <f t="shared" si="14"/>
        <v>9371.7952083333312</v>
      </c>
      <c r="K33" s="3">
        <f t="shared" si="14"/>
        <v>10396.279166666665</v>
      </c>
      <c r="L33" s="3">
        <f t="shared" si="14"/>
        <v>10396.279166666665</v>
      </c>
      <c r="M33" s="3">
        <f t="shared" si="14"/>
        <v>10396.279166666665</v>
      </c>
      <c r="N33" s="3">
        <f t="shared" si="14"/>
        <v>10396.279166666665</v>
      </c>
      <c r="O33" s="3">
        <f t="shared" si="14"/>
        <v>76399.707166666703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5" t="s">
        <v>43</v>
      </c>
      <c r="B34" s="19"/>
      <c r="C34" s="3">
        <f>'Monthly Year 1'!N33+C33</f>
        <v>-52440.316666666666</v>
      </c>
      <c r="D34" s="3">
        <f t="shared" ref="D34:N34" si="15">C34+D33</f>
        <v>-51612.962499999994</v>
      </c>
      <c r="E34" s="3">
        <f t="shared" si="15"/>
        <v>-49412.554999999993</v>
      </c>
      <c r="F34" s="3">
        <f t="shared" si="15"/>
        <v>-45777.869958333329</v>
      </c>
      <c r="G34" s="3">
        <f t="shared" si="15"/>
        <v>-40708.907374999995</v>
      </c>
      <c r="H34" s="3">
        <f t="shared" si="15"/>
        <v>-34205.667249999999</v>
      </c>
      <c r="I34" s="3">
        <f t="shared" si="15"/>
        <v>-26268.149583333332</v>
      </c>
      <c r="J34" s="3">
        <f t="shared" si="15"/>
        <v>-16896.354375000003</v>
      </c>
      <c r="K34" s="3">
        <f t="shared" si="15"/>
        <v>-6500.0752083333373</v>
      </c>
      <c r="L34" s="3">
        <f t="shared" si="15"/>
        <v>3896.203958333328</v>
      </c>
      <c r="M34" s="3">
        <f t="shared" si="15"/>
        <v>14292.483124999993</v>
      </c>
      <c r="N34" s="3">
        <f t="shared" si="15"/>
        <v>24688.762291666659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21" t="s">
        <v>44</v>
      </c>
      <c r="B36" s="21"/>
      <c r="C36" s="1">
        <f t="shared" ref="C36:O36" si="16">C33</f>
        <v>-767.54166666666606</v>
      </c>
      <c r="D36" s="1">
        <f t="shared" si="16"/>
        <v>827.35416666666788</v>
      </c>
      <c r="E36" s="1">
        <f t="shared" si="16"/>
        <v>2200.4075000000003</v>
      </c>
      <c r="F36" s="1">
        <f t="shared" si="16"/>
        <v>3634.6850416666657</v>
      </c>
      <c r="G36" s="1">
        <f t="shared" si="16"/>
        <v>5068.962583333333</v>
      </c>
      <c r="H36" s="1">
        <f t="shared" si="16"/>
        <v>6503.2401250000003</v>
      </c>
      <c r="I36" s="1">
        <f t="shared" si="16"/>
        <v>7937.5176666666657</v>
      </c>
      <c r="J36" s="1">
        <f t="shared" si="16"/>
        <v>9371.7952083333312</v>
      </c>
      <c r="K36" s="1">
        <f t="shared" si="16"/>
        <v>10396.279166666665</v>
      </c>
      <c r="L36" s="1">
        <f t="shared" si="16"/>
        <v>10396.279166666665</v>
      </c>
      <c r="M36" s="1">
        <f t="shared" si="16"/>
        <v>10396.279166666665</v>
      </c>
      <c r="N36" s="1">
        <f t="shared" si="16"/>
        <v>10396.279166666665</v>
      </c>
      <c r="O36" s="1">
        <f t="shared" si="16"/>
        <v>76399.707166666703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98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9"/>
      <c r="B41" s="19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26"/>
      <c r="B42" s="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26"/>
      <c r="B43" s="2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21"/>
      <c r="B45" s="2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"/>
      <c r="B46" s="1"/>
      <c r="C46" s="1"/>
      <c r="D46" s="1"/>
      <c r="E46" s="1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26"/>
      <c r="B48" s="2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19"/>
      <c r="B49" s="1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27"/>
      <c r="B51" s="2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"/>
      <c r="B52" s="1"/>
      <c r="C52" s="1"/>
      <c r="D52" s="1"/>
      <c r="E52" s="1"/>
      <c r="F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26"/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26"/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26"/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26"/>
      <c r="B57" s="2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26"/>
      <c r="B58" s="26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21"/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28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28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2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26"/>
      <c r="B68" s="2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21"/>
      <c r="B69" s="2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21"/>
      <c r="B71" s="2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98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2"/>
      <c r="B75" s="2"/>
      <c r="C75" s="2"/>
      <c r="D75" s="2"/>
      <c r="E75" s="2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26"/>
      <c r="B76" s="2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6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26"/>
      <c r="B77" s="26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26"/>
      <c r="B80" s="2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26"/>
      <c r="B81" s="2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26"/>
      <c r="B82" s="2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26"/>
      <c r="B83" s="2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26"/>
      <c r="B84" s="2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26"/>
      <c r="B85" s="26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21"/>
      <c r="B87" s="2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26"/>
      <c r="B90" s="2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26"/>
      <c r="B91" s="2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26"/>
      <c r="B92" s="2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26"/>
      <c r="B93" s="2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21"/>
      <c r="B96" s="2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21"/>
      <c r="B98" s="2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26"/>
      <c r="B100" s="2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21"/>
      <c r="B101" s="21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mergeCells count="3">
    <mergeCell ref="A13:O13"/>
    <mergeCell ref="A38:O38"/>
    <mergeCell ref="A73:O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workbookViewId="0"/>
  </sheetViews>
  <sheetFormatPr defaultColWidth="17.33203125" defaultRowHeight="15" customHeight="1"/>
  <cols>
    <col min="1" max="1" width="23.109375" customWidth="1"/>
    <col min="2" max="16" width="9.109375" customWidth="1"/>
    <col min="17" max="26" width="8" customWidth="1"/>
  </cols>
  <sheetData>
    <row r="1" spans="1:26" ht="12.75" customHeight="1">
      <c r="A1" s="9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32">
        <f ca="1">TODAY()</f>
        <v>42455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100" t="s">
        <v>0</v>
      </c>
      <c r="B4" s="101"/>
      <c r="C4" s="101"/>
      <c r="D4" s="101"/>
      <c r="E4" s="101"/>
      <c r="F4" s="10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"/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 t="s">
        <v>13</v>
      </c>
      <c r="B6" s="3">
        <f>SUM('Monthly Year 1'!C2:N2)</f>
        <v>2220</v>
      </c>
      <c r="C6" s="9">
        <f>'Monthly Year 2'!O2</f>
        <v>9640</v>
      </c>
      <c r="D6" s="9">
        <f t="shared" ref="D6:F6" si="0">C6*1.15</f>
        <v>11086</v>
      </c>
      <c r="E6" s="9">
        <f t="shared" si="0"/>
        <v>12748.9</v>
      </c>
      <c r="F6" s="9">
        <f t="shared" si="0"/>
        <v>14661.234999999999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 t="s">
        <v>14</v>
      </c>
      <c r="B7" s="9">
        <v>32.1</v>
      </c>
      <c r="C7" s="9">
        <v>32.1</v>
      </c>
      <c r="D7" s="9">
        <v>32.1</v>
      </c>
      <c r="E7" s="9">
        <v>32.1</v>
      </c>
      <c r="F7" s="9">
        <v>32.1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 t="s">
        <v>15</v>
      </c>
      <c r="B8" s="6">
        <v>3.05</v>
      </c>
      <c r="C8" s="6">
        <v>3.05</v>
      </c>
      <c r="D8" s="6">
        <v>3.05</v>
      </c>
      <c r="E8" s="6">
        <v>3.05</v>
      </c>
      <c r="F8" s="6">
        <v>3.05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 t="s">
        <v>16</v>
      </c>
      <c r="B9" s="6">
        <f>'Average Cost Calculations'!$H$9</f>
        <v>0.71291666666666675</v>
      </c>
      <c r="C9" s="6">
        <f>'Average Cost Calculations'!$H$9</f>
        <v>0.71291666666666675</v>
      </c>
      <c r="D9" s="6">
        <f>'Average Cost Calculations'!$H$9</f>
        <v>0.71291666666666675</v>
      </c>
      <c r="E9" s="6">
        <f>'Average Cost Calculations'!$H$9</f>
        <v>0.71291666666666675</v>
      </c>
      <c r="F9" s="6">
        <f>'Average Cost Calculations'!$H$9</f>
        <v>0.71291666666666675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3" t="s">
        <v>17</v>
      </c>
      <c r="B10" s="6">
        <v>3</v>
      </c>
      <c r="C10" s="6">
        <v>3</v>
      </c>
      <c r="D10" s="6">
        <v>3</v>
      </c>
      <c r="E10" s="6">
        <v>3</v>
      </c>
      <c r="F10" s="6">
        <v>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9" t="s">
        <v>53</v>
      </c>
      <c r="B11" s="11">
        <v>0.05</v>
      </c>
      <c r="C11" s="11">
        <v>0.05</v>
      </c>
      <c r="D11" s="11">
        <v>0.05</v>
      </c>
      <c r="E11" s="11">
        <v>0.05</v>
      </c>
      <c r="F11" s="11">
        <v>0.05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 t="s">
        <v>54</v>
      </c>
      <c r="B12" s="31">
        <v>90000</v>
      </c>
      <c r="C12" s="31">
        <v>90000</v>
      </c>
      <c r="D12" s="31">
        <v>120000</v>
      </c>
      <c r="E12" s="31">
        <v>120000</v>
      </c>
      <c r="F12" s="31">
        <v>120000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 t="s">
        <v>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3" t="s">
        <v>21</v>
      </c>
      <c r="B14" s="11">
        <v>7.3999999999999996E-2</v>
      </c>
      <c r="C14" s="11">
        <v>7.3999999999999996E-2</v>
      </c>
      <c r="D14" s="11">
        <v>7.3999999999999996E-2</v>
      </c>
      <c r="E14" s="11">
        <v>7.3999999999999996E-2</v>
      </c>
      <c r="F14" s="11">
        <v>7.3999999999999996E-2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 t="s">
        <v>22</v>
      </c>
      <c r="B15" s="9">
        <v>6</v>
      </c>
      <c r="C15" s="9">
        <v>8</v>
      </c>
      <c r="D15" s="9">
        <v>10</v>
      </c>
      <c r="E15" s="9">
        <v>12</v>
      </c>
      <c r="F15" s="9">
        <v>12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100" t="s">
        <v>23</v>
      </c>
      <c r="B17" s="101"/>
      <c r="C17" s="101"/>
      <c r="D17" s="101"/>
      <c r="E17" s="101"/>
      <c r="F17" s="10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13" t="s">
        <v>48</v>
      </c>
      <c r="C18" s="13" t="s">
        <v>49</v>
      </c>
      <c r="D18" s="13" t="s">
        <v>50</v>
      </c>
      <c r="E18" s="13" t="s">
        <v>51</v>
      </c>
      <c r="F18" s="13" t="s">
        <v>52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5" t="s">
        <v>25</v>
      </c>
      <c r="B20" s="3">
        <f>+'Monthly Year 1'!O15</f>
        <v>71262</v>
      </c>
      <c r="C20" s="3">
        <f>C6*B7</f>
        <v>309444</v>
      </c>
      <c r="D20" s="3">
        <f t="shared" ref="D20:F20" si="1">D6*D7</f>
        <v>355860.60000000003</v>
      </c>
      <c r="E20" s="3">
        <f t="shared" si="1"/>
        <v>409239.69</v>
      </c>
      <c r="F20" s="3">
        <f t="shared" si="1"/>
        <v>470625.64350000001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5" t="s">
        <v>29</v>
      </c>
      <c r="B22" s="3">
        <f>+'Monthly Year 1'!O18</f>
        <v>6771</v>
      </c>
      <c r="C22" s="3">
        <f>C6*B8</f>
        <v>29402</v>
      </c>
      <c r="D22" s="3">
        <f t="shared" ref="D22:F22" si="2">D6*D8</f>
        <v>33812.299999999996</v>
      </c>
      <c r="E22" s="3">
        <f t="shared" si="2"/>
        <v>38884.144999999997</v>
      </c>
      <c r="F22" s="3">
        <f t="shared" si="2"/>
        <v>44716.766749999995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5" t="s">
        <v>55</v>
      </c>
      <c r="B23" s="3">
        <f>+'Monthly Year 1'!O19</f>
        <v>1582.6750000000002</v>
      </c>
      <c r="C23" s="3">
        <f>B9*C6</f>
        <v>6872.5166666666673</v>
      </c>
      <c r="D23" s="3">
        <f t="shared" ref="D23:F23" si="3">+D9*D6</f>
        <v>7903.3941666666678</v>
      </c>
      <c r="E23" s="3">
        <f t="shared" si="3"/>
        <v>9088.9032916666674</v>
      </c>
      <c r="F23" s="3">
        <f t="shared" si="3"/>
        <v>10452.238785416666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5" t="s">
        <v>56</v>
      </c>
      <c r="B24" s="3">
        <f>+'Monthly Year 1'!O20</f>
        <v>6660</v>
      </c>
      <c r="C24" s="3">
        <f>B10*C6</f>
        <v>28920</v>
      </c>
      <c r="D24" s="3">
        <f t="shared" ref="D24:F24" si="4">+D10*D6</f>
        <v>33258</v>
      </c>
      <c r="E24" s="3">
        <f t="shared" si="4"/>
        <v>38246.699999999997</v>
      </c>
      <c r="F24" s="3">
        <f t="shared" si="4"/>
        <v>43983.704999999994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5" t="s">
        <v>33</v>
      </c>
      <c r="B25" s="3">
        <f>+'Monthly Year 1'!O21</f>
        <v>90000</v>
      </c>
      <c r="C25" s="3">
        <f>B12</f>
        <v>90000</v>
      </c>
      <c r="D25" s="3">
        <f>D12</f>
        <v>120000</v>
      </c>
      <c r="E25" s="3">
        <f>+E12</f>
        <v>120000</v>
      </c>
      <c r="F25" s="3">
        <f>E12</f>
        <v>120000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7" t="s">
        <v>35</v>
      </c>
      <c r="B26" s="3">
        <f>'Monthly Year 1'!O22</f>
        <v>2921.1</v>
      </c>
      <c r="C26" s="3">
        <f>'Monthly Year 2'!O23</f>
        <v>30944.400000000001</v>
      </c>
      <c r="D26" s="3">
        <f t="shared" ref="D26:F26" si="5">0.1*D20</f>
        <v>35586.060000000005</v>
      </c>
      <c r="E26" s="3">
        <f t="shared" si="5"/>
        <v>40923.969000000005</v>
      </c>
      <c r="F26" s="3">
        <f t="shared" si="5"/>
        <v>47062.564350000001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9" t="s">
        <v>36</v>
      </c>
      <c r="B27" s="20">
        <f t="shared" ref="B27:F27" si="6">SUM(B22:B26)</f>
        <v>107934.77500000001</v>
      </c>
      <c r="C27" s="20">
        <f t="shared" si="6"/>
        <v>186138.91666666666</v>
      </c>
      <c r="D27" s="20">
        <f t="shared" si="6"/>
        <v>230559.75416666665</v>
      </c>
      <c r="E27" s="20">
        <f t="shared" si="6"/>
        <v>247143.71729166669</v>
      </c>
      <c r="F27" s="20">
        <f t="shared" si="6"/>
        <v>266215.27488541667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21" t="s">
        <v>57</v>
      </c>
      <c r="B28" s="1">
        <f t="shared" ref="B28:F28" si="7">B20-B27</f>
        <v>-36672.775000000009</v>
      </c>
      <c r="C28" s="1">
        <f t="shared" si="7"/>
        <v>123305.08333333334</v>
      </c>
      <c r="D28" s="1">
        <f t="shared" si="7"/>
        <v>125300.84583333338</v>
      </c>
      <c r="E28" s="1">
        <f t="shared" si="7"/>
        <v>162095.97270833331</v>
      </c>
      <c r="F28" s="1">
        <f t="shared" si="7"/>
        <v>204410.36861458333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 t="s">
        <v>39</v>
      </c>
      <c r="B30" s="3">
        <f>'Monthly Year 1'!O26</f>
        <v>13200</v>
      </c>
      <c r="C30" s="3">
        <f>'Monthly Year 2'!O27</f>
        <v>36000</v>
      </c>
      <c r="D30" s="9">
        <v>38000</v>
      </c>
      <c r="E30" s="9">
        <v>42000</v>
      </c>
      <c r="F30" s="9">
        <v>45000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3" t="s">
        <v>40</v>
      </c>
      <c r="B31" s="3">
        <f>'Monthly Year 1'!O27</f>
        <v>1800</v>
      </c>
      <c r="C31" s="3">
        <f>'Monthly Year 2'!O28</f>
        <v>4800</v>
      </c>
      <c r="D31" s="9">
        <v>5200</v>
      </c>
      <c r="E31" s="9">
        <v>6000</v>
      </c>
      <c r="F31" s="9">
        <v>8000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9" t="s">
        <v>41</v>
      </c>
      <c r="B33" s="3">
        <f t="shared" ref="B33:F33" si="8">B28-B30-B31</f>
        <v>-51672.775000000009</v>
      </c>
      <c r="C33" s="3">
        <f t="shared" si="8"/>
        <v>82505.083333333343</v>
      </c>
      <c r="D33" s="3">
        <f t="shared" si="8"/>
        <v>82100.845833333384</v>
      </c>
      <c r="E33" s="3">
        <f t="shared" si="8"/>
        <v>114095.97270833331</v>
      </c>
      <c r="F33" s="3">
        <f t="shared" si="8"/>
        <v>151410.36861458333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21" t="s">
        <v>44</v>
      </c>
      <c r="B36" s="1">
        <f>B33</f>
        <v>-51672.775000000009</v>
      </c>
      <c r="C36" s="1">
        <f t="shared" ref="C36:F36" si="9">C33*0.926</f>
        <v>76399.707166666674</v>
      </c>
      <c r="D36" s="1">
        <f t="shared" si="9"/>
        <v>76025.383241666714</v>
      </c>
      <c r="E36" s="1">
        <f t="shared" si="9"/>
        <v>105652.87072791666</v>
      </c>
      <c r="F36" s="1">
        <f t="shared" si="9"/>
        <v>140206.00133710419</v>
      </c>
      <c r="G36" s="1">
        <f>SUM(B36:F36)</f>
        <v>346611.18747335422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98"/>
      <c r="B38" s="99"/>
      <c r="C38" s="99"/>
      <c r="D38" s="99"/>
      <c r="E38" s="99"/>
      <c r="F38" s="9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3"/>
      <c r="B39" s="2"/>
      <c r="C39" s="2"/>
      <c r="D39" s="2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9"/>
      <c r="B41" s="25"/>
      <c r="C41" s="25"/>
      <c r="D41" s="25"/>
      <c r="E41" s="25"/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26"/>
      <c r="B42" s="3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26"/>
      <c r="B43" s="3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3"/>
      <c r="B44" s="3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21"/>
      <c r="B45" s="34"/>
      <c r="C45" s="1"/>
      <c r="D45" s="1"/>
      <c r="E45" s="1"/>
      <c r="F45" s="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"/>
      <c r="B46" s="1"/>
      <c r="C46" s="1"/>
      <c r="D46" s="1"/>
      <c r="E46" s="1"/>
      <c r="F46" s="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26"/>
      <c r="B48" s="3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19"/>
      <c r="B49" s="3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27"/>
      <c r="B51" s="1"/>
      <c r="C51" s="1"/>
      <c r="D51" s="1"/>
      <c r="E51" s="1"/>
      <c r="F51" s="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"/>
      <c r="B52" s="1"/>
      <c r="C52" s="1"/>
      <c r="D52" s="1"/>
      <c r="E52" s="1"/>
      <c r="F52" s="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2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2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2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26"/>
      <c r="B58" s="3"/>
      <c r="C58" s="20"/>
      <c r="D58" s="20"/>
      <c r="E58" s="20"/>
      <c r="F58" s="2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21"/>
      <c r="B59" s="1"/>
      <c r="C59" s="1"/>
      <c r="D59" s="1"/>
      <c r="E59" s="1"/>
      <c r="F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29"/>
      <c r="B66" s="29"/>
      <c r="C66" s="29"/>
      <c r="D66" s="29"/>
      <c r="E66" s="29"/>
      <c r="F66" s="2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2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21"/>
      <c r="B68" s="1"/>
      <c r="C68" s="1"/>
      <c r="D68" s="1"/>
      <c r="E68" s="1"/>
      <c r="F68" s="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2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98"/>
      <c r="B72" s="99"/>
      <c r="C72" s="99"/>
      <c r="D72" s="99"/>
      <c r="E72" s="99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2"/>
      <c r="B73" s="2"/>
      <c r="C73" s="2"/>
      <c r="D73" s="2"/>
      <c r="E73" s="2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2"/>
      <c r="B74" s="2"/>
      <c r="C74" s="2"/>
      <c r="D74" s="2"/>
      <c r="E74" s="2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2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26"/>
      <c r="B76" s="20"/>
      <c r="C76" s="20"/>
      <c r="D76" s="20"/>
      <c r="E76" s="20"/>
      <c r="F76" s="2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2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2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2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2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2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26"/>
      <c r="B84" s="20"/>
      <c r="C84" s="20"/>
      <c r="D84" s="20"/>
      <c r="E84" s="20"/>
      <c r="F84" s="2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21"/>
      <c r="B86" s="1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2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2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2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20"/>
      <c r="C92" s="20"/>
      <c r="D92" s="20"/>
      <c r="E92" s="20"/>
      <c r="F92" s="2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2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2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2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21"/>
      <c r="B99" s="30"/>
      <c r="C99" s="30"/>
      <c r="D99" s="30"/>
      <c r="E99" s="30"/>
      <c r="F99" s="3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mergeCells count="4">
    <mergeCell ref="A4:F4"/>
    <mergeCell ref="A17:F17"/>
    <mergeCell ref="A38:F38"/>
    <mergeCell ref="A72:E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7.33203125" defaultRowHeight="15" customHeight="1"/>
  <cols>
    <col min="1" max="2" width="8.6640625" customWidth="1"/>
    <col min="3" max="3" width="18.44140625" customWidth="1"/>
    <col min="4" max="4" width="19.6640625" customWidth="1"/>
    <col min="5" max="5" width="15.6640625" customWidth="1"/>
    <col min="6" max="6" width="8.6640625" customWidth="1"/>
    <col min="7" max="7" width="16.44140625" customWidth="1"/>
    <col min="8" max="8" width="12.33203125" customWidth="1"/>
    <col min="9" max="9" width="16.109375" customWidth="1"/>
    <col min="10" max="10" width="11.44140625" customWidth="1"/>
    <col min="11" max="27" width="8.6640625" customWidth="1"/>
  </cols>
  <sheetData>
    <row r="1" spans="1:27" ht="15" customHeight="1">
      <c r="A1" s="35"/>
      <c r="B1" s="36" t="s">
        <v>58</v>
      </c>
      <c r="C1" s="37"/>
      <c r="D1" s="37"/>
      <c r="E1" s="37"/>
      <c r="F1" s="38"/>
      <c r="G1" s="37"/>
      <c r="H1" s="35"/>
      <c r="I1" s="35"/>
      <c r="J1" s="35"/>
      <c r="K1" s="35"/>
      <c r="L1" s="35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5" customHeight="1">
      <c r="A2" s="35"/>
      <c r="B2" s="39"/>
      <c r="C2" s="37"/>
      <c r="D2" s="37"/>
      <c r="E2" s="37"/>
      <c r="F2" s="38"/>
      <c r="G2" s="37"/>
      <c r="H2" s="35"/>
      <c r="I2" s="35"/>
      <c r="J2" s="35"/>
      <c r="K2" s="35"/>
      <c r="L2" s="35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" customHeight="1">
      <c r="A3" s="35"/>
      <c r="B3" s="40" t="s">
        <v>59</v>
      </c>
      <c r="C3" s="41"/>
      <c r="D3" s="35"/>
      <c r="E3" s="42" t="s">
        <v>60</v>
      </c>
      <c r="F3" s="35"/>
      <c r="G3" s="35"/>
      <c r="H3" s="35"/>
      <c r="I3" s="35"/>
      <c r="J3" s="35"/>
      <c r="K3" s="35"/>
      <c r="L3" s="35"/>
      <c r="M3" s="28" t="s">
        <v>61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2.75" customHeight="1">
      <c r="A4" s="35"/>
      <c r="B4" s="35"/>
      <c r="C4" s="35"/>
      <c r="D4" s="43"/>
      <c r="E4" s="42" t="s">
        <v>62</v>
      </c>
      <c r="F4" s="35"/>
      <c r="G4" s="35"/>
      <c r="H4" s="35"/>
      <c r="I4" s="35"/>
      <c r="J4" s="35"/>
      <c r="K4" s="35"/>
      <c r="L4" s="35"/>
      <c r="M4" s="28" t="s">
        <v>63</v>
      </c>
      <c r="N4" s="28" t="s">
        <v>64</v>
      </c>
      <c r="O4" s="28" t="s">
        <v>65</v>
      </c>
      <c r="P4" s="28" t="s">
        <v>66</v>
      </c>
      <c r="Q4" s="28" t="s">
        <v>67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2.75" customHeight="1">
      <c r="A5" s="35"/>
      <c r="B5" s="35"/>
      <c r="C5" s="35"/>
      <c r="D5" s="43"/>
      <c r="E5" s="43"/>
      <c r="F5" s="35"/>
      <c r="G5" s="35"/>
      <c r="H5" s="35"/>
      <c r="I5" s="35"/>
      <c r="J5" s="35"/>
      <c r="K5" s="35"/>
      <c r="L5" s="35"/>
      <c r="M5" s="28">
        <v>0</v>
      </c>
      <c r="N5" s="44">
        <f t="shared" ref="N5:N20" si="0">M5*$E$8</f>
        <v>0</v>
      </c>
      <c r="O5" s="44">
        <f t="shared" ref="O5:O20" si="1">M5*$E$9</f>
        <v>0</v>
      </c>
      <c r="P5" s="44">
        <f t="shared" ref="P5:P20" si="2">$E$11</f>
        <v>130800</v>
      </c>
      <c r="Q5" s="44">
        <f t="shared" ref="Q5:Q20" si="3">P5+O5</f>
        <v>130800</v>
      </c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2.75" customHeight="1">
      <c r="A6" s="35"/>
      <c r="B6" s="45" t="s">
        <v>0</v>
      </c>
      <c r="C6" s="46"/>
      <c r="D6" s="46"/>
      <c r="E6" s="47"/>
      <c r="F6" s="35"/>
      <c r="G6" s="45" t="s">
        <v>68</v>
      </c>
      <c r="H6" s="46"/>
      <c r="I6" s="46"/>
      <c r="J6" s="47"/>
      <c r="K6" s="35"/>
      <c r="L6" s="35"/>
      <c r="M6" s="28">
        <v>100</v>
      </c>
      <c r="N6" s="44">
        <f t="shared" si="0"/>
        <v>3210</v>
      </c>
      <c r="O6" s="44">
        <f t="shared" si="1"/>
        <v>997.29166666666663</v>
      </c>
      <c r="P6" s="44">
        <f t="shared" si="2"/>
        <v>130800</v>
      </c>
      <c r="Q6" s="44">
        <f t="shared" si="3"/>
        <v>131797.29166666666</v>
      </c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2.75" customHeight="1">
      <c r="A7" s="35"/>
      <c r="B7" s="48" t="s">
        <v>69</v>
      </c>
      <c r="C7" s="35"/>
      <c r="D7" s="35"/>
      <c r="E7" s="49"/>
      <c r="F7" s="35"/>
      <c r="G7" s="48" t="s">
        <v>69</v>
      </c>
      <c r="H7" s="35"/>
      <c r="I7" s="35"/>
      <c r="J7" s="49"/>
      <c r="K7" s="35"/>
      <c r="L7" s="35"/>
      <c r="M7" s="28">
        <v>200</v>
      </c>
      <c r="N7" s="44">
        <f t="shared" si="0"/>
        <v>6420</v>
      </c>
      <c r="O7" s="44">
        <f t="shared" si="1"/>
        <v>1994.5833333333333</v>
      </c>
      <c r="P7" s="44">
        <f t="shared" si="2"/>
        <v>130800</v>
      </c>
      <c r="Q7" s="44">
        <f t="shared" si="3"/>
        <v>132794.58333333334</v>
      </c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2.75" customHeight="1">
      <c r="A8" s="35"/>
      <c r="B8" s="50" t="s">
        <v>70</v>
      </c>
      <c r="C8" s="51"/>
      <c r="D8" s="51"/>
      <c r="E8" s="52">
        <f>'Monthly Year 1'!C3</f>
        <v>32.1</v>
      </c>
      <c r="F8" s="35"/>
      <c r="G8" s="50" t="s">
        <v>70</v>
      </c>
      <c r="H8" s="51"/>
      <c r="I8" s="51"/>
      <c r="J8" s="52">
        <f>E8</f>
        <v>32.1</v>
      </c>
      <c r="K8" s="35"/>
      <c r="L8" s="35"/>
      <c r="M8" s="28">
        <v>300</v>
      </c>
      <c r="N8" s="44">
        <f t="shared" si="0"/>
        <v>9630</v>
      </c>
      <c r="O8" s="44">
        <f t="shared" si="1"/>
        <v>2991.875</v>
      </c>
      <c r="P8" s="44">
        <f t="shared" si="2"/>
        <v>130800</v>
      </c>
      <c r="Q8" s="44">
        <f t="shared" si="3"/>
        <v>133791.875</v>
      </c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2.75" customHeight="1">
      <c r="A9" s="35"/>
      <c r="B9" s="50" t="s">
        <v>71</v>
      </c>
      <c r="C9" s="51"/>
      <c r="D9" s="51"/>
      <c r="E9" s="52">
        <f>'Monthly Year 2'!C4+'Monthly Year 2'!C5+'Monthly Year 2'!C6+'Monthly Year 2'!C7</f>
        <v>9.9729166666666664</v>
      </c>
      <c r="F9" s="35"/>
      <c r="G9" s="50" t="s">
        <v>71</v>
      </c>
      <c r="H9" s="51"/>
      <c r="I9" s="51"/>
      <c r="J9" s="52">
        <f>+E9</f>
        <v>9.9729166666666664</v>
      </c>
      <c r="K9" s="35"/>
      <c r="L9" s="35"/>
      <c r="M9" s="28">
        <v>400</v>
      </c>
      <c r="N9" s="44">
        <f t="shared" si="0"/>
        <v>12840</v>
      </c>
      <c r="O9" s="44">
        <f t="shared" si="1"/>
        <v>3989.1666666666665</v>
      </c>
      <c r="P9" s="44">
        <f t="shared" si="2"/>
        <v>130800</v>
      </c>
      <c r="Q9" s="44">
        <f t="shared" si="3"/>
        <v>134789.16666666666</v>
      </c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2.75" customHeight="1">
      <c r="A10" s="35"/>
      <c r="B10" s="50" t="s">
        <v>69</v>
      </c>
      <c r="C10" s="51"/>
      <c r="D10" s="51"/>
      <c r="E10" s="53">
        <f>E8-E9</f>
        <v>22.127083333333335</v>
      </c>
      <c r="F10" s="35"/>
      <c r="G10" s="50" t="s">
        <v>69</v>
      </c>
      <c r="H10" s="51"/>
      <c r="I10" s="51"/>
      <c r="J10" s="53">
        <f>+J8-J9</f>
        <v>22.127083333333335</v>
      </c>
      <c r="K10" s="35"/>
      <c r="L10" s="35"/>
      <c r="M10" s="28">
        <v>500</v>
      </c>
      <c r="N10" s="44">
        <f t="shared" si="0"/>
        <v>16050</v>
      </c>
      <c r="O10" s="44">
        <f t="shared" si="1"/>
        <v>4986.458333333333</v>
      </c>
      <c r="P10" s="44">
        <f t="shared" si="2"/>
        <v>130800</v>
      </c>
      <c r="Q10" s="44">
        <f t="shared" si="3"/>
        <v>135786.45833333334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2.75" customHeight="1">
      <c r="A11" s="35"/>
      <c r="B11" s="54" t="s">
        <v>72</v>
      </c>
      <c r="C11" s="51"/>
      <c r="D11" s="51"/>
      <c r="E11" s="52">
        <f>'Monthly Year 2'!O22+'Monthly Year 2'!O27+'Monthly Year 2'!O28</f>
        <v>130800</v>
      </c>
      <c r="F11" s="35"/>
      <c r="G11" s="54" t="s">
        <v>72</v>
      </c>
      <c r="H11" s="51"/>
      <c r="I11" s="51"/>
      <c r="J11" s="52">
        <f>+E11</f>
        <v>130800</v>
      </c>
      <c r="K11" s="35"/>
      <c r="L11" s="35"/>
      <c r="M11" s="28">
        <v>600</v>
      </c>
      <c r="N11" s="44">
        <f t="shared" si="0"/>
        <v>19260</v>
      </c>
      <c r="O11" s="44">
        <f t="shared" si="1"/>
        <v>5983.75</v>
      </c>
      <c r="P11" s="44">
        <f t="shared" si="2"/>
        <v>130800</v>
      </c>
      <c r="Q11" s="44">
        <f t="shared" si="3"/>
        <v>136783.75</v>
      </c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2.75" customHeight="1">
      <c r="A12" s="35"/>
      <c r="B12" s="54" t="s">
        <v>73</v>
      </c>
      <c r="C12" s="51"/>
      <c r="D12" s="51"/>
      <c r="E12" s="55">
        <f>E11/E10</f>
        <v>5911.3077864607849</v>
      </c>
      <c r="F12" s="35"/>
      <c r="G12" s="54" t="s">
        <v>73</v>
      </c>
      <c r="H12" s="51"/>
      <c r="I12" s="51"/>
      <c r="J12" s="56">
        <f>J11/J10</f>
        <v>5911.3077864607849</v>
      </c>
      <c r="K12" s="35"/>
      <c r="L12" s="35"/>
      <c r="M12" s="28">
        <v>700</v>
      </c>
      <c r="N12" s="44">
        <f t="shared" si="0"/>
        <v>22470</v>
      </c>
      <c r="O12" s="44">
        <f t="shared" si="1"/>
        <v>6981.0416666666661</v>
      </c>
      <c r="P12" s="44">
        <f t="shared" si="2"/>
        <v>130800</v>
      </c>
      <c r="Q12" s="44">
        <f t="shared" si="3"/>
        <v>137781.04166666666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2.75" customHeight="1">
      <c r="A13" s="35"/>
      <c r="B13" s="57" t="s">
        <v>74</v>
      </c>
      <c r="C13" s="58"/>
      <c r="D13" s="58"/>
      <c r="E13" s="59">
        <v>0.25</v>
      </c>
      <c r="F13" s="35"/>
      <c r="G13" s="57" t="s">
        <v>75</v>
      </c>
      <c r="H13" s="58"/>
      <c r="I13" s="58"/>
      <c r="J13" s="59">
        <v>0.05</v>
      </c>
      <c r="K13" s="35"/>
      <c r="L13" s="35"/>
      <c r="M13" s="28">
        <v>800</v>
      </c>
      <c r="N13" s="44">
        <f t="shared" si="0"/>
        <v>25680</v>
      </c>
      <c r="O13" s="44">
        <f t="shared" si="1"/>
        <v>7978.333333333333</v>
      </c>
      <c r="P13" s="44">
        <f t="shared" si="2"/>
        <v>130800</v>
      </c>
      <c r="Q13" s="44">
        <f t="shared" si="3"/>
        <v>138778.33333333334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2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28">
        <v>900</v>
      </c>
      <c r="N14" s="44">
        <f t="shared" si="0"/>
        <v>28890</v>
      </c>
      <c r="O14" s="44">
        <f t="shared" si="1"/>
        <v>8975.625</v>
      </c>
      <c r="P14" s="44">
        <f t="shared" si="2"/>
        <v>130800</v>
      </c>
      <c r="Q14" s="44">
        <f t="shared" si="3"/>
        <v>139775.625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2.75" customHeight="1">
      <c r="A15" s="35"/>
      <c r="B15" s="60" t="s">
        <v>76</v>
      </c>
      <c r="C15" s="61"/>
      <c r="D15" s="61"/>
      <c r="E15" s="62">
        <f>E13</f>
        <v>0.25</v>
      </c>
      <c r="F15" s="35"/>
      <c r="G15" s="60" t="s">
        <v>77</v>
      </c>
      <c r="H15" s="61"/>
      <c r="I15" s="61"/>
      <c r="J15" s="62">
        <f>J13</f>
        <v>0.05</v>
      </c>
      <c r="K15" s="35"/>
      <c r="L15" s="35"/>
      <c r="M15" s="28">
        <v>1000</v>
      </c>
      <c r="N15" s="44">
        <f t="shared" si="0"/>
        <v>32100</v>
      </c>
      <c r="O15" s="44">
        <f t="shared" si="1"/>
        <v>9972.9166666666661</v>
      </c>
      <c r="P15" s="44">
        <f t="shared" si="2"/>
        <v>130800</v>
      </c>
      <c r="Q15" s="44">
        <f t="shared" si="3"/>
        <v>140772.91666666666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2.75" customHeight="1">
      <c r="A16" s="35"/>
      <c r="B16" s="63"/>
      <c r="C16" s="35"/>
      <c r="D16" s="35"/>
      <c r="E16" s="49"/>
      <c r="F16" s="35"/>
      <c r="G16" s="63"/>
      <c r="H16" s="35"/>
      <c r="I16" s="35"/>
      <c r="J16" s="49"/>
      <c r="K16" s="35"/>
      <c r="L16" s="35"/>
      <c r="M16" s="64">
        <v>2000</v>
      </c>
      <c r="N16" s="44">
        <f t="shared" si="0"/>
        <v>64200</v>
      </c>
      <c r="O16" s="44">
        <f t="shared" si="1"/>
        <v>19945.833333333332</v>
      </c>
      <c r="P16" s="44">
        <f t="shared" si="2"/>
        <v>130800</v>
      </c>
      <c r="Q16" s="44">
        <f t="shared" si="3"/>
        <v>150745.83333333334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2.75" customHeight="1">
      <c r="A17" s="35"/>
      <c r="B17" s="65" t="s">
        <v>63</v>
      </c>
      <c r="C17" s="66" t="s">
        <v>78</v>
      </c>
      <c r="D17" s="66" t="s">
        <v>79</v>
      </c>
      <c r="E17" s="67" t="s">
        <v>80</v>
      </c>
      <c r="F17" s="68"/>
      <c r="G17" s="65" t="s">
        <v>81</v>
      </c>
      <c r="H17" s="66" t="s">
        <v>78</v>
      </c>
      <c r="I17" s="66" t="s">
        <v>63</v>
      </c>
      <c r="J17" s="67" t="s">
        <v>82</v>
      </c>
      <c r="K17" s="35"/>
      <c r="L17" s="35"/>
      <c r="M17" s="64">
        <v>3000</v>
      </c>
      <c r="N17" s="44">
        <f t="shared" si="0"/>
        <v>96300</v>
      </c>
      <c r="O17" s="44">
        <f t="shared" si="1"/>
        <v>29918.75</v>
      </c>
      <c r="P17" s="44">
        <f t="shared" si="2"/>
        <v>130800</v>
      </c>
      <c r="Q17" s="44">
        <f t="shared" si="3"/>
        <v>160718.75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2.75" customHeight="1">
      <c r="A18" s="35"/>
      <c r="B18" s="69">
        <f>E12</f>
        <v>5911.3077864607849</v>
      </c>
      <c r="C18" s="35"/>
      <c r="D18" s="70">
        <f t="shared" ref="D18:D23" si="4">B18*$E$10-$E$11</f>
        <v>0</v>
      </c>
      <c r="E18" s="49"/>
      <c r="F18" s="35"/>
      <c r="G18" s="71">
        <f>$J$8</f>
        <v>32.1</v>
      </c>
      <c r="H18" s="35"/>
      <c r="I18" s="70">
        <f t="shared" ref="I18:I23" si="5">$J$11/(G18-$J$9)</f>
        <v>5911.3077864607849</v>
      </c>
      <c r="J18" s="49"/>
      <c r="K18" s="35"/>
      <c r="L18" s="35"/>
      <c r="M18" s="64">
        <v>4000</v>
      </c>
      <c r="N18" s="44">
        <f t="shared" si="0"/>
        <v>128400</v>
      </c>
      <c r="O18" s="44">
        <f t="shared" si="1"/>
        <v>39891.666666666664</v>
      </c>
      <c r="P18" s="44">
        <f t="shared" si="2"/>
        <v>130800</v>
      </c>
      <c r="Q18" s="44">
        <f t="shared" si="3"/>
        <v>170691.66666666666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2.75" customHeight="1">
      <c r="A19" s="35"/>
      <c r="B19" s="69">
        <f t="shared" ref="B19:B23" si="6">B18*(1+C19)</f>
        <v>7389.1347330759809</v>
      </c>
      <c r="C19" s="72">
        <f t="shared" ref="C19:C23" si="7">$E$15</f>
        <v>0.25</v>
      </c>
      <c r="D19" s="70">
        <f t="shared" si="4"/>
        <v>32700</v>
      </c>
      <c r="E19" s="73"/>
      <c r="F19" s="35"/>
      <c r="G19" s="71">
        <f t="shared" ref="G19:G23" si="8">G18*(1+H19)</f>
        <v>33.705000000000005</v>
      </c>
      <c r="H19" s="72">
        <f t="shared" ref="H19:H23" si="9">$J$13</f>
        <v>0.05</v>
      </c>
      <c r="I19" s="70">
        <f t="shared" si="5"/>
        <v>5511.5262390926473</v>
      </c>
      <c r="J19" s="73"/>
      <c r="K19" s="35"/>
      <c r="L19" s="35"/>
      <c r="M19" s="64">
        <v>6000</v>
      </c>
      <c r="N19" s="44">
        <f t="shared" si="0"/>
        <v>192600</v>
      </c>
      <c r="O19" s="44">
        <f t="shared" si="1"/>
        <v>59837.5</v>
      </c>
      <c r="P19" s="44">
        <f t="shared" si="2"/>
        <v>130800</v>
      </c>
      <c r="Q19" s="44">
        <f t="shared" si="3"/>
        <v>190637.5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2.75" customHeight="1">
      <c r="A20" s="35"/>
      <c r="B20" s="69">
        <f t="shared" si="6"/>
        <v>9236.4184163449754</v>
      </c>
      <c r="C20" s="72">
        <f t="shared" si="7"/>
        <v>0.25</v>
      </c>
      <c r="D20" s="70">
        <f t="shared" si="4"/>
        <v>73574.999999999971</v>
      </c>
      <c r="E20" s="73">
        <f t="shared" ref="E20:E23" si="10">(D20-D19)/D19</f>
        <v>1.2499999999999991</v>
      </c>
      <c r="F20" s="35"/>
      <c r="G20" s="71">
        <f t="shared" si="8"/>
        <v>35.390250000000009</v>
      </c>
      <c r="H20" s="72">
        <f t="shared" si="9"/>
        <v>0.05</v>
      </c>
      <c r="I20" s="70">
        <f t="shared" si="5"/>
        <v>5146.094528668099</v>
      </c>
      <c r="J20" s="73">
        <f t="shared" ref="J20:J23" si="11">(I20-I19)/I19</f>
        <v>-6.6303178933011617E-2</v>
      </c>
      <c r="K20" s="35"/>
      <c r="L20" s="35"/>
      <c r="M20" s="64">
        <v>8000</v>
      </c>
      <c r="N20" s="44">
        <f t="shared" si="0"/>
        <v>256800</v>
      </c>
      <c r="O20" s="44">
        <f t="shared" si="1"/>
        <v>79783.333333333328</v>
      </c>
      <c r="P20" s="44">
        <f t="shared" si="2"/>
        <v>130800</v>
      </c>
      <c r="Q20" s="44">
        <f t="shared" si="3"/>
        <v>210583.33333333331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2.75" customHeight="1">
      <c r="A21" s="35"/>
      <c r="B21" s="69">
        <f t="shared" si="6"/>
        <v>11545.523020431219</v>
      </c>
      <c r="C21" s="72">
        <f t="shared" si="7"/>
        <v>0.25</v>
      </c>
      <c r="D21" s="70">
        <f t="shared" si="4"/>
        <v>124668.74999999997</v>
      </c>
      <c r="E21" s="73">
        <f t="shared" si="10"/>
        <v>0.69444444444444475</v>
      </c>
      <c r="F21" s="35"/>
      <c r="G21" s="71">
        <f t="shared" si="8"/>
        <v>37.159762500000014</v>
      </c>
      <c r="H21" s="72">
        <f t="shared" si="9"/>
        <v>0.05</v>
      </c>
      <c r="I21" s="70">
        <f t="shared" si="5"/>
        <v>4811.1502453009189</v>
      </c>
      <c r="J21" s="73">
        <f t="shared" si="11"/>
        <v>-6.5087083321392014E-2</v>
      </c>
      <c r="K21" s="35"/>
      <c r="L21" s="35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2.75" customHeight="1">
      <c r="A22" s="35"/>
      <c r="B22" s="69">
        <f t="shared" si="6"/>
        <v>14431.903775539024</v>
      </c>
      <c r="C22" s="72">
        <f t="shared" si="7"/>
        <v>0.25</v>
      </c>
      <c r="D22" s="70">
        <f t="shared" si="4"/>
        <v>188535.93749999994</v>
      </c>
      <c r="E22" s="73">
        <f t="shared" si="10"/>
        <v>0.51229508196721296</v>
      </c>
      <c r="F22" s="35"/>
      <c r="G22" s="71">
        <f t="shared" si="8"/>
        <v>39.017750625000019</v>
      </c>
      <c r="H22" s="72">
        <f t="shared" si="9"/>
        <v>0.05</v>
      </c>
      <c r="I22" s="70">
        <f t="shared" si="5"/>
        <v>4503.3826045499472</v>
      </c>
      <c r="J22" s="73">
        <f t="shared" si="11"/>
        <v>-6.3969659033527429E-2</v>
      </c>
      <c r="K22" s="35"/>
      <c r="L22" s="35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2.75" customHeight="1">
      <c r="A23" s="35"/>
      <c r="B23" s="69">
        <f t="shared" si="6"/>
        <v>18039.879719423778</v>
      </c>
      <c r="C23" s="72">
        <f t="shared" si="7"/>
        <v>0.25</v>
      </c>
      <c r="D23" s="70">
        <f t="shared" si="4"/>
        <v>268369.92187499988</v>
      </c>
      <c r="E23" s="73">
        <f t="shared" si="10"/>
        <v>0.42344173441734401</v>
      </c>
      <c r="F23" s="35"/>
      <c r="G23" s="71">
        <f t="shared" si="8"/>
        <v>40.968638156250023</v>
      </c>
      <c r="H23" s="72">
        <f t="shared" si="9"/>
        <v>0.05</v>
      </c>
      <c r="I23" s="70">
        <f t="shared" si="5"/>
        <v>4219.9372595329833</v>
      </c>
      <c r="J23" s="73">
        <f t="shared" si="11"/>
        <v>-6.2940542677983394E-2</v>
      </c>
      <c r="K23" s="35"/>
      <c r="L23" s="35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2.75" customHeight="1">
      <c r="A24" s="35"/>
      <c r="B24" s="69"/>
      <c r="C24" s="35"/>
      <c r="D24" s="70"/>
      <c r="E24" s="49"/>
      <c r="F24" s="35"/>
      <c r="G24" s="69"/>
      <c r="H24" s="35"/>
      <c r="I24" s="70"/>
      <c r="J24" s="49"/>
      <c r="K24" s="35"/>
      <c r="L24" s="35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2.75" customHeight="1">
      <c r="A25" s="35"/>
      <c r="B25" s="74" t="s">
        <v>63</v>
      </c>
      <c r="C25" s="66" t="s">
        <v>82</v>
      </c>
      <c r="D25" s="75" t="s">
        <v>83</v>
      </c>
      <c r="E25" s="67" t="s">
        <v>82</v>
      </c>
      <c r="F25" s="68"/>
      <c r="G25" s="74" t="s">
        <v>81</v>
      </c>
      <c r="H25" s="66" t="s">
        <v>82</v>
      </c>
      <c r="I25" s="75" t="s">
        <v>83</v>
      </c>
      <c r="J25" s="67" t="s">
        <v>82</v>
      </c>
      <c r="K25" s="35"/>
      <c r="L25" s="35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2.75" customHeight="1">
      <c r="A26" s="35"/>
      <c r="B26" s="69">
        <f>B18</f>
        <v>5911.3077864607849</v>
      </c>
      <c r="C26" s="72">
        <f t="shared" ref="C26:C31" si="12">$C$19</f>
        <v>0.25</v>
      </c>
      <c r="D26" s="70">
        <f t="shared" ref="D26:D31" si="13">(B26*$E$10)-$E$11</f>
        <v>0</v>
      </c>
      <c r="E26" s="49"/>
      <c r="F26" s="35"/>
      <c r="G26" s="71">
        <f>G18</f>
        <v>32.1</v>
      </c>
      <c r="H26" s="72">
        <f t="shared" ref="H26:H31" si="14">$J$13</f>
        <v>0.05</v>
      </c>
      <c r="I26" s="70">
        <f t="shared" ref="I26:I31" si="15">((G26-$J$9)*$I$18)-$J$11</f>
        <v>0</v>
      </c>
      <c r="J26" s="49"/>
      <c r="K26" s="35"/>
      <c r="L26" s="35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2.75" customHeight="1">
      <c r="A27" s="35"/>
      <c r="B27" s="69">
        <f t="shared" ref="B27:B31" si="16">B26*(1-C27)</f>
        <v>4433.4808398455889</v>
      </c>
      <c r="C27" s="72">
        <f t="shared" si="12"/>
        <v>0.25</v>
      </c>
      <c r="D27" s="70">
        <f t="shared" si="13"/>
        <v>-32700</v>
      </c>
      <c r="E27" s="49"/>
      <c r="F27" s="35"/>
      <c r="G27" s="71">
        <f t="shared" ref="G27:G31" si="17">G26*(1-H27)</f>
        <v>30.495000000000001</v>
      </c>
      <c r="H27" s="72">
        <f t="shared" si="14"/>
        <v>0.05</v>
      </c>
      <c r="I27" s="70">
        <f t="shared" si="15"/>
        <v>-9487.6489972695563</v>
      </c>
      <c r="J27" s="49"/>
      <c r="K27" s="35"/>
      <c r="L27" s="35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2.75" customHeight="1">
      <c r="A28" s="35"/>
      <c r="B28" s="69">
        <f t="shared" si="16"/>
        <v>3325.1106298841914</v>
      </c>
      <c r="C28" s="72">
        <f t="shared" si="12"/>
        <v>0.25</v>
      </c>
      <c r="D28" s="70">
        <f t="shared" si="13"/>
        <v>-57225</v>
      </c>
      <c r="E28" s="73">
        <f t="shared" ref="E28:E31" si="18">(D28-D27)/D27</f>
        <v>0.75</v>
      </c>
      <c r="F28" s="35"/>
      <c r="G28" s="71">
        <f t="shared" si="17"/>
        <v>28.97025</v>
      </c>
      <c r="H28" s="72">
        <f t="shared" si="14"/>
        <v>0.05</v>
      </c>
      <c r="I28" s="70">
        <f t="shared" si="15"/>
        <v>-18500.915544675649</v>
      </c>
      <c r="J28" s="73">
        <f t="shared" ref="J28:J31" si="19">(I28-I27)/I27</f>
        <v>0.95000000000000151</v>
      </c>
      <c r="K28" s="35"/>
      <c r="L28" s="35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2.75" customHeight="1">
      <c r="A29" s="35"/>
      <c r="B29" s="69">
        <f t="shared" si="16"/>
        <v>2493.8329724131436</v>
      </c>
      <c r="C29" s="72">
        <f t="shared" si="12"/>
        <v>0.25</v>
      </c>
      <c r="D29" s="70">
        <f t="shared" si="13"/>
        <v>-75618.75</v>
      </c>
      <c r="E29" s="73">
        <f t="shared" si="18"/>
        <v>0.32142857142857145</v>
      </c>
      <c r="F29" s="35"/>
      <c r="G29" s="71">
        <f t="shared" si="17"/>
        <v>27.5217375</v>
      </c>
      <c r="H29" s="72">
        <f t="shared" si="14"/>
        <v>0.05</v>
      </c>
      <c r="I29" s="70">
        <f t="shared" si="15"/>
        <v>-27063.518764711422</v>
      </c>
      <c r="J29" s="73">
        <f t="shared" si="19"/>
        <v>0.4628205128205124</v>
      </c>
      <c r="K29" s="35"/>
      <c r="L29" s="35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2.75" customHeight="1">
      <c r="A30" s="35"/>
      <c r="B30" s="69">
        <f t="shared" si="16"/>
        <v>1870.3747293098577</v>
      </c>
      <c r="C30" s="72">
        <f t="shared" si="12"/>
        <v>0.25</v>
      </c>
      <c r="D30" s="70">
        <f t="shared" si="13"/>
        <v>-89414.0625</v>
      </c>
      <c r="E30" s="73">
        <f t="shared" si="18"/>
        <v>0.18243243243243243</v>
      </c>
      <c r="F30" s="35"/>
      <c r="G30" s="71">
        <f t="shared" si="17"/>
        <v>26.145650624999998</v>
      </c>
      <c r="H30" s="72">
        <f t="shared" si="14"/>
        <v>0.05</v>
      </c>
      <c r="I30" s="70">
        <f t="shared" si="15"/>
        <v>-35197.991823745426</v>
      </c>
      <c r="J30" s="73">
        <f t="shared" si="19"/>
        <v>0.30056967572305049</v>
      </c>
      <c r="K30" s="35"/>
      <c r="L30" s="35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2.75" customHeight="1">
      <c r="A31" s="35"/>
      <c r="B31" s="76">
        <f t="shared" si="16"/>
        <v>1402.7810469823933</v>
      </c>
      <c r="C31" s="77">
        <f t="shared" si="12"/>
        <v>0.25</v>
      </c>
      <c r="D31" s="78">
        <f t="shared" si="13"/>
        <v>-99760.546875</v>
      </c>
      <c r="E31" s="79">
        <f t="shared" si="18"/>
        <v>0.11571428571428571</v>
      </c>
      <c r="F31" s="35"/>
      <c r="G31" s="80">
        <f t="shared" si="17"/>
        <v>24.838368093749999</v>
      </c>
      <c r="H31" s="77">
        <f t="shared" si="14"/>
        <v>0.05</v>
      </c>
      <c r="I31" s="78">
        <f t="shared" si="15"/>
        <v>-42925.741229827705</v>
      </c>
      <c r="J31" s="79">
        <f t="shared" si="19"/>
        <v>0.21955086087806153</v>
      </c>
      <c r="K31" s="35"/>
      <c r="L31" s="35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2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2.75" customHeight="1">
      <c r="A33" s="35"/>
      <c r="B33" s="35"/>
      <c r="C33" s="35"/>
      <c r="D33" s="35"/>
      <c r="E33" s="35"/>
      <c r="F33" s="35"/>
      <c r="G33" s="35"/>
      <c r="H33" s="81"/>
      <c r="I33" s="35"/>
      <c r="J33" s="35"/>
      <c r="K33" s="35"/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2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2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2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2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2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2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2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2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2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2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2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2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2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2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2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2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2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2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2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2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2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2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2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2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2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2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2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2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2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2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2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2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2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2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2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2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2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2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2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2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2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2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12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12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spans="1:27" ht="12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spans="1:27" ht="12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spans="1:27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7.33203125" defaultRowHeight="15" customHeight="1"/>
  <cols>
    <col min="1" max="1" width="23.6640625" customWidth="1"/>
    <col min="3" max="4" width="21.6640625" customWidth="1"/>
    <col min="5" max="5" width="34.33203125" customWidth="1"/>
    <col min="6" max="6" width="22.6640625" customWidth="1"/>
    <col min="7" max="7" width="22.88671875" customWidth="1"/>
    <col min="8" max="8" width="24.44140625" customWidth="1"/>
    <col min="9" max="9" width="26.44140625" customWidth="1"/>
  </cols>
  <sheetData>
    <row r="1" spans="1:10" ht="15" customHeight="1">
      <c r="A1" s="83" t="s">
        <v>84</v>
      </c>
      <c r="B1" s="83" t="s">
        <v>85</v>
      </c>
      <c r="C1" s="83" t="s">
        <v>86</v>
      </c>
      <c r="D1" s="83" t="s">
        <v>87</v>
      </c>
      <c r="E1" s="83" t="s">
        <v>88</v>
      </c>
      <c r="F1" s="83" t="s">
        <v>89</v>
      </c>
      <c r="G1" s="83" t="s">
        <v>90</v>
      </c>
      <c r="H1" s="84" t="s">
        <v>91</v>
      </c>
      <c r="I1" s="83" t="s">
        <v>92</v>
      </c>
      <c r="J1" s="83" t="s">
        <v>93</v>
      </c>
    </row>
    <row r="2" spans="1:10" ht="15" customHeight="1">
      <c r="A2" s="85" t="s">
        <v>94</v>
      </c>
      <c r="B2" s="86">
        <v>50</v>
      </c>
      <c r="C2" s="86">
        <v>2</v>
      </c>
      <c r="D2" s="87">
        <f>10/60</f>
        <v>0.16666666666666666</v>
      </c>
      <c r="E2" s="88">
        <v>7.25</v>
      </c>
      <c r="F2" s="89">
        <v>0.1</v>
      </c>
      <c r="G2" s="90">
        <f t="shared" ref="G2:G8" si="0">B2*F2</f>
        <v>5</v>
      </c>
      <c r="H2" s="91">
        <f t="shared" ref="H2:H8" si="1">D2*E2*F2</f>
        <v>0.12083333333333333</v>
      </c>
      <c r="I2" s="90">
        <f t="shared" ref="I2:I7" si="2">C2*F2</f>
        <v>0.2</v>
      </c>
      <c r="J2" s="90">
        <f t="shared" ref="J2:J8" si="3">0.05*G2</f>
        <v>0.25</v>
      </c>
    </row>
    <row r="3" spans="1:10" ht="15" customHeight="1">
      <c r="A3" s="85" t="s">
        <v>95</v>
      </c>
      <c r="B3" s="86">
        <v>26</v>
      </c>
      <c r="C3" s="86">
        <v>1</v>
      </c>
      <c r="D3" s="87">
        <f>5/60</f>
        <v>8.3333333333333329E-2</v>
      </c>
      <c r="E3" s="88">
        <v>7.25</v>
      </c>
      <c r="F3" s="89">
        <v>0.1</v>
      </c>
      <c r="G3" s="90">
        <f t="shared" si="0"/>
        <v>2.6</v>
      </c>
      <c r="H3" s="91">
        <f t="shared" si="1"/>
        <v>6.0416666666666667E-2</v>
      </c>
      <c r="I3" s="90">
        <f t="shared" si="2"/>
        <v>0.1</v>
      </c>
      <c r="J3" s="90">
        <f t="shared" si="3"/>
        <v>0.13</v>
      </c>
    </row>
    <row r="4" spans="1:10" ht="15" customHeight="1">
      <c r="A4" s="85" t="s">
        <v>96</v>
      </c>
      <c r="B4" s="86">
        <v>15</v>
      </c>
      <c r="C4" s="86">
        <v>0.4</v>
      </c>
      <c r="D4" s="87">
        <f>2/60</f>
        <v>3.3333333333333333E-2</v>
      </c>
      <c r="E4" s="88">
        <v>7.25</v>
      </c>
      <c r="F4" s="89">
        <v>0.25</v>
      </c>
      <c r="G4" s="90">
        <f t="shared" si="0"/>
        <v>3.75</v>
      </c>
      <c r="H4" s="91">
        <f t="shared" si="1"/>
        <v>6.0416666666666667E-2</v>
      </c>
      <c r="I4" s="90">
        <f t="shared" si="2"/>
        <v>0.1</v>
      </c>
      <c r="J4" s="90">
        <f t="shared" si="3"/>
        <v>0.1875</v>
      </c>
    </row>
    <row r="5" spans="1:10" ht="15" customHeight="1">
      <c r="A5" s="85" t="s">
        <v>97</v>
      </c>
      <c r="B5" s="86">
        <v>20</v>
      </c>
      <c r="C5" s="86">
        <v>1</v>
      </c>
      <c r="D5" s="87">
        <f t="shared" ref="D5:D6" si="4">8/60</f>
        <v>0.13333333333333333</v>
      </c>
      <c r="E5" s="88">
        <v>7.25</v>
      </c>
      <c r="F5" s="89">
        <v>0.1</v>
      </c>
      <c r="G5" s="90">
        <f t="shared" si="0"/>
        <v>2</v>
      </c>
      <c r="H5" s="91">
        <f t="shared" si="1"/>
        <v>9.6666666666666679E-2</v>
      </c>
      <c r="I5" s="90">
        <f t="shared" si="2"/>
        <v>0.1</v>
      </c>
      <c r="J5" s="90">
        <f t="shared" si="3"/>
        <v>0.1</v>
      </c>
    </row>
    <row r="6" spans="1:10" ht="15" customHeight="1">
      <c r="A6" s="85" t="s">
        <v>98</v>
      </c>
      <c r="B6" s="86">
        <v>55</v>
      </c>
      <c r="C6" s="86">
        <v>10</v>
      </c>
      <c r="D6" s="87">
        <f t="shared" si="4"/>
        <v>0.13333333333333333</v>
      </c>
      <c r="E6" s="88">
        <v>7.25</v>
      </c>
      <c r="F6" s="89">
        <v>0.25</v>
      </c>
      <c r="G6" s="90">
        <f t="shared" si="0"/>
        <v>13.75</v>
      </c>
      <c r="H6" s="91">
        <f t="shared" si="1"/>
        <v>0.24166666666666667</v>
      </c>
      <c r="I6" s="90">
        <f t="shared" si="2"/>
        <v>2.5</v>
      </c>
      <c r="J6" s="90">
        <f t="shared" si="3"/>
        <v>0.6875</v>
      </c>
    </row>
    <row r="7" spans="1:10" ht="15" customHeight="1">
      <c r="A7" s="85" t="s">
        <v>99</v>
      </c>
      <c r="B7" s="86">
        <v>15</v>
      </c>
      <c r="C7" s="86">
        <v>0.5</v>
      </c>
      <c r="D7" s="87">
        <f>5/60</f>
        <v>8.3333333333333329E-2</v>
      </c>
      <c r="E7" s="88">
        <v>7.25</v>
      </c>
      <c r="F7" s="89">
        <v>0.1</v>
      </c>
      <c r="G7" s="90">
        <f t="shared" si="0"/>
        <v>1.5</v>
      </c>
      <c r="H7" s="91">
        <f t="shared" si="1"/>
        <v>6.0416666666666667E-2</v>
      </c>
      <c r="I7" s="90">
        <f t="shared" si="2"/>
        <v>0.05</v>
      </c>
      <c r="J7" s="90">
        <f t="shared" si="3"/>
        <v>7.5000000000000011E-2</v>
      </c>
    </row>
    <row r="8" spans="1:10" ht="15" customHeight="1">
      <c r="A8" s="85" t="s">
        <v>100</v>
      </c>
      <c r="B8" s="86">
        <v>35</v>
      </c>
      <c r="C8" s="86">
        <v>0</v>
      </c>
      <c r="D8" s="87">
        <f>6/60</f>
        <v>0.1</v>
      </c>
      <c r="E8" s="88">
        <v>7.25</v>
      </c>
      <c r="F8" s="89">
        <v>0.1</v>
      </c>
      <c r="G8" s="90">
        <f t="shared" si="0"/>
        <v>3.5</v>
      </c>
      <c r="H8" s="91">
        <f t="shared" si="1"/>
        <v>7.2500000000000009E-2</v>
      </c>
      <c r="I8" s="86">
        <v>0</v>
      </c>
      <c r="J8" s="90">
        <f t="shared" si="3"/>
        <v>0.17500000000000002</v>
      </c>
    </row>
    <row r="9" spans="1:10" ht="15" customHeight="1">
      <c r="A9" s="85" t="s">
        <v>101</v>
      </c>
      <c r="F9" s="85"/>
      <c r="G9" s="90">
        <f t="shared" ref="G9:J9" si="5">SUM(G2:G8)</f>
        <v>32.1</v>
      </c>
      <c r="H9" s="92">
        <f t="shared" si="5"/>
        <v>0.71291666666666675</v>
      </c>
      <c r="I9" s="90">
        <f t="shared" si="5"/>
        <v>3.05</v>
      </c>
      <c r="J9" s="90">
        <f t="shared" si="5"/>
        <v>1.605</v>
      </c>
    </row>
    <row r="10" spans="1:10" ht="15" customHeight="1">
      <c r="A10" s="85"/>
      <c r="B10" s="85" t="s">
        <v>102</v>
      </c>
      <c r="H10" s="93"/>
    </row>
    <row r="11" spans="1:10" ht="15" customHeight="1">
      <c r="B11" s="94" t="s">
        <v>103</v>
      </c>
      <c r="H11" s="93"/>
    </row>
    <row r="12" spans="1:10" ht="15" customHeight="1">
      <c r="H12" s="93"/>
    </row>
    <row r="13" spans="1:10" ht="15" customHeight="1">
      <c r="H13" s="93"/>
    </row>
    <row r="14" spans="1:10" ht="15" customHeight="1">
      <c r="A14" s="85"/>
      <c r="H14" s="93"/>
    </row>
    <row r="15" spans="1:10" ht="15" customHeight="1">
      <c r="A15" s="85"/>
      <c r="H15" s="93"/>
    </row>
    <row r="16" spans="1:10" ht="15" customHeight="1">
      <c r="A16" s="85"/>
      <c r="H16" s="93"/>
    </row>
    <row r="17" spans="1:8" ht="15" customHeight="1">
      <c r="A17" s="85"/>
      <c r="H17" s="93"/>
    </row>
    <row r="18" spans="1:8" ht="15" customHeight="1">
      <c r="A18" s="95"/>
      <c r="H18" s="93"/>
    </row>
    <row r="19" spans="1:8" ht="15" customHeight="1">
      <c r="H19" s="93"/>
    </row>
    <row r="20" spans="1:8" ht="15" customHeight="1">
      <c r="H20" s="93"/>
    </row>
    <row r="21" spans="1:8" ht="15" customHeight="1">
      <c r="A21" s="85"/>
      <c r="H21" s="93"/>
    </row>
    <row r="22" spans="1:8" ht="15" customHeight="1">
      <c r="A22" s="85"/>
      <c r="H22" s="93"/>
    </row>
    <row r="23" spans="1:8" ht="15" customHeight="1">
      <c r="A23" s="85"/>
      <c r="H23" s="93"/>
    </row>
    <row r="24" spans="1:8" ht="15" customHeight="1">
      <c r="A24" s="85"/>
      <c r="H24" s="93"/>
    </row>
    <row r="25" spans="1:8" ht="15" customHeight="1">
      <c r="A25" s="85"/>
      <c r="H25" s="93"/>
    </row>
    <row r="26" spans="1:8" ht="15" customHeight="1">
      <c r="A26" s="85"/>
      <c r="H26" s="93"/>
    </row>
    <row r="27" spans="1:8" ht="15" customHeight="1">
      <c r="H27" s="93"/>
    </row>
    <row r="28" spans="1:8" ht="15" customHeight="1">
      <c r="H28" s="93"/>
    </row>
    <row r="29" spans="1:8" ht="13.2">
      <c r="H29" s="93"/>
    </row>
    <row r="30" spans="1:8" ht="13.2">
      <c r="H30" s="93"/>
    </row>
    <row r="31" spans="1:8" ht="13.2">
      <c r="H31" s="93"/>
    </row>
    <row r="32" spans="1:8" ht="13.2">
      <c r="H32" s="93"/>
    </row>
    <row r="33" spans="8:8" ht="13.2">
      <c r="H33" s="93"/>
    </row>
    <row r="34" spans="8:8" ht="13.2">
      <c r="H34" s="93"/>
    </row>
    <row r="35" spans="8:8" ht="13.2">
      <c r="H35" s="93"/>
    </row>
    <row r="36" spans="8:8" ht="13.2">
      <c r="H36" s="93"/>
    </row>
    <row r="37" spans="8:8" ht="13.2">
      <c r="H37" s="93"/>
    </row>
    <row r="38" spans="8:8" ht="13.2">
      <c r="H38" s="93"/>
    </row>
    <row r="39" spans="8:8" ht="13.2">
      <c r="H39" s="93"/>
    </row>
    <row r="40" spans="8:8" ht="13.2">
      <c r="H40" s="93"/>
    </row>
    <row r="41" spans="8:8" ht="13.2">
      <c r="H41" s="93"/>
    </row>
    <row r="42" spans="8:8" ht="13.2">
      <c r="H42" s="93"/>
    </row>
    <row r="43" spans="8:8" ht="13.2">
      <c r="H43" s="93"/>
    </row>
    <row r="44" spans="8:8" ht="13.2">
      <c r="H44" s="93"/>
    </row>
    <row r="45" spans="8:8" ht="13.2">
      <c r="H45" s="93"/>
    </row>
    <row r="46" spans="8:8" ht="13.2">
      <c r="H46" s="93"/>
    </row>
    <row r="47" spans="8:8" ht="13.2">
      <c r="H47" s="93"/>
    </row>
    <row r="48" spans="8:8" ht="13.2">
      <c r="H48" s="93"/>
    </row>
    <row r="49" spans="8:8" ht="13.2">
      <c r="H49" s="93"/>
    </row>
    <row r="50" spans="8:8" ht="13.2">
      <c r="H50" s="93"/>
    </row>
    <row r="51" spans="8:8" ht="13.2">
      <c r="H51" s="93"/>
    </row>
    <row r="52" spans="8:8" ht="13.2">
      <c r="H52" s="93"/>
    </row>
    <row r="53" spans="8:8" ht="13.2">
      <c r="H53" s="93"/>
    </row>
    <row r="54" spans="8:8" ht="13.2">
      <c r="H54" s="93"/>
    </row>
    <row r="55" spans="8:8" ht="13.2">
      <c r="H55" s="93"/>
    </row>
    <row r="56" spans="8:8" ht="13.2">
      <c r="H56" s="93"/>
    </row>
    <row r="57" spans="8:8" ht="13.2">
      <c r="H57" s="93"/>
    </row>
    <row r="58" spans="8:8" ht="13.2">
      <c r="H58" s="93"/>
    </row>
    <row r="59" spans="8:8" ht="13.2">
      <c r="H59" s="93"/>
    </row>
    <row r="60" spans="8:8" ht="13.2">
      <c r="H60" s="93"/>
    </row>
    <row r="61" spans="8:8" ht="13.2">
      <c r="H61" s="93"/>
    </row>
    <row r="62" spans="8:8" ht="13.2">
      <c r="H62" s="93"/>
    </row>
    <row r="63" spans="8:8" ht="13.2">
      <c r="H63" s="93"/>
    </row>
    <row r="64" spans="8:8" ht="13.2">
      <c r="H64" s="93"/>
    </row>
    <row r="65" spans="8:8" ht="13.2">
      <c r="H65" s="93"/>
    </row>
    <row r="66" spans="8:8" ht="13.2">
      <c r="H66" s="93"/>
    </row>
    <row r="67" spans="8:8" ht="13.2">
      <c r="H67" s="93"/>
    </row>
    <row r="68" spans="8:8" ht="13.2">
      <c r="H68" s="93"/>
    </row>
    <row r="69" spans="8:8" ht="13.2">
      <c r="H69" s="93"/>
    </row>
    <row r="70" spans="8:8" ht="13.2">
      <c r="H70" s="93"/>
    </row>
    <row r="71" spans="8:8" ht="13.2">
      <c r="H71" s="93"/>
    </row>
    <row r="72" spans="8:8" ht="13.2">
      <c r="H72" s="93"/>
    </row>
    <row r="73" spans="8:8" ht="13.2">
      <c r="H73" s="93"/>
    </row>
    <row r="74" spans="8:8" ht="13.2">
      <c r="H74" s="93"/>
    </row>
    <row r="75" spans="8:8" ht="13.2">
      <c r="H75" s="93"/>
    </row>
    <row r="76" spans="8:8" ht="13.2">
      <c r="H76" s="93"/>
    </row>
    <row r="77" spans="8:8" ht="13.2">
      <c r="H77" s="93"/>
    </row>
    <row r="78" spans="8:8" ht="13.2">
      <c r="H78" s="93"/>
    </row>
    <row r="79" spans="8:8" ht="13.2">
      <c r="H79" s="93"/>
    </row>
    <row r="80" spans="8:8" ht="13.2">
      <c r="H80" s="93"/>
    </row>
    <row r="81" spans="8:8" ht="13.2">
      <c r="H81" s="93"/>
    </row>
    <row r="82" spans="8:8" ht="13.2">
      <c r="H82" s="93"/>
    </row>
    <row r="83" spans="8:8" ht="13.2">
      <c r="H83" s="93"/>
    </row>
    <row r="84" spans="8:8" ht="13.2">
      <c r="H84" s="93"/>
    </row>
    <row r="85" spans="8:8" ht="13.2">
      <c r="H85" s="93"/>
    </row>
    <row r="86" spans="8:8" ht="13.2">
      <c r="H86" s="93"/>
    </row>
    <row r="87" spans="8:8" ht="13.2">
      <c r="H87" s="93"/>
    </row>
    <row r="88" spans="8:8" ht="13.2">
      <c r="H88" s="93"/>
    </row>
    <row r="89" spans="8:8" ht="13.2">
      <c r="H89" s="93"/>
    </row>
    <row r="90" spans="8:8" ht="13.2">
      <c r="H90" s="93"/>
    </row>
    <row r="91" spans="8:8" ht="13.2">
      <c r="H91" s="93"/>
    </row>
    <row r="92" spans="8:8" ht="13.2">
      <c r="H92" s="93"/>
    </row>
    <row r="93" spans="8:8" ht="13.2">
      <c r="H93" s="93"/>
    </row>
    <row r="94" spans="8:8" ht="13.2">
      <c r="H94" s="93"/>
    </row>
    <row r="95" spans="8:8" ht="13.2">
      <c r="H95" s="93"/>
    </row>
    <row r="96" spans="8:8" ht="13.2">
      <c r="H96" s="93"/>
    </row>
    <row r="97" spans="8:8" ht="13.2">
      <c r="H97" s="93"/>
    </row>
    <row r="98" spans="8:8" ht="13.2">
      <c r="H98" s="93"/>
    </row>
    <row r="99" spans="8:8" ht="13.2">
      <c r="H99" s="93"/>
    </row>
    <row r="100" spans="8:8" ht="13.2">
      <c r="H100" s="93"/>
    </row>
    <row r="101" spans="8:8" ht="13.2">
      <c r="H101" s="93"/>
    </row>
    <row r="102" spans="8:8" ht="13.2">
      <c r="H102" s="93"/>
    </row>
    <row r="103" spans="8:8" ht="13.2">
      <c r="H103" s="93"/>
    </row>
    <row r="104" spans="8:8" ht="13.2">
      <c r="H104" s="93"/>
    </row>
    <row r="105" spans="8:8" ht="13.2">
      <c r="H105" s="93"/>
    </row>
    <row r="106" spans="8:8" ht="13.2">
      <c r="H106" s="93"/>
    </row>
    <row r="107" spans="8:8" ht="13.2">
      <c r="H107" s="93"/>
    </row>
    <row r="108" spans="8:8" ht="13.2">
      <c r="H108" s="93"/>
    </row>
    <row r="109" spans="8:8" ht="13.2">
      <c r="H109" s="93"/>
    </row>
    <row r="110" spans="8:8" ht="13.2">
      <c r="H110" s="93"/>
    </row>
    <row r="111" spans="8:8" ht="13.2">
      <c r="H111" s="93"/>
    </row>
    <row r="112" spans="8:8" ht="13.2">
      <c r="H112" s="93"/>
    </row>
    <row r="113" spans="8:8" ht="13.2">
      <c r="H113" s="93"/>
    </row>
    <row r="114" spans="8:8" ht="13.2">
      <c r="H114" s="93"/>
    </row>
    <row r="115" spans="8:8" ht="13.2">
      <c r="H115" s="93"/>
    </row>
    <row r="116" spans="8:8" ht="13.2">
      <c r="H116" s="93"/>
    </row>
    <row r="117" spans="8:8" ht="13.2">
      <c r="H117" s="93"/>
    </row>
    <row r="118" spans="8:8" ht="13.2">
      <c r="H118" s="93"/>
    </row>
    <row r="119" spans="8:8" ht="13.2">
      <c r="H119" s="93"/>
    </row>
    <row r="120" spans="8:8" ht="13.2">
      <c r="H120" s="93"/>
    </row>
    <row r="121" spans="8:8" ht="13.2">
      <c r="H121" s="93"/>
    </row>
    <row r="122" spans="8:8" ht="13.2">
      <c r="H122" s="93"/>
    </row>
    <row r="123" spans="8:8" ht="13.2">
      <c r="H123" s="93"/>
    </row>
    <row r="124" spans="8:8" ht="13.2">
      <c r="H124" s="93"/>
    </row>
    <row r="125" spans="8:8" ht="13.2">
      <c r="H125" s="93"/>
    </row>
    <row r="126" spans="8:8" ht="13.2">
      <c r="H126" s="93"/>
    </row>
    <row r="127" spans="8:8" ht="13.2">
      <c r="H127" s="93"/>
    </row>
    <row r="128" spans="8:8" ht="13.2">
      <c r="H128" s="93"/>
    </row>
    <row r="129" spans="8:8" ht="13.2">
      <c r="H129" s="93"/>
    </row>
    <row r="130" spans="8:8" ht="13.2">
      <c r="H130" s="93"/>
    </row>
    <row r="131" spans="8:8" ht="13.2">
      <c r="H131" s="93"/>
    </row>
    <row r="132" spans="8:8" ht="13.2">
      <c r="H132" s="93"/>
    </row>
    <row r="133" spans="8:8" ht="13.2">
      <c r="H133" s="93"/>
    </row>
    <row r="134" spans="8:8" ht="13.2">
      <c r="H134" s="93"/>
    </row>
    <row r="135" spans="8:8" ht="13.2">
      <c r="H135" s="93"/>
    </row>
    <row r="136" spans="8:8" ht="13.2">
      <c r="H136" s="93"/>
    </row>
    <row r="137" spans="8:8" ht="13.2">
      <c r="H137" s="93"/>
    </row>
    <row r="138" spans="8:8" ht="13.2">
      <c r="H138" s="93"/>
    </row>
    <row r="139" spans="8:8" ht="13.2">
      <c r="H139" s="93"/>
    </row>
    <row r="140" spans="8:8" ht="13.2">
      <c r="H140" s="93"/>
    </row>
    <row r="141" spans="8:8" ht="13.2">
      <c r="H141" s="93"/>
    </row>
    <row r="142" spans="8:8" ht="13.2">
      <c r="H142" s="93"/>
    </row>
    <row r="143" spans="8:8" ht="13.2">
      <c r="H143" s="93"/>
    </row>
    <row r="144" spans="8:8" ht="13.2">
      <c r="H144" s="93"/>
    </row>
    <row r="145" spans="8:8" ht="13.2">
      <c r="H145" s="93"/>
    </row>
    <row r="146" spans="8:8" ht="13.2">
      <c r="H146" s="93"/>
    </row>
    <row r="147" spans="8:8" ht="13.2">
      <c r="H147" s="93"/>
    </row>
    <row r="148" spans="8:8" ht="13.2">
      <c r="H148" s="93"/>
    </row>
    <row r="149" spans="8:8" ht="13.2">
      <c r="H149" s="93"/>
    </row>
    <row r="150" spans="8:8" ht="13.2">
      <c r="H150" s="93"/>
    </row>
    <row r="151" spans="8:8" ht="13.2">
      <c r="H151" s="93"/>
    </row>
    <row r="152" spans="8:8" ht="13.2">
      <c r="H152" s="93"/>
    </row>
    <row r="153" spans="8:8" ht="13.2">
      <c r="H153" s="93"/>
    </row>
    <row r="154" spans="8:8" ht="13.2">
      <c r="H154" s="93"/>
    </row>
    <row r="155" spans="8:8" ht="13.2">
      <c r="H155" s="93"/>
    </row>
    <row r="156" spans="8:8" ht="13.2">
      <c r="H156" s="93"/>
    </row>
    <row r="157" spans="8:8" ht="13.2">
      <c r="H157" s="93"/>
    </row>
    <row r="158" spans="8:8" ht="13.2">
      <c r="H158" s="93"/>
    </row>
    <row r="159" spans="8:8" ht="13.2">
      <c r="H159" s="93"/>
    </row>
    <row r="160" spans="8:8" ht="13.2">
      <c r="H160" s="93"/>
    </row>
    <row r="161" spans="8:8" ht="13.2">
      <c r="H161" s="93"/>
    </row>
    <row r="162" spans="8:8" ht="13.2">
      <c r="H162" s="93"/>
    </row>
    <row r="163" spans="8:8" ht="13.2">
      <c r="H163" s="93"/>
    </row>
    <row r="164" spans="8:8" ht="13.2">
      <c r="H164" s="93"/>
    </row>
    <row r="165" spans="8:8" ht="13.2">
      <c r="H165" s="93"/>
    </row>
    <row r="166" spans="8:8" ht="13.2">
      <c r="H166" s="93"/>
    </row>
    <row r="167" spans="8:8" ht="13.2">
      <c r="H167" s="93"/>
    </row>
    <row r="168" spans="8:8" ht="13.2">
      <c r="H168" s="93"/>
    </row>
    <row r="169" spans="8:8" ht="13.2">
      <c r="H169" s="93"/>
    </row>
    <row r="170" spans="8:8" ht="13.2">
      <c r="H170" s="93"/>
    </row>
    <row r="171" spans="8:8" ht="13.2">
      <c r="H171" s="93"/>
    </row>
    <row r="172" spans="8:8" ht="13.2">
      <c r="H172" s="93"/>
    </row>
    <row r="173" spans="8:8" ht="13.2">
      <c r="H173" s="93"/>
    </row>
    <row r="174" spans="8:8" ht="13.2">
      <c r="H174" s="93"/>
    </row>
    <row r="175" spans="8:8" ht="13.2">
      <c r="H175" s="93"/>
    </row>
    <row r="176" spans="8:8" ht="13.2">
      <c r="H176" s="93"/>
    </row>
    <row r="177" spans="8:8" ht="13.2">
      <c r="H177" s="93"/>
    </row>
    <row r="178" spans="8:8" ht="13.2">
      <c r="H178" s="93"/>
    </row>
    <row r="179" spans="8:8" ht="13.2">
      <c r="H179" s="93"/>
    </row>
    <row r="180" spans="8:8" ht="13.2">
      <c r="H180" s="93"/>
    </row>
    <row r="181" spans="8:8" ht="13.2">
      <c r="H181" s="93"/>
    </row>
    <row r="182" spans="8:8" ht="13.2">
      <c r="H182" s="93"/>
    </row>
    <row r="183" spans="8:8" ht="13.2">
      <c r="H183" s="93"/>
    </row>
    <row r="184" spans="8:8" ht="13.2">
      <c r="H184" s="93"/>
    </row>
    <row r="185" spans="8:8" ht="13.2">
      <c r="H185" s="93"/>
    </row>
    <row r="186" spans="8:8" ht="13.2">
      <c r="H186" s="93"/>
    </row>
    <row r="187" spans="8:8" ht="13.2">
      <c r="H187" s="93"/>
    </row>
    <row r="188" spans="8:8" ht="13.2">
      <c r="H188" s="93"/>
    </row>
    <row r="189" spans="8:8" ht="13.2">
      <c r="H189" s="93"/>
    </row>
    <row r="190" spans="8:8" ht="13.2">
      <c r="H190" s="93"/>
    </row>
    <row r="191" spans="8:8" ht="13.2">
      <c r="H191" s="93"/>
    </row>
    <row r="192" spans="8:8" ht="13.2">
      <c r="H192" s="93"/>
    </row>
    <row r="193" spans="8:8" ht="13.2">
      <c r="H193" s="93"/>
    </row>
    <row r="194" spans="8:8" ht="13.2">
      <c r="H194" s="93"/>
    </row>
    <row r="195" spans="8:8" ht="13.2">
      <c r="H195" s="93"/>
    </row>
    <row r="196" spans="8:8" ht="13.2">
      <c r="H196" s="93"/>
    </row>
    <row r="197" spans="8:8" ht="13.2">
      <c r="H197" s="93"/>
    </row>
    <row r="198" spans="8:8" ht="13.2">
      <c r="H198" s="93"/>
    </row>
    <row r="199" spans="8:8" ht="13.2">
      <c r="H199" s="93"/>
    </row>
    <row r="200" spans="8:8" ht="13.2">
      <c r="H200" s="93"/>
    </row>
    <row r="201" spans="8:8" ht="13.2">
      <c r="H201" s="93"/>
    </row>
    <row r="202" spans="8:8" ht="13.2">
      <c r="H202" s="93"/>
    </row>
    <row r="203" spans="8:8" ht="13.2">
      <c r="H203" s="93"/>
    </row>
    <row r="204" spans="8:8" ht="13.2">
      <c r="H204" s="93"/>
    </row>
    <row r="205" spans="8:8" ht="13.2">
      <c r="H205" s="93"/>
    </row>
    <row r="206" spans="8:8" ht="13.2">
      <c r="H206" s="93"/>
    </row>
    <row r="207" spans="8:8" ht="13.2">
      <c r="H207" s="93"/>
    </row>
    <row r="208" spans="8:8" ht="13.2">
      <c r="H208" s="93"/>
    </row>
    <row r="209" spans="8:8" ht="13.2">
      <c r="H209" s="93"/>
    </row>
    <row r="210" spans="8:8" ht="13.2">
      <c r="H210" s="93"/>
    </row>
    <row r="211" spans="8:8" ht="13.2">
      <c r="H211" s="93"/>
    </row>
    <row r="212" spans="8:8" ht="13.2">
      <c r="H212" s="93"/>
    </row>
    <row r="213" spans="8:8" ht="13.2">
      <c r="H213" s="93"/>
    </row>
    <row r="214" spans="8:8" ht="13.2">
      <c r="H214" s="93"/>
    </row>
    <row r="215" spans="8:8" ht="13.2">
      <c r="H215" s="93"/>
    </row>
    <row r="216" spans="8:8" ht="13.2">
      <c r="H216" s="93"/>
    </row>
    <row r="217" spans="8:8" ht="13.2">
      <c r="H217" s="93"/>
    </row>
    <row r="218" spans="8:8" ht="13.2">
      <c r="H218" s="93"/>
    </row>
    <row r="219" spans="8:8" ht="13.2">
      <c r="H219" s="93"/>
    </row>
    <row r="220" spans="8:8" ht="13.2">
      <c r="H220" s="93"/>
    </row>
    <row r="221" spans="8:8" ht="13.2">
      <c r="H221" s="93"/>
    </row>
    <row r="222" spans="8:8" ht="13.2">
      <c r="H222" s="93"/>
    </row>
    <row r="223" spans="8:8" ht="13.2">
      <c r="H223" s="93"/>
    </row>
    <row r="224" spans="8:8" ht="13.2">
      <c r="H224" s="93"/>
    </row>
    <row r="225" spans="8:8" ht="13.2">
      <c r="H225" s="93"/>
    </row>
    <row r="226" spans="8:8" ht="13.2">
      <c r="H226" s="93"/>
    </row>
    <row r="227" spans="8:8" ht="13.2">
      <c r="H227" s="93"/>
    </row>
    <row r="228" spans="8:8" ht="13.2">
      <c r="H228" s="93"/>
    </row>
    <row r="229" spans="8:8" ht="13.2">
      <c r="H229" s="93"/>
    </row>
    <row r="230" spans="8:8" ht="13.2">
      <c r="H230" s="93"/>
    </row>
    <row r="231" spans="8:8" ht="13.2">
      <c r="H231" s="93"/>
    </row>
    <row r="232" spans="8:8" ht="13.2">
      <c r="H232" s="93"/>
    </row>
    <row r="233" spans="8:8" ht="13.2">
      <c r="H233" s="93"/>
    </row>
    <row r="234" spans="8:8" ht="13.2">
      <c r="H234" s="93"/>
    </row>
    <row r="235" spans="8:8" ht="13.2">
      <c r="H235" s="93"/>
    </row>
    <row r="236" spans="8:8" ht="13.2">
      <c r="H236" s="93"/>
    </row>
    <row r="237" spans="8:8" ht="13.2">
      <c r="H237" s="93"/>
    </row>
    <row r="238" spans="8:8" ht="13.2">
      <c r="H238" s="93"/>
    </row>
    <row r="239" spans="8:8" ht="13.2">
      <c r="H239" s="93"/>
    </row>
    <row r="240" spans="8:8" ht="13.2">
      <c r="H240" s="93"/>
    </row>
    <row r="241" spans="8:8" ht="13.2">
      <c r="H241" s="93"/>
    </row>
    <row r="242" spans="8:8" ht="13.2">
      <c r="H242" s="93"/>
    </row>
    <row r="243" spans="8:8" ht="13.2">
      <c r="H243" s="93"/>
    </row>
    <row r="244" spans="8:8" ht="13.2">
      <c r="H244" s="93"/>
    </row>
    <row r="245" spans="8:8" ht="13.2">
      <c r="H245" s="93"/>
    </row>
    <row r="246" spans="8:8" ht="13.2">
      <c r="H246" s="93"/>
    </row>
    <row r="247" spans="8:8" ht="13.2">
      <c r="H247" s="93"/>
    </row>
    <row r="248" spans="8:8" ht="13.2">
      <c r="H248" s="93"/>
    </row>
    <row r="249" spans="8:8" ht="13.2">
      <c r="H249" s="93"/>
    </row>
    <row r="250" spans="8:8" ht="13.2">
      <c r="H250" s="93"/>
    </row>
    <row r="251" spans="8:8" ht="13.2">
      <c r="H251" s="93"/>
    </row>
    <row r="252" spans="8:8" ht="13.2">
      <c r="H252" s="93"/>
    </row>
    <row r="253" spans="8:8" ht="13.2">
      <c r="H253" s="93"/>
    </row>
    <row r="254" spans="8:8" ht="13.2">
      <c r="H254" s="93"/>
    </row>
    <row r="255" spans="8:8" ht="13.2">
      <c r="H255" s="93"/>
    </row>
    <row r="256" spans="8:8" ht="13.2">
      <c r="H256" s="93"/>
    </row>
    <row r="257" spans="8:8" ht="13.2">
      <c r="H257" s="93"/>
    </row>
    <row r="258" spans="8:8" ht="13.2">
      <c r="H258" s="93"/>
    </row>
    <row r="259" spans="8:8" ht="13.2">
      <c r="H259" s="93"/>
    </row>
    <row r="260" spans="8:8" ht="13.2">
      <c r="H260" s="93"/>
    </row>
    <row r="261" spans="8:8" ht="13.2">
      <c r="H261" s="93"/>
    </row>
    <row r="262" spans="8:8" ht="13.2">
      <c r="H262" s="93"/>
    </row>
    <row r="263" spans="8:8" ht="13.2">
      <c r="H263" s="93"/>
    </row>
    <row r="264" spans="8:8" ht="13.2">
      <c r="H264" s="93"/>
    </row>
    <row r="265" spans="8:8" ht="13.2">
      <c r="H265" s="93"/>
    </row>
    <row r="266" spans="8:8" ht="13.2">
      <c r="H266" s="93"/>
    </row>
    <row r="267" spans="8:8" ht="13.2">
      <c r="H267" s="93"/>
    </row>
    <row r="268" spans="8:8" ht="13.2">
      <c r="H268" s="93"/>
    </row>
    <row r="269" spans="8:8" ht="13.2">
      <c r="H269" s="93"/>
    </row>
    <row r="270" spans="8:8" ht="13.2">
      <c r="H270" s="93"/>
    </row>
    <row r="271" spans="8:8" ht="13.2">
      <c r="H271" s="93"/>
    </row>
    <row r="272" spans="8:8" ht="13.2">
      <c r="H272" s="93"/>
    </row>
    <row r="273" spans="8:8" ht="13.2">
      <c r="H273" s="93"/>
    </row>
    <row r="274" spans="8:8" ht="13.2">
      <c r="H274" s="93"/>
    </row>
    <row r="275" spans="8:8" ht="13.2">
      <c r="H275" s="93"/>
    </row>
    <row r="276" spans="8:8" ht="13.2">
      <c r="H276" s="93"/>
    </row>
    <row r="277" spans="8:8" ht="13.2">
      <c r="H277" s="93"/>
    </row>
    <row r="278" spans="8:8" ht="13.2">
      <c r="H278" s="93"/>
    </row>
    <row r="279" spans="8:8" ht="13.2">
      <c r="H279" s="93"/>
    </row>
    <row r="280" spans="8:8" ht="13.2">
      <c r="H280" s="93"/>
    </row>
    <row r="281" spans="8:8" ht="13.2">
      <c r="H281" s="93"/>
    </row>
    <row r="282" spans="8:8" ht="13.2">
      <c r="H282" s="93"/>
    </row>
    <row r="283" spans="8:8" ht="13.2">
      <c r="H283" s="93"/>
    </row>
    <row r="284" spans="8:8" ht="13.2">
      <c r="H284" s="93"/>
    </row>
    <row r="285" spans="8:8" ht="13.2">
      <c r="H285" s="93"/>
    </row>
    <row r="286" spans="8:8" ht="13.2">
      <c r="H286" s="93"/>
    </row>
    <row r="287" spans="8:8" ht="13.2">
      <c r="H287" s="93"/>
    </row>
    <row r="288" spans="8:8" ht="13.2">
      <c r="H288" s="93"/>
    </row>
    <row r="289" spans="8:8" ht="13.2">
      <c r="H289" s="93"/>
    </row>
    <row r="290" spans="8:8" ht="13.2">
      <c r="H290" s="93"/>
    </row>
    <row r="291" spans="8:8" ht="13.2">
      <c r="H291" s="93"/>
    </row>
    <row r="292" spans="8:8" ht="13.2">
      <c r="H292" s="93"/>
    </row>
    <row r="293" spans="8:8" ht="13.2">
      <c r="H293" s="93"/>
    </row>
    <row r="294" spans="8:8" ht="13.2">
      <c r="H294" s="93"/>
    </row>
    <row r="295" spans="8:8" ht="13.2">
      <c r="H295" s="93"/>
    </row>
    <row r="296" spans="8:8" ht="13.2">
      <c r="H296" s="93"/>
    </row>
    <row r="297" spans="8:8" ht="13.2">
      <c r="H297" s="93"/>
    </row>
    <row r="298" spans="8:8" ht="13.2">
      <c r="H298" s="93"/>
    </row>
    <row r="299" spans="8:8" ht="13.2">
      <c r="H299" s="93"/>
    </row>
    <row r="300" spans="8:8" ht="13.2">
      <c r="H300" s="93"/>
    </row>
    <row r="301" spans="8:8" ht="13.2">
      <c r="H301" s="93"/>
    </row>
    <row r="302" spans="8:8" ht="13.2">
      <c r="H302" s="93"/>
    </row>
    <row r="303" spans="8:8" ht="13.2">
      <c r="H303" s="93"/>
    </row>
    <row r="304" spans="8:8" ht="13.2">
      <c r="H304" s="93"/>
    </row>
    <row r="305" spans="8:8" ht="13.2">
      <c r="H305" s="93"/>
    </row>
    <row r="306" spans="8:8" ht="13.2">
      <c r="H306" s="93"/>
    </row>
    <row r="307" spans="8:8" ht="13.2">
      <c r="H307" s="93"/>
    </row>
    <row r="308" spans="8:8" ht="13.2">
      <c r="H308" s="93"/>
    </row>
    <row r="309" spans="8:8" ht="13.2">
      <c r="H309" s="93"/>
    </row>
    <row r="310" spans="8:8" ht="13.2">
      <c r="H310" s="93"/>
    </row>
    <row r="311" spans="8:8" ht="13.2">
      <c r="H311" s="93"/>
    </row>
    <row r="312" spans="8:8" ht="13.2">
      <c r="H312" s="93"/>
    </row>
    <row r="313" spans="8:8" ht="13.2">
      <c r="H313" s="93"/>
    </row>
    <row r="314" spans="8:8" ht="13.2">
      <c r="H314" s="93"/>
    </row>
    <row r="315" spans="8:8" ht="13.2">
      <c r="H315" s="93"/>
    </row>
    <row r="316" spans="8:8" ht="13.2">
      <c r="H316" s="93"/>
    </row>
    <row r="317" spans="8:8" ht="13.2">
      <c r="H317" s="93"/>
    </row>
    <row r="318" spans="8:8" ht="13.2">
      <c r="H318" s="93"/>
    </row>
    <row r="319" spans="8:8" ht="13.2">
      <c r="H319" s="93"/>
    </row>
    <row r="320" spans="8:8" ht="13.2">
      <c r="H320" s="93"/>
    </row>
    <row r="321" spans="8:8" ht="13.2">
      <c r="H321" s="93"/>
    </row>
    <row r="322" spans="8:8" ht="13.2">
      <c r="H322" s="93"/>
    </row>
    <row r="323" spans="8:8" ht="13.2">
      <c r="H323" s="93"/>
    </row>
    <row r="324" spans="8:8" ht="13.2">
      <c r="H324" s="93"/>
    </row>
    <row r="325" spans="8:8" ht="13.2">
      <c r="H325" s="93"/>
    </row>
    <row r="326" spans="8:8" ht="13.2">
      <c r="H326" s="93"/>
    </row>
    <row r="327" spans="8:8" ht="13.2">
      <c r="H327" s="93"/>
    </row>
    <row r="328" spans="8:8" ht="13.2">
      <c r="H328" s="93"/>
    </row>
    <row r="329" spans="8:8" ht="13.2">
      <c r="H329" s="93"/>
    </row>
    <row r="330" spans="8:8" ht="13.2">
      <c r="H330" s="93"/>
    </row>
    <row r="331" spans="8:8" ht="13.2">
      <c r="H331" s="93"/>
    </row>
    <row r="332" spans="8:8" ht="13.2">
      <c r="H332" s="93"/>
    </row>
    <row r="333" spans="8:8" ht="13.2">
      <c r="H333" s="93"/>
    </row>
    <row r="334" spans="8:8" ht="13.2">
      <c r="H334" s="93"/>
    </row>
    <row r="335" spans="8:8" ht="13.2">
      <c r="H335" s="93"/>
    </row>
    <row r="336" spans="8:8" ht="13.2">
      <c r="H336" s="93"/>
    </row>
    <row r="337" spans="8:8" ht="13.2">
      <c r="H337" s="93"/>
    </row>
    <row r="338" spans="8:8" ht="13.2">
      <c r="H338" s="93"/>
    </row>
    <row r="339" spans="8:8" ht="13.2">
      <c r="H339" s="93"/>
    </row>
    <row r="340" spans="8:8" ht="13.2">
      <c r="H340" s="93"/>
    </row>
    <row r="341" spans="8:8" ht="13.2">
      <c r="H341" s="93"/>
    </row>
    <row r="342" spans="8:8" ht="13.2">
      <c r="H342" s="93"/>
    </row>
    <row r="343" spans="8:8" ht="13.2">
      <c r="H343" s="93"/>
    </row>
    <row r="344" spans="8:8" ht="13.2">
      <c r="H344" s="93"/>
    </row>
    <row r="345" spans="8:8" ht="13.2">
      <c r="H345" s="93"/>
    </row>
    <row r="346" spans="8:8" ht="13.2">
      <c r="H346" s="93"/>
    </row>
    <row r="347" spans="8:8" ht="13.2">
      <c r="H347" s="93"/>
    </row>
    <row r="348" spans="8:8" ht="13.2">
      <c r="H348" s="93"/>
    </row>
    <row r="349" spans="8:8" ht="13.2">
      <c r="H349" s="93"/>
    </row>
    <row r="350" spans="8:8" ht="13.2">
      <c r="H350" s="93"/>
    </row>
    <row r="351" spans="8:8" ht="13.2">
      <c r="H351" s="93"/>
    </row>
    <row r="352" spans="8:8" ht="13.2">
      <c r="H352" s="93"/>
    </row>
    <row r="353" spans="8:8" ht="13.2">
      <c r="H353" s="93"/>
    </row>
    <row r="354" spans="8:8" ht="13.2">
      <c r="H354" s="93"/>
    </row>
    <row r="355" spans="8:8" ht="13.2">
      <c r="H355" s="93"/>
    </row>
    <row r="356" spans="8:8" ht="13.2">
      <c r="H356" s="93"/>
    </row>
    <row r="357" spans="8:8" ht="13.2">
      <c r="H357" s="93"/>
    </row>
    <row r="358" spans="8:8" ht="13.2">
      <c r="H358" s="93"/>
    </row>
    <row r="359" spans="8:8" ht="13.2">
      <c r="H359" s="93"/>
    </row>
    <row r="360" spans="8:8" ht="13.2">
      <c r="H360" s="93"/>
    </row>
    <row r="361" spans="8:8" ht="13.2">
      <c r="H361" s="93"/>
    </row>
    <row r="362" spans="8:8" ht="13.2">
      <c r="H362" s="93"/>
    </row>
    <row r="363" spans="8:8" ht="13.2">
      <c r="H363" s="93"/>
    </row>
    <row r="364" spans="8:8" ht="13.2">
      <c r="H364" s="93"/>
    </row>
    <row r="365" spans="8:8" ht="13.2">
      <c r="H365" s="93"/>
    </row>
    <row r="366" spans="8:8" ht="13.2">
      <c r="H366" s="93"/>
    </row>
    <row r="367" spans="8:8" ht="13.2">
      <c r="H367" s="93"/>
    </row>
    <row r="368" spans="8:8" ht="13.2">
      <c r="H368" s="93"/>
    </row>
    <row r="369" spans="8:8" ht="13.2">
      <c r="H369" s="93"/>
    </row>
    <row r="370" spans="8:8" ht="13.2">
      <c r="H370" s="93"/>
    </row>
    <row r="371" spans="8:8" ht="13.2">
      <c r="H371" s="93"/>
    </row>
    <row r="372" spans="8:8" ht="13.2">
      <c r="H372" s="93"/>
    </row>
    <row r="373" spans="8:8" ht="13.2">
      <c r="H373" s="93"/>
    </row>
    <row r="374" spans="8:8" ht="13.2">
      <c r="H374" s="93"/>
    </row>
    <row r="375" spans="8:8" ht="13.2">
      <c r="H375" s="93"/>
    </row>
    <row r="376" spans="8:8" ht="13.2">
      <c r="H376" s="93"/>
    </row>
    <row r="377" spans="8:8" ht="13.2">
      <c r="H377" s="93"/>
    </row>
    <row r="378" spans="8:8" ht="13.2">
      <c r="H378" s="93"/>
    </row>
    <row r="379" spans="8:8" ht="13.2">
      <c r="H379" s="93"/>
    </row>
    <row r="380" spans="8:8" ht="13.2">
      <c r="H380" s="93"/>
    </row>
    <row r="381" spans="8:8" ht="13.2">
      <c r="H381" s="93"/>
    </row>
    <row r="382" spans="8:8" ht="13.2">
      <c r="H382" s="93"/>
    </row>
    <row r="383" spans="8:8" ht="13.2">
      <c r="H383" s="93"/>
    </row>
    <row r="384" spans="8:8" ht="13.2">
      <c r="H384" s="93"/>
    </row>
    <row r="385" spans="8:8" ht="13.2">
      <c r="H385" s="93"/>
    </row>
    <row r="386" spans="8:8" ht="13.2">
      <c r="H386" s="93"/>
    </row>
    <row r="387" spans="8:8" ht="13.2">
      <c r="H387" s="93"/>
    </row>
    <row r="388" spans="8:8" ht="13.2">
      <c r="H388" s="93"/>
    </row>
    <row r="389" spans="8:8" ht="13.2">
      <c r="H389" s="93"/>
    </row>
    <row r="390" spans="8:8" ht="13.2">
      <c r="H390" s="93"/>
    </row>
    <row r="391" spans="8:8" ht="13.2">
      <c r="H391" s="93"/>
    </row>
    <row r="392" spans="8:8" ht="13.2">
      <c r="H392" s="93"/>
    </row>
    <row r="393" spans="8:8" ht="13.2">
      <c r="H393" s="93"/>
    </row>
    <row r="394" spans="8:8" ht="13.2">
      <c r="H394" s="93"/>
    </row>
    <row r="395" spans="8:8" ht="13.2">
      <c r="H395" s="93"/>
    </row>
    <row r="396" spans="8:8" ht="13.2">
      <c r="H396" s="93"/>
    </row>
    <row r="397" spans="8:8" ht="13.2">
      <c r="H397" s="93"/>
    </row>
    <row r="398" spans="8:8" ht="13.2">
      <c r="H398" s="93"/>
    </row>
    <row r="399" spans="8:8" ht="13.2">
      <c r="H399" s="93"/>
    </row>
    <row r="400" spans="8:8" ht="13.2">
      <c r="H400" s="93"/>
    </row>
    <row r="401" spans="8:8" ht="13.2">
      <c r="H401" s="93"/>
    </row>
    <row r="402" spans="8:8" ht="13.2">
      <c r="H402" s="93"/>
    </row>
    <row r="403" spans="8:8" ht="13.2">
      <c r="H403" s="93"/>
    </row>
    <row r="404" spans="8:8" ht="13.2">
      <c r="H404" s="93"/>
    </row>
    <row r="405" spans="8:8" ht="13.2">
      <c r="H405" s="93"/>
    </row>
    <row r="406" spans="8:8" ht="13.2">
      <c r="H406" s="93"/>
    </row>
    <row r="407" spans="8:8" ht="13.2">
      <c r="H407" s="93"/>
    </row>
    <row r="408" spans="8:8" ht="13.2">
      <c r="H408" s="93"/>
    </row>
    <row r="409" spans="8:8" ht="13.2">
      <c r="H409" s="93"/>
    </row>
    <row r="410" spans="8:8" ht="13.2">
      <c r="H410" s="93"/>
    </row>
    <row r="411" spans="8:8" ht="13.2">
      <c r="H411" s="93"/>
    </row>
    <row r="412" spans="8:8" ht="13.2">
      <c r="H412" s="93"/>
    </row>
    <row r="413" spans="8:8" ht="13.2">
      <c r="H413" s="93"/>
    </row>
    <row r="414" spans="8:8" ht="13.2">
      <c r="H414" s="93"/>
    </row>
    <row r="415" spans="8:8" ht="13.2">
      <c r="H415" s="93"/>
    </row>
    <row r="416" spans="8:8" ht="13.2">
      <c r="H416" s="93"/>
    </row>
    <row r="417" spans="8:8" ht="13.2">
      <c r="H417" s="93"/>
    </row>
    <row r="418" spans="8:8" ht="13.2">
      <c r="H418" s="93"/>
    </row>
    <row r="419" spans="8:8" ht="13.2">
      <c r="H419" s="93"/>
    </row>
    <row r="420" spans="8:8" ht="13.2">
      <c r="H420" s="93"/>
    </row>
    <row r="421" spans="8:8" ht="13.2">
      <c r="H421" s="93"/>
    </row>
    <row r="422" spans="8:8" ht="13.2">
      <c r="H422" s="93"/>
    </row>
    <row r="423" spans="8:8" ht="13.2">
      <c r="H423" s="93"/>
    </row>
    <row r="424" spans="8:8" ht="13.2">
      <c r="H424" s="93"/>
    </row>
    <row r="425" spans="8:8" ht="13.2">
      <c r="H425" s="93"/>
    </row>
    <row r="426" spans="8:8" ht="13.2">
      <c r="H426" s="93"/>
    </row>
    <row r="427" spans="8:8" ht="13.2">
      <c r="H427" s="93"/>
    </row>
    <row r="428" spans="8:8" ht="13.2">
      <c r="H428" s="93"/>
    </row>
    <row r="429" spans="8:8" ht="13.2">
      <c r="H429" s="93"/>
    </row>
    <row r="430" spans="8:8" ht="13.2">
      <c r="H430" s="93"/>
    </row>
    <row r="431" spans="8:8" ht="13.2">
      <c r="H431" s="93"/>
    </row>
    <row r="432" spans="8:8" ht="13.2">
      <c r="H432" s="93"/>
    </row>
    <row r="433" spans="8:8" ht="13.2">
      <c r="H433" s="93"/>
    </row>
    <row r="434" spans="8:8" ht="13.2">
      <c r="H434" s="93"/>
    </row>
    <row r="435" spans="8:8" ht="13.2">
      <c r="H435" s="93"/>
    </row>
    <row r="436" spans="8:8" ht="13.2">
      <c r="H436" s="93"/>
    </row>
    <row r="437" spans="8:8" ht="13.2">
      <c r="H437" s="93"/>
    </row>
    <row r="438" spans="8:8" ht="13.2">
      <c r="H438" s="93"/>
    </row>
    <row r="439" spans="8:8" ht="13.2">
      <c r="H439" s="93"/>
    </row>
    <row r="440" spans="8:8" ht="13.2">
      <c r="H440" s="93"/>
    </row>
    <row r="441" spans="8:8" ht="13.2">
      <c r="H441" s="93"/>
    </row>
    <row r="442" spans="8:8" ht="13.2">
      <c r="H442" s="93"/>
    </row>
    <row r="443" spans="8:8" ht="13.2">
      <c r="H443" s="93"/>
    </row>
    <row r="444" spans="8:8" ht="13.2">
      <c r="H444" s="93"/>
    </row>
    <row r="445" spans="8:8" ht="13.2">
      <c r="H445" s="93"/>
    </row>
    <row r="446" spans="8:8" ht="13.2">
      <c r="H446" s="93"/>
    </row>
    <row r="447" spans="8:8" ht="13.2">
      <c r="H447" s="93"/>
    </row>
    <row r="448" spans="8:8" ht="13.2">
      <c r="H448" s="93"/>
    </row>
    <row r="449" spans="8:8" ht="13.2">
      <c r="H449" s="93"/>
    </row>
    <row r="450" spans="8:8" ht="13.2">
      <c r="H450" s="93"/>
    </row>
    <row r="451" spans="8:8" ht="13.2">
      <c r="H451" s="93"/>
    </row>
    <row r="452" spans="8:8" ht="13.2">
      <c r="H452" s="93"/>
    </row>
    <row r="453" spans="8:8" ht="13.2">
      <c r="H453" s="93"/>
    </row>
    <row r="454" spans="8:8" ht="13.2">
      <c r="H454" s="93"/>
    </row>
    <row r="455" spans="8:8" ht="13.2">
      <c r="H455" s="93"/>
    </row>
    <row r="456" spans="8:8" ht="13.2">
      <c r="H456" s="93"/>
    </row>
    <row r="457" spans="8:8" ht="13.2">
      <c r="H457" s="93"/>
    </row>
    <row r="458" spans="8:8" ht="13.2">
      <c r="H458" s="93"/>
    </row>
    <row r="459" spans="8:8" ht="13.2">
      <c r="H459" s="93"/>
    </row>
    <row r="460" spans="8:8" ht="13.2">
      <c r="H460" s="93"/>
    </row>
    <row r="461" spans="8:8" ht="13.2">
      <c r="H461" s="93"/>
    </row>
    <row r="462" spans="8:8" ht="13.2">
      <c r="H462" s="93"/>
    </row>
    <row r="463" spans="8:8" ht="13.2">
      <c r="H463" s="93"/>
    </row>
    <row r="464" spans="8:8" ht="13.2">
      <c r="H464" s="93"/>
    </row>
    <row r="465" spans="8:8" ht="13.2">
      <c r="H465" s="93"/>
    </row>
    <row r="466" spans="8:8" ht="13.2">
      <c r="H466" s="93"/>
    </row>
    <row r="467" spans="8:8" ht="13.2">
      <c r="H467" s="93"/>
    </row>
    <row r="468" spans="8:8" ht="13.2">
      <c r="H468" s="93"/>
    </row>
    <row r="469" spans="8:8" ht="13.2">
      <c r="H469" s="93"/>
    </row>
    <row r="470" spans="8:8" ht="13.2">
      <c r="H470" s="93"/>
    </row>
    <row r="471" spans="8:8" ht="13.2">
      <c r="H471" s="93"/>
    </row>
    <row r="472" spans="8:8" ht="13.2">
      <c r="H472" s="93"/>
    </row>
    <row r="473" spans="8:8" ht="13.2">
      <c r="H473" s="93"/>
    </row>
    <row r="474" spans="8:8" ht="13.2">
      <c r="H474" s="93"/>
    </row>
    <row r="475" spans="8:8" ht="13.2">
      <c r="H475" s="93"/>
    </row>
    <row r="476" spans="8:8" ht="13.2">
      <c r="H476" s="93"/>
    </row>
    <row r="477" spans="8:8" ht="13.2">
      <c r="H477" s="93"/>
    </row>
    <row r="478" spans="8:8" ht="13.2">
      <c r="H478" s="93"/>
    </row>
    <row r="479" spans="8:8" ht="13.2">
      <c r="H479" s="93"/>
    </row>
    <row r="480" spans="8:8" ht="13.2">
      <c r="H480" s="93"/>
    </row>
    <row r="481" spans="8:8" ht="13.2">
      <c r="H481" s="93"/>
    </row>
    <row r="482" spans="8:8" ht="13.2">
      <c r="H482" s="93"/>
    </row>
    <row r="483" spans="8:8" ht="13.2">
      <c r="H483" s="93"/>
    </row>
    <row r="484" spans="8:8" ht="13.2">
      <c r="H484" s="93"/>
    </row>
    <row r="485" spans="8:8" ht="13.2">
      <c r="H485" s="93"/>
    </row>
    <row r="486" spans="8:8" ht="13.2">
      <c r="H486" s="93"/>
    </row>
    <row r="487" spans="8:8" ht="13.2">
      <c r="H487" s="93"/>
    </row>
    <row r="488" spans="8:8" ht="13.2">
      <c r="H488" s="93"/>
    </row>
    <row r="489" spans="8:8" ht="13.2">
      <c r="H489" s="93"/>
    </row>
    <row r="490" spans="8:8" ht="13.2">
      <c r="H490" s="93"/>
    </row>
    <row r="491" spans="8:8" ht="13.2">
      <c r="H491" s="93"/>
    </row>
    <row r="492" spans="8:8" ht="13.2">
      <c r="H492" s="93"/>
    </row>
    <row r="493" spans="8:8" ht="13.2">
      <c r="H493" s="93"/>
    </row>
    <row r="494" spans="8:8" ht="13.2">
      <c r="H494" s="93"/>
    </row>
    <row r="495" spans="8:8" ht="13.2">
      <c r="H495" s="93"/>
    </row>
    <row r="496" spans="8:8" ht="13.2">
      <c r="H496" s="93"/>
    </row>
    <row r="497" spans="8:8" ht="13.2">
      <c r="H497" s="93"/>
    </row>
    <row r="498" spans="8:8" ht="13.2">
      <c r="H498" s="93"/>
    </row>
    <row r="499" spans="8:8" ht="13.2">
      <c r="H499" s="93"/>
    </row>
    <row r="500" spans="8:8" ht="13.2">
      <c r="H500" s="93"/>
    </row>
    <row r="501" spans="8:8" ht="13.2">
      <c r="H501" s="93"/>
    </row>
    <row r="502" spans="8:8" ht="13.2">
      <c r="H502" s="93"/>
    </row>
    <row r="503" spans="8:8" ht="13.2">
      <c r="H503" s="93"/>
    </row>
    <row r="504" spans="8:8" ht="13.2">
      <c r="H504" s="93"/>
    </row>
    <row r="505" spans="8:8" ht="13.2">
      <c r="H505" s="93"/>
    </row>
    <row r="506" spans="8:8" ht="13.2">
      <c r="H506" s="93"/>
    </row>
    <row r="507" spans="8:8" ht="13.2">
      <c r="H507" s="93"/>
    </row>
    <row r="508" spans="8:8" ht="13.2">
      <c r="H508" s="93"/>
    </row>
    <row r="509" spans="8:8" ht="13.2">
      <c r="H509" s="93"/>
    </row>
    <row r="510" spans="8:8" ht="13.2">
      <c r="H510" s="93"/>
    </row>
    <row r="511" spans="8:8" ht="13.2">
      <c r="H511" s="93"/>
    </row>
    <row r="512" spans="8:8" ht="13.2">
      <c r="H512" s="93"/>
    </row>
    <row r="513" spans="8:8" ht="13.2">
      <c r="H513" s="93"/>
    </row>
    <row r="514" spans="8:8" ht="13.2">
      <c r="H514" s="93"/>
    </row>
    <row r="515" spans="8:8" ht="13.2">
      <c r="H515" s="93"/>
    </row>
    <row r="516" spans="8:8" ht="13.2">
      <c r="H516" s="93"/>
    </row>
    <row r="517" spans="8:8" ht="13.2">
      <c r="H517" s="93"/>
    </row>
    <row r="518" spans="8:8" ht="13.2">
      <c r="H518" s="93"/>
    </row>
    <row r="519" spans="8:8" ht="13.2">
      <c r="H519" s="93"/>
    </row>
    <row r="520" spans="8:8" ht="13.2">
      <c r="H520" s="93"/>
    </row>
    <row r="521" spans="8:8" ht="13.2">
      <c r="H521" s="93"/>
    </row>
    <row r="522" spans="8:8" ht="13.2">
      <c r="H522" s="93"/>
    </row>
    <row r="523" spans="8:8" ht="13.2">
      <c r="H523" s="93"/>
    </row>
    <row r="524" spans="8:8" ht="13.2">
      <c r="H524" s="93"/>
    </row>
    <row r="525" spans="8:8" ht="13.2">
      <c r="H525" s="93"/>
    </row>
    <row r="526" spans="8:8" ht="13.2">
      <c r="H526" s="93"/>
    </row>
    <row r="527" spans="8:8" ht="13.2">
      <c r="H527" s="93"/>
    </row>
    <row r="528" spans="8:8" ht="13.2">
      <c r="H528" s="93"/>
    </row>
    <row r="529" spans="8:8" ht="13.2">
      <c r="H529" s="93"/>
    </row>
    <row r="530" spans="8:8" ht="13.2">
      <c r="H530" s="93"/>
    </row>
    <row r="531" spans="8:8" ht="13.2">
      <c r="H531" s="93"/>
    </row>
    <row r="532" spans="8:8" ht="13.2">
      <c r="H532" s="93"/>
    </row>
    <row r="533" spans="8:8" ht="13.2">
      <c r="H533" s="93"/>
    </row>
    <row r="534" spans="8:8" ht="13.2">
      <c r="H534" s="93"/>
    </row>
    <row r="535" spans="8:8" ht="13.2">
      <c r="H535" s="93"/>
    </row>
    <row r="536" spans="8:8" ht="13.2">
      <c r="H536" s="93"/>
    </row>
    <row r="537" spans="8:8" ht="13.2">
      <c r="H537" s="93"/>
    </row>
    <row r="538" spans="8:8" ht="13.2">
      <c r="H538" s="93"/>
    </row>
    <row r="539" spans="8:8" ht="13.2">
      <c r="H539" s="93"/>
    </row>
    <row r="540" spans="8:8" ht="13.2">
      <c r="H540" s="93"/>
    </row>
    <row r="541" spans="8:8" ht="13.2">
      <c r="H541" s="93"/>
    </row>
    <row r="542" spans="8:8" ht="13.2">
      <c r="H542" s="93"/>
    </row>
    <row r="543" spans="8:8" ht="13.2">
      <c r="H543" s="93"/>
    </row>
    <row r="544" spans="8:8" ht="13.2">
      <c r="H544" s="93"/>
    </row>
    <row r="545" spans="8:8" ht="13.2">
      <c r="H545" s="93"/>
    </row>
    <row r="546" spans="8:8" ht="13.2">
      <c r="H546" s="93"/>
    </row>
    <row r="547" spans="8:8" ht="13.2">
      <c r="H547" s="93"/>
    </row>
    <row r="548" spans="8:8" ht="13.2">
      <c r="H548" s="93"/>
    </row>
    <row r="549" spans="8:8" ht="13.2">
      <c r="H549" s="93"/>
    </row>
    <row r="550" spans="8:8" ht="13.2">
      <c r="H550" s="93"/>
    </row>
    <row r="551" spans="8:8" ht="13.2">
      <c r="H551" s="93"/>
    </row>
    <row r="552" spans="8:8" ht="13.2">
      <c r="H552" s="93"/>
    </row>
    <row r="553" spans="8:8" ht="13.2">
      <c r="H553" s="93"/>
    </row>
    <row r="554" spans="8:8" ht="13.2">
      <c r="H554" s="93"/>
    </row>
    <row r="555" spans="8:8" ht="13.2">
      <c r="H555" s="93"/>
    </row>
    <row r="556" spans="8:8" ht="13.2">
      <c r="H556" s="93"/>
    </row>
    <row r="557" spans="8:8" ht="13.2">
      <c r="H557" s="93"/>
    </row>
    <row r="558" spans="8:8" ht="13.2">
      <c r="H558" s="93"/>
    </row>
    <row r="559" spans="8:8" ht="13.2">
      <c r="H559" s="93"/>
    </row>
    <row r="560" spans="8:8" ht="13.2">
      <c r="H560" s="93"/>
    </row>
    <row r="561" spans="8:8" ht="13.2">
      <c r="H561" s="93"/>
    </row>
    <row r="562" spans="8:8" ht="13.2">
      <c r="H562" s="93"/>
    </row>
    <row r="563" spans="8:8" ht="13.2">
      <c r="H563" s="93"/>
    </row>
    <row r="564" spans="8:8" ht="13.2">
      <c r="H564" s="93"/>
    </row>
    <row r="565" spans="8:8" ht="13.2">
      <c r="H565" s="93"/>
    </row>
    <row r="566" spans="8:8" ht="13.2">
      <c r="H566" s="93"/>
    </row>
    <row r="567" spans="8:8" ht="13.2">
      <c r="H567" s="93"/>
    </row>
    <row r="568" spans="8:8" ht="13.2">
      <c r="H568" s="93"/>
    </row>
    <row r="569" spans="8:8" ht="13.2">
      <c r="H569" s="93"/>
    </row>
    <row r="570" spans="8:8" ht="13.2">
      <c r="H570" s="93"/>
    </row>
    <row r="571" spans="8:8" ht="13.2">
      <c r="H571" s="93"/>
    </row>
    <row r="572" spans="8:8" ht="13.2">
      <c r="H572" s="93"/>
    </row>
    <row r="573" spans="8:8" ht="13.2">
      <c r="H573" s="93"/>
    </row>
    <row r="574" spans="8:8" ht="13.2">
      <c r="H574" s="93"/>
    </row>
    <row r="575" spans="8:8" ht="13.2">
      <c r="H575" s="93"/>
    </row>
    <row r="576" spans="8:8" ht="13.2">
      <c r="H576" s="93"/>
    </row>
    <row r="577" spans="8:8" ht="13.2">
      <c r="H577" s="93"/>
    </row>
    <row r="578" spans="8:8" ht="13.2">
      <c r="H578" s="93"/>
    </row>
    <row r="579" spans="8:8" ht="13.2">
      <c r="H579" s="93"/>
    </row>
    <row r="580" spans="8:8" ht="13.2">
      <c r="H580" s="93"/>
    </row>
    <row r="581" spans="8:8" ht="13.2">
      <c r="H581" s="93"/>
    </row>
    <row r="582" spans="8:8" ht="13.2">
      <c r="H582" s="93"/>
    </row>
    <row r="583" spans="8:8" ht="13.2">
      <c r="H583" s="93"/>
    </row>
    <row r="584" spans="8:8" ht="13.2">
      <c r="H584" s="93"/>
    </row>
    <row r="585" spans="8:8" ht="13.2">
      <c r="H585" s="93"/>
    </row>
    <row r="586" spans="8:8" ht="13.2">
      <c r="H586" s="93"/>
    </row>
    <row r="587" spans="8:8" ht="13.2">
      <c r="H587" s="93"/>
    </row>
    <row r="588" spans="8:8" ht="13.2">
      <c r="H588" s="93"/>
    </row>
    <row r="589" spans="8:8" ht="13.2">
      <c r="H589" s="93"/>
    </row>
    <row r="590" spans="8:8" ht="13.2">
      <c r="H590" s="93"/>
    </row>
    <row r="591" spans="8:8" ht="13.2">
      <c r="H591" s="93"/>
    </row>
    <row r="592" spans="8:8" ht="13.2">
      <c r="H592" s="93"/>
    </row>
    <row r="593" spans="8:8" ht="13.2">
      <c r="H593" s="93"/>
    </row>
    <row r="594" spans="8:8" ht="13.2">
      <c r="H594" s="93"/>
    </row>
    <row r="595" spans="8:8" ht="13.2">
      <c r="H595" s="93"/>
    </row>
    <row r="596" spans="8:8" ht="13.2">
      <c r="H596" s="93"/>
    </row>
    <row r="597" spans="8:8" ht="13.2">
      <c r="H597" s="93"/>
    </row>
    <row r="598" spans="8:8" ht="13.2">
      <c r="H598" s="93"/>
    </row>
    <row r="599" spans="8:8" ht="13.2">
      <c r="H599" s="93"/>
    </row>
    <row r="600" spans="8:8" ht="13.2">
      <c r="H600" s="93"/>
    </row>
    <row r="601" spans="8:8" ht="13.2">
      <c r="H601" s="93"/>
    </row>
    <row r="602" spans="8:8" ht="13.2">
      <c r="H602" s="93"/>
    </row>
    <row r="603" spans="8:8" ht="13.2">
      <c r="H603" s="93"/>
    </row>
    <row r="604" spans="8:8" ht="13.2">
      <c r="H604" s="93"/>
    </row>
    <row r="605" spans="8:8" ht="13.2">
      <c r="H605" s="93"/>
    </row>
    <row r="606" spans="8:8" ht="13.2">
      <c r="H606" s="93"/>
    </row>
    <row r="607" spans="8:8" ht="13.2">
      <c r="H607" s="93"/>
    </row>
    <row r="608" spans="8:8" ht="13.2">
      <c r="H608" s="93"/>
    </row>
    <row r="609" spans="8:8" ht="13.2">
      <c r="H609" s="93"/>
    </row>
    <row r="610" spans="8:8" ht="13.2">
      <c r="H610" s="93"/>
    </row>
    <row r="611" spans="8:8" ht="13.2">
      <c r="H611" s="93"/>
    </row>
    <row r="612" spans="8:8" ht="13.2">
      <c r="H612" s="93"/>
    </row>
    <row r="613" spans="8:8" ht="13.2">
      <c r="H613" s="93"/>
    </row>
    <row r="614" spans="8:8" ht="13.2">
      <c r="H614" s="93"/>
    </row>
    <row r="615" spans="8:8" ht="13.2">
      <c r="H615" s="93"/>
    </row>
    <row r="616" spans="8:8" ht="13.2">
      <c r="H616" s="93"/>
    </row>
    <row r="617" spans="8:8" ht="13.2">
      <c r="H617" s="93"/>
    </row>
    <row r="618" spans="8:8" ht="13.2">
      <c r="H618" s="93"/>
    </row>
    <row r="619" spans="8:8" ht="13.2">
      <c r="H619" s="93"/>
    </row>
    <row r="620" spans="8:8" ht="13.2">
      <c r="H620" s="93"/>
    </row>
    <row r="621" spans="8:8" ht="13.2">
      <c r="H621" s="93"/>
    </row>
    <row r="622" spans="8:8" ht="13.2">
      <c r="H622" s="93"/>
    </row>
    <row r="623" spans="8:8" ht="13.2">
      <c r="H623" s="93"/>
    </row>
    <row r="624" spans="8:8" ht="13.2">
      <c r="H624" s="93"/>
    </row>
    <row r="625" spans="8:8" ht="13.2">
      <c r="H625" s="93"/>
    </row>
    <row r="626" spans="8:8" ht="13.2">
      <c r="H626" s="93"/>
    </row>
    <row r="627" spans="8:8" ht="13.2">
      <c r="H627" s="93"/>
    </row>
    <row r="628" spans="8:8" ht="13.2">
      <c r="H628" s="93"/>
    </row>
    <row r="629" spans="8:8" ht="13.2">
      <c r="H629" s="93"/>
    </row>
    <row r="630" spans="8:8" ht="13.2">
      <c r="H630" s="93"/>
    </row>
    <row r="631" spans="8:8" ht="13.2">
      <c r="H631" s="93"/>
    </row>
    <row r="632" spans="8:8" ht="13.2">
      <c r="H632" s="93"/>
    </row>
    <row r="633" spans="8:8" ht="13.2">
      <c r="H633" s="93"/>
    </row>
    <row r="634" spans="8:8" ht="13.2">
      <c r="H634" s="93"/>
    </row>
    <row r="635" spans="8:8" ht="13.2">
      <c r="H635" s="93"/>
    </row>
    <row r="636" spans="8:8" ht="13.2">
      <c r="H636" s="93"/>
    </row>
    <row r="637" spans="8:8" ht="13.2">
      <c r="H637" s="93"/>
    </row>
    <row r="638" spans="8:8" ht="13.2">
      <c r="H638" s="93"/>
    </row>
    <row r="639" spans="8:8" ht="13.2">
      <c r="H639" s="93"/>
    </row>
    <row r="640" spans="8:8" ht="13.2">
      <c r="H640" s="93"/>
    </row>
    <row r="641" spans="8:8" ht="13.2">
      <c r="H641" s="93"/>
    </row>
    <row r="642" spans="8:8" ht="13.2">
      <c r="H642" s="93"/>
    </row>
    <row r="643" spans="8:8" ht="13.2">
      <c r="H643" s="93"/>
    </row>
    <row r="644" spans="8:8" ht="13.2">
      <c r="H644" s="93"/>
    </row>
    <row r="645" spans="8:8" ht="13.2">
      <c r="H645" s="93"/>
    </row>
    <row r="646" spans="8:8" ht="13.2">
      <c r="H646" s="93"/>
    </row>
    <row r="647" spans="8:8" ht="13.2">
      <c r="H647" s="93"/>
    </row>
    <row r="648" spans="8:8" ht="13.2">
      <c r="H648" s="93"/>
    </row>
    <row r="649" spans="8:8" ht="13.2">
      <c r="H649" s="93"/>
    </row>
    <row r="650" spans="8:8" ht="13.2">
      <c r="H650" s="93"/>
    </row>
    <row r="651" spans="8:8" ht="13.2">
      <c r="H651" s="93"/>
    </row>
    <row r="652" spans="8:8" ht="13.2">
      <c r="H652" s="93"/>
    </row>
    <row r="653" spans="8:8" ht="13.2">
      <c r="H653" s="93"/>
    </row>
    <row r="654" spans="8:8" ht="13.2">
      <c r="H654" s="93"/>
    </row>
    <row r="655" spans="8:8" ht="13.2">
      <c r="H655" s="93"/>
    </row>
    <row r="656" spans="8:8" ht="13.2">
      <c r="H656" s="93"/>
    </row>
    <row r="657" spans="8:8" ht="13.2">
      <c r="H657" s="93"/>
    </row>
    <row r="658" spans="8:8" ht="13.2">
      <c r="H658" s="93"/>
    </row>
    <row r="659" spans="8:8" ht="13.2">
      <c r="H659" s="93"/>
    </row>
    <row r="660" spans="8:8" ht="13.2">
      <c r="H660" s="93"/>
    </row>
    <row r="661" spans="8:8" ht="13.2">
      <c r="H661" s="93"/>
    </row>
    <row r="662" spans="8:8" ht="13.2">
      <c r="H662" s="93"/>
    </row>
    <row r="663" spans="8:8" ht="13.2">
      <c r="H663" s="93"/>
    </row>
    <row r="664" spans="8:8" ht="13.2">
      <c r="H664" s="93"/>
    </row>
    <row r="665" spans="8:8" ht="13.2">
      <c r="H665" s="93"/>
    </row>
    <row r="666" spans="8:8" ht="13.2">
      <c r="H666" s="93"/>
    </row>
    <row r="667" spans="8:8" ht="13.2">
      <c r="H667" s="93"/>
    </row>
    <row r="668" spans="8:8" ht="13.2">
      <c r="H668" s="93"/>
    </row>
    <row r="669" spans="8:8" ht="13.2">
      <c r="H669" s="93"/>
    </row>
    <row r="670" spans="8:8" ht="13.2">
      <c r="H670" s="93"/>
    </row>
    <row r="671" spans="8:8" ht="13.2">
      <c r="H671" s="93"/>
    </row>
    <row r="672" spans="8:8" ht="13.2">
      <c r="H672" s="93"/>
    </row>
    <row r="673" spans="8:8" ht="13.2">
      <c r="H673" s="93"/>
    </row>
    <row r="674" spans="8:8" ht="13.2">
      <c r="H674" s="93"/>
    </row>
    <row r="675" spans="8:8" ht="13.2">
      <c r="H675" s="93"/>
    </row>
    <row r="676" spans="8:8" ht="13.2">
      <c r="H676" s="93"/>
    </row>
    <row r="677" spans="8:8" ht="13.2">
      <c r="H677" s="93"/>
    </row>
    <row r="678" spans="8:8" ht="13.2">
      <c r="H678" s="93"/>
    </row>
    <row r="679" spans="8:8" ht="13.2">
      <c r="H679" s="93"/>
    </row>
    <row r="680" spans="8:8" ht="13.2">
      <c r="H680" s="93"/>
    </row>
    <row r="681" spans="8:8" ht="13.2">
      <c r="H681" s="93"/>
    </row>
    <row r="682" spans="8:8" ht="13.2">
      <c r="H682" s="93"/>
    </row>
    <row r="683" spans="8:8" ht="13.2">
      <c r="H683" s="93"/>
    </row>
    <row r="684" spans="8:8" ht="13.2">
      <c r="H684" s="93"/>
    </row>
    <row r="685" spans="8:8" ht="13.2">
      <c r="H685" s="93"/>
    </row>
    <row r="686" spans="8:8" ht="13.2">
      <c r="H686" s="93"/>
    </row>
    <row r="687" spans="8:8" ht="13.2">
      <c r="H687" s="93"/>
    </row>
    <row r="688" spans="8:8" ht="13.2">
      <c r="H688" s="93"/>
    </row>
    <row r="689" spans="8:8" ht="13.2">
      <c r="H689" s="93"/>
    </row>
    <row r="690" spans="8:8" ht="13.2">
      <c r="H690" s="93"/>
    </row>
    <row r="691" spans="8:8" ht="13.2">
      <c r="H691" s="93"/>
    </row>
    <row r="692" spans="8:8" ht="13.2">
      <c r="H692" s="93"/>
    </row>
    <row r="693" spans="8:8" ht="13.2">
      <c r="H693" s="93"/>
    </row>
    <row r="694" spans="8:8" ht="13.2">
      <c r="H694" s="93"/>
    </row>
    <row r="695" spans="8:8" ht="13.2">
      <c r="H695" s="93"/>
    </row>
    <row r="696" spans="8:8" ht="13.2">
      <c r="H696" s="93"/>
    </row>
    <row r="697" spans="8:8" ht="13.2">
      <c r="H697" s="93"/>
    </row>
    <row r="698" spans="8:8" ht="13.2">
      <c r="H698" s="93"/>
    </row>
    <row r="699" spans="8:8" ht="13.2">
      <c r="H699" s="93"/>
    </row>
    <row r="700" spans="8:8" ht="13.2">
      <c r="H700" s="93"/>
    </row>
    <row r="701" spans="8:8" ht="13.2">
      <c r="H701" s="93"/>
    </row>
    <row r="702" spans="8:8" ht="13.2">
      <c r="H702" s="93"/>
    </row>
    <row r="703" spans="8:8" ht="13.2">
      <c r="H703" s="93"/>
    </row>
    <row r="704" spans="8:8" ht="13.2">
      <c r="H704" s="93"/>
    </row>
    <row r="705" spans="8:8" ht="13.2">
      <c r="H705" s="93"/>
    </row>
    <row r="706" spans="8:8" ht="13.2">
      <c r="H706" s="93"/>
    </row>
    <row r="707" spans="8:8" ht="13.2">
      <c r="H707" s="93"/>
    </row>
    <row r="708" spans="8:8" ht="13.2">
      <c r="H708" s="93"/>
    </row>
    <row r="709" spans="8:8" ht="13.2">
      <c r="H709" s="93"/>
    </row>
    <row r="710" spans="8:8" ht="13.2">
      <c r="H710" s="93"/>
    </row>
    <row r="711" spans="8:8" ht="13.2">
      <c r="H711" s="93"/>
    </row>
    <row r="712" spans="8:8" ht="13.2">
      <c r="H712" s="93"/>
    </row>
    <row r="713" spans="8:8" ht="13.2">
      <c r="H713" s="93"/>
    </row>
    <row r="714" spans="8:8" ht="13.2">
      <c r="H714" s="93"/>
    </row>
    <row r="715" spans="8:8" ht="13.2">
      <c r="H715" s="93"/>
    </row>
    <row r="716" spans="8:8" ht="13.2">
      <c r="H716" s="93"/>
    </row>
    <row r="717" spans="8:8" ht="13.2">
      <c r="H717" s="93"/>
    </row>
    <row r="718" spans="8:8" ht="13.2">
      <c r="H718" s="93"/>
    </row>
    <row r="719" spans="8:8" ht="13.2">
      <c r="H719" s="93"/>
    </row>
    <row r="720" spans="8:8" ht="13.2">
      <c r="H720" s="93"/>
    </row>
    <row r="721" spans="8:8" ht="13.2">
      <c r="H721" s="93"/>
    </row>
    <row r="722" spans="8:8" ht="13.2">
      <c r="H722" s="93"/>
    </row>
    <row r="723" spans="8:8" ht="13.2">
      <c r="H723" s="93"/>
    </row>
    <row r="724" spans="8:8" ht="13.2">
      <c r="H724" s="93"/>
    </row>
    <row r="725" spans="8:8" ht="13.2">
      <c r="H725" s="93"/>
    </row>
    <row r="726" spans="8:8" ht="13.2">
      <c r="H726" s="93"/>
    </row>
    <row r="727" spans="8:8" ht="13.2">
      <c r="H727" s="93"/>
    </row>
    <row r="728" spans="8:8" ht="13.2">
      <c r="H728" s="93"/>
    </row>
    <row r="729" spans="8:8" ht="13.2">
      <c r="H729" s="93"/>
    </row>
    <row r="730" spans="8:8" ht="13.2">
      <c r="H730" s="93"/>
    </row>
    <row r="731" spans="8:8" ht="13.2">
      <c r="H731" s="93"/>
    </row>
    <row r="732" spans="8:8" ht="13.2">
      <c r="H732" s="93"/>
    </row>
    <row r="733" spans="8:8" ht="13.2">
      <c r="H733" s="93"/>
    </row>
    <row r="734" spans="8:8" ht="13.2">
      <c r="H734" s="93"/>
    </row>
    <row r="735" spans="8:8" ht="13.2">
      <c r="H735" s="93"/>
    </row>
    <row r="736" spans="8:8" ht="13.2">
      <c r="H736" s="93"/>
    </row>
    <row r="737" spans="8:8" ht="13.2">
      <c r="H737" s="93"/>
    </row>
    <row r="738" spans="8:8" ht="13.2">
      <c r="H738" s="93"/>
    </row>
    <row r="739" spans="8:8" ht="13.2">
      <c r="H739" s="93"/>
    </row>
    <row r="740" spans="8:8" ht="13.2">
      <c r="H740" s="93"/>
    </row>
    <row r="741" spans="8:8" ht="13.2">
      <c r="H741" s="93"/>
    </row>
    <row r="742" spans="8:8" ht="13.2">
      <c r="H742" s="93"/>
    </row>
    <row r="743" spans="8:8" ht="13.2">
      <c r="H743" s="93"/>
    </row>
    <row r="744" spans="8:8" ht="13.2">
      <c r="H744" s="93"/>
    </row>
    <row r="745" spans="8:8" ht="13.2">
      <c r="H745" s="93"/>
    </row>
    <row r="746" spans="8:8" ht="13.2">
      <c r="H746" s="93"/>
    </row>
    <row r="747" spans="8:8" ht="13.2">
      <c r="H747" s="93"/>
    </row>
    <row r="748" spans="8:8" ht="13.2">
      <c r="H748" s="93"/>
    </row>
    <row r="749" spans="8:8" ht="13.2">
      <c r="H749" s="93"/>
    </row>
    <row r="750" spans="8:8" ht="13.2">
      <c r="H750" s="93"/>
    </row>
    <row r="751" spans="8:8" ht="13.2">
      <c r="H751" s="93"/>
    </row>
    <row r="752" spans="8:8" ht="13.2">
      <c r="H752" s="93"/>
    </row>
    <row r="753" spans="8:8" ht="13.2">
      <c r="H753" s="93"/>
    </row>
    <row r="754" spans="8:8" ht="13.2">
      <c r="H754" s="93"/>
    </row>
    <row r="755" spans="8:8" ht="13.2">
      <c r="H755" s="93"/>
    </row>
    <row r="756" spans="8:8" ht="13.2">
      <c r="H756" s="93"/>
    </row>
    <row r="757" spans="8:8" ht="13.2">
      <c r="H757" s="93"/>
    </row>
    <row r="758" spans="8:8" ht="13.2">
      <c r="H758" s="93"/>
    </row>
    <row r="759" spans="8:8" ht="13.2">
      <c r="H759" s="93"/>
    </row>
    <row r="760" spans="8:8" ht="13.2">
      <c r="H760" s="93"/>
    </row>
    <row r="761" spans="8:8" ht="13.2">
      <c r="H761" s="93"/>
    </row>
    <row r="762" spans="8:8" ht="13.2">
      <c r="H762" s="93"/>
    </row>
    <row r="763" spans="8:8" ht="13.2">
      <c r="H763" s="93"/>
    </row>
    <row r="764" spans="8:8" ht="13.2">
      <c r="H764" s="93"/>
    </row>
    <row r="765" spans="8:8" ht="13.2">
      <c r="H765" s="93"/>
    </row>
    <row r="766" spans="8:8" ht="13.2">
      <c r="H766" s="93"/>
    </row>
    <row r="767" spans="8:8" ht="13.2">
      <c r="H767" s="93"/>
    </row>
    <row r="768" spans="8:8" ht="13.2">
      <c r="H768" s="93"/>
    </row>
    <row r="769" spans="8:8" ht="13.2">
      <c r="H769" s="93"/>
    </row>
    <row r="770" spans="8:8" ht="13.2">
      <c r="H770" s="93"/>
    </row>
    <row r="771" spans="8:8" ht="13.2">
      <c r="H771" s="93"/>
    </row>
    <row r="772" spans="8:8" ht="13.2">
      <c r="H772" s="93"/>
    </row>
    <row r="773" spans="8:8" ht="13.2">
      <c r="H773" s="93"/>
    </row>
    <row r="774" spans="8:8" ht="13.2">
      <c r="H774" s="93"/>
    </row>
    <row r="775" spans="8:8" ht="13.2">
      <c r="H775" s="93"/>
    </row>
    <row r="776" spans="8:8" ht="13.2">
      <c r="H776" s="93"/>
    </row>
    <row r="777" spans="8:8" ht="13.2">
      <c r="H777" s="93"/>
    </row>
    <row r="778" spans="8:8" ht="13.2">
      <c r="H778" s="93"/>
    </row>
    <row r="779" spans="8:8" ht="13.2">
      <c r="H779" s="93"/>
    </row>
    <row r="780" spans="8:8" ht="13.2">
      <c r="H780" s="93"/>
    </row>
    <row r="781" spans="8:8" ht="13.2">
      <c r="H781" s="93"/>
    </row>
    <row r="782" spans="8:8" ht="13.2">
      <c r="H782" s="93"/>
    </row>
    <row r="783" spans="8:8" ht="13.2">
      <c r="H783" s="93"/>
    </row>
    <row r="784" spans="8:8" ht="13.2">
      <c r="H784" s="93"/>
    </row>
    <row r="785" spans="8:8" ht="13.2">
      <c r="H785" s="93"/>
    </row>
    <row r="786" spans="8:8" ht="13.2">
      <c r="H786" s="93"/>
    </row>
    <row r="787" spans="8:8" ht="13.2">
      <c r="H787" s="93"/>
    </row>
    <row r="788" spans="8:8" ht="13.2">
      <c r="H788" s="93"/>
    </row>
    <row r="789" spans="8:8" ht="13.2">
      <c r="H789" s="93"/>
    </row>
    <row r="790" spans="8:8" ht="13.2">
      <c r="H790" s="93"/>
    </row>
    <row r="791" spans="8:8" ht="13.2">
      <c r="H791" s="93"/>
    </row>
    <row r="792" spans="8:8" ht="13.2">
      <c r="H792" s="93"/>
    </row>
    <row r="793" spans="8:8" ht="13.2">
      <c r="H793" s="93"/>
    </row>
    <row r="794" spans="8:8" ht="13.2">
      <c r="H794" s="93"/>
    </row>
    <row r="795" spans="8:8" ht="13.2">
      <c r="H795" s="93"/>
    </row>
    <row r="796" spans="8:8" ht="13.2">
      <c r="H796" s="93"/>
    </row>
    <row r="797" spans="8:8" ht="13.2">
      <c r="H797" s="93"/>
    </row>
    <row r="798" spans="8:8" ht="13.2">
      <c r="H798" s="93"/>
    </row>
    <row r="799" spans="8:8" ht="13.2">
      <c r="H799" s="93"/>
    </row>
    <row r="800" spans="8:8" ht="13.2">
      <c r="H800" s="93"/>
    </row>
    <row r="801" spans="8:8" ht="13.2">
      <c r="H801" s="93"/>
    </row>
    <row r="802" spans="8:8" ht="13.2">
      <c r="H802" s="93"/>
    </row>
    <row r="803" spans="8:8" ht="13.2">
      <c r="H803" s="93"/>
    </row>
    <row r="804" spans="8:8" ht="13.2">
      <c r="H804" s="93"/>
    </row>
    <row r="805" spans="8:8" ht="13.2">
      <c r="H805" s="93"/>
    </row>
    <row r="806" spans="8:8" ht="13.2">
      <c r="H806" s="93"/>
    </row>
    <row r="807" spans="8:8" ht="13.2">
      <c r="H807" s="93"/>
    </row>
    <row r="808" spans="8:8" ht="13.2">
      <c r="H808" s="93"/>
    </row>
    <row r="809" spans="8:8" ht="13.2">
      <c r="H809" s="93"/>
    </row>
    <row r="810" spans="8:8" ht="13.2">
      <c r="H810" s="93"/>
    </row>
    <row r="811" spans="8:8" ht="13.2">
      <c r="H811" s="93"/>
    </row>
    <row r="812" spans="8:8" ht="13.2">
      <c r="H812" s="93"/>
    </row>
    <row r="813" spans="8:8" ht="13.2">
      <c r="H813" s="93"/>
    </row>
    <row r="814" spans="8:8" ht="13.2">
      <c r="H814" s="93"/>
    </row>
    <row r="815" spans="8:8" ht="13.2">
      <c r="H815" s="93"/>
    </row>
    <row r="816" spans="8:8" ht="13.2">
      <c r="H816" s="93"/>
    </row>
    <row r="817" spans="8:8" ht="13.2">
      <c r="H817" s="93"/>
    </row>
    <row r="818" spans="8:8" ht="13.2">
      <c r="H818" s="93"/>
    </row>
    <row r="819" spans="8:8" ht="13.2">
      <c r="H819" s="93"/>
    </row>
    <row r="820" spans="8:8" ht="13.2">
      <c r="H820" s="93"/>
    </row>
    <row r="821" spans="8:8" ht="13.2">
      <c r="H821" s="93"/>
    </row>
    <row r="822" spans="8:8" ht="13.2">
      <c r="H822" s="93"/>
    </row>
    <row r="823" spans="8:8" ht="13.2">
      <c r="H823" s="93"/>
    </row>
    <row r="824" spans="8:8" ht="13.2">
      <c r="H824" s="93"/>
    </row>
    <row r="825" spans="8:8" ht="13.2">
      <c r="H825" s="93"/>
    </row>
    <row r="826" spans="8:8" ht="13.2">
      <c r="H826" s="93"/>
    </row>
    <row r="827" spans="8:8" ht="13.2">
      <c r="H827" s="93"/>
    </row>
    <row r="828" spans="8:8" ht="13.2">
      <c r="H828" s="93"/>
    </row>
    <row r="829" spans="8:8" ht="13.2">
      <c r="H829" s="93"/>
    </row>
    <row r="830" spans="8:8" ht="13.2">
      <c r="H830" s="93"/>
    </row>
    <row r="831" spans="8:8" ht="13.2">
      <c r="H831" s="93"/>
    </row>
    <row r="832" spans="8:8" ht="13.2">
      <c r="H832" s="93"/>
    </row>
    <row r="833" spans="8:8" ht="13.2">
      <c r="H833" s="93"/>
    </row>
    <row r="834" spans="8:8" ht="13.2">
      <c r="H834" s="93"/>
    </row>
    <row r="835" spans="8:8" ht="13.2">
      <c r="H835" s="93"/>
    </row>
    <row r="836" spans="8:8" ht="13.2">
      <c r="H836" s="93"/>
    </row>
    <row r="837" spans="8:8" ht="13.2">
      <c r="H837" s="93"/>
    </row>
    <row r="838" spans="8:8" ht="13.2">
      <c r="H838" s="93"/>
    </row>
    <row r="839" spans="8:8" ht="13.2">
      <c r="H839" s="93"/>
    </row>
    <row r="840" spans="8:8" ht="13.2">
      <c r="H840" s="93"/>
    </row>
    <row r="841" spans="8:8" ht="13.2">
      <c r="H841" s="93"/>
    </row>
    <row r="842" spans="8:8" ht="13.2">
      <c r="H842" s="93"/>
    </row>
    <row r="843" spans="8:8" ht="13.2">
      <c r="H843" s="93"/>
    </row>
    <row r="844" spans="8:8" ht="13.2">
      <c r="H844" s="93"/>
    </row>
    <row r="845" spans="8:8" ht="13.2">
      <c r="H845" s="93"/>
    </row>
    <row r="846" spans="8:8" ht="13.2">
      <c r="H846" s="93"/>
    </row>
    <row r="847" spans="8:8" ht="13.2">
      <c r="H847" s="93"/>
    </row>
    <row r="848" spans="8:8" ht="13.2">
      <c r="H848" s="93"/>
    </row>
    <row r="849" spans="8:8" ht="13.2">
      <c r="H849" s="93"/>
    </row>
    <row r="850" spans="8:8" ht="13.2">
      <c r="H850" s="93"/>
    </row>
    <row r="851" spans="8:8" ht="13.2">
      <c r="H851" s="93"/>
    </row>
    <row r="852" spans="8:8" ht="13.2">
      <c r="H852" s="93"/>
    </row>
    <row r="853" spans="8:8" ht="13.2">
      <c r="H853" s="93"/>
    </row>
    <row r="854" spans="8:8" ht="13.2">
      <c r="H854" s="93"/>
    </row>
    <row r="855" spans="8:8" ht="13.2">
      <c r="H855" s="93"/>
    </row>
    <row r="856" spans="8:8" ht="13.2">
      <c r="H856" s="93"/>
    </row>
    <row r="857" spans="8:8" ht="13.2">
      <c r="H857" s="93"/>
    </row>
    <row r="858" spans="8:8" ht="13.2">
      <c r="H858" s="93"/>
    </row>
    <row r="859" spans="8:8" ht="13.2">
      <c r="H859" s="93"/>
    </row>
    <row r="860" spans="8:8" ht="13.2">
      <c r="H860" s="93"/>
    </row>
    <row r="861" spans="8:8" ht="13.2">
      <c r="H861" s="93"/>
    </row>
    <row r="862" spans="8:8" ht="13.2">
      <c r="H862" s="93"/>
    </row>
    <row r="863" spans="8:8" ht="13.2">
      <c r="H863" s="93"/>
    </row>
    <row r="864" spans="8:8" ht="13.2">
      <c r="H864" s="93"/>
    </row>
    <row r="865" spans="8:8" ht="13.2">
      <c r="H865" s="93"/>
    </row>
    <row r="866" spans="8:8" ht="13.2">
      <c r="H866" s="93"/>
    </row>
    <row r="867" spans="8:8" ht="13.2">
      <c r="H867" s="93"/>
    </row>
    <row r="868" spans="8:8" ht="13.2">
      <c r="H868" s="93"/>
    </row>
    <row r="869" spans="8:8" ht="13.2">
      <c r="H869" s="93"/>
    </row>
    <row r="870" spans="8:8" ht="13.2">
      <c r="H870" s="93"/>
    </row>
    <row r="871" spans="8:8" ht="13.2">
      <c r="H871" s="93"/>
    </row>
    <row r="872" spans="8:8" ht="13.2">
      <c r="H872" s="93"/>
    </row>
    <row r="873" spans="8:8" ht="13.2">
      <c r="H873" s="93"/>
    </row>
    <row r="874" spans="8:8" ht="13.2">
      <c r="H874" s="93"/>
    </row>
    <row r="875" spans="8:8" ht="13.2">
      <c r="H875" s="93"/>
    </row>
    <row r="876" spans="8:8" ht="13.2">
      <c r="H876" s="93"/>
    </row>
    <row r="877" spans="8:8" ht="13.2">
      <c r="H877" s="93"/>
    </row>
    <row r="878" spans="8:8" ht="13.2">
      <c r="H878" s="93"/>
    </row>
    <row r="879" spans="8:8" ht="13.2">
      <c r="H879" s="93"/>
    </row>
    <row r="880" spans="8:8" ht="13.2">
      <c r="H880" s="93"/>
    </row>
    <row r="881" spans="8:8" ht="13.2">
      <c r="H881" s="93"/>
    </row>
    <row r="882" spans="8:8" ht="13.2">
      <c r="H882" s="93"/>
    </row>
    <row r="883" spans="8:8" ht="13.2">
      <c r="H883" s="93"/>
    </row>
    <row r="884" spans="8:8" ht="13.2">
      <c r="H884" s="93"/>
    </row>
    <row r="885" spans="8:8" ht="13.2">
      <c r="H885" s="93"/>
    </row>
    <row r="886" spans="8:8" ht="13.2">
      <c r="H886" s="93"/>
    </row>
    <row r="887" spans="8:8" ht="13.2">
      <c r="H887" s="93"/>
    </row>
    <row r="888" spans="8:8" ht="13.2">
      <c r="H888" s="93"/>
    </row>
    <row r="889" spans="8:8" ht="13.2">
      <c r="H889" s="93"/>
    </row>
    <row r="890" spans="8:8" ht="13.2">
      <c r="H890" s="93"/>
    </row>
    <row r="891" spans="8:8" ht="13.2">
      <c r="H891" s="93"/>
    </row>
    <row r="892" spans="8:8" ht="13.2">
      <c r="H892" s="93"/>
    </row>
    <row r="893" spans="8:8" ht="13.2">
      <c r="H893" s="93"/>
    </row>
    <row r="894" spans="8:8" ht="13.2">
      <c r="H894" s="93"/>
    </row>
    <row r="895" spans="8:8" ht="13.2">
      <c r="H895" s="93"/>
    </row>
    <row r="896" spans="8:8" ht="13.2">
      <c r="H896" s="93"/>
    </row>
    <row r="897" spans="8:8" ht="13.2">
      <c r="H897" s="93"/>
    </row>
    <row r="898" spans="8:8" ht="13.2">
      <c r="H898" s="93"/>
    </row>
    <row r="899" spans="8:8" ht="13.2">
      <c r="H899" s="93"/>
    </row>
    <row r="900" spans="8:8" ht="13.2">
      <c r="H900" s="93"/>
    </row>
    <row r="901" spans="8:8" ht="13.2">
      <c r="H901" s="93"/>
    </row>
    <row r="902" spans="8:8" ht="13.2">
      <c r="H902" s="93"/>
    </row>
    <row r="903" spans="8:8" ht="13.2">
      <c r="H903" s="93"/>
    </row>
    <row r="904" spans="8:8" ht="13.2">
      <c r="H904" s="93"/>
    </row>
    <row r="905" spans="8:8" ht="13.2">
      <c r="H905" s="93"/>
    </row>
    <row r="906" spans="8:8" ht="13.2">
      <c r="H906" s="93"/>
    </row>
    <row r="907" spans="8:8" ht="13.2">
      <c r="H907" s="93"/>
    </row>
    <row r="908" spans="8:8" ht="13.2">
      <c r="H908" s="93"/>
    </row>
    <row r="909" spans="8:8" ht="13.2">
      <c r="H909" s="93"/>
    </row>
    <row r="910" spans="8:8" ht="13.2">
      <c r="H910" s="93"/>
    </row>
    <row r="911" spans="8:8" ht="13.2">
      <c r="H911" s="93"/>
    </row>
    <row r="912" spans="8:8" ht="13.2">
      <c r="H912" s="93"/>
    </row>
    <row r="913" spans="8:8" ht="13.2">
      <c r="H913" s="93"/>
    </row>
    <row r="914" spans="8:8" ht="13.2">
      <c r="H914" s="93"/>
    </row>
    <row r="915" spans="8:8" ht="13.2">
      <c r="H915" s="93"/>
    </row>
    <row r="916" spans="8:8" ht="13.2">
      <c r="H916" s="93"/>
    </row>
    <row r="917" spans="8:8" ht="13.2">
      <c r="H917" s="93"/>
    </row>
    <row r="918" spans="8:8" ht="13.2">
      <c r="H918" s="93"/>
    </row>
    <row r="919" spans="8:8" ht="13.2">
      <c r="H919" s="93"/>
    </row>
    <row r="920" spans="8:8" ht="13.2">
      <c r="H920" s="93"/>
    </row>
    <row r="921" spans="8:8" ht="13.2">
      <c r="H921" s="93"/>
    </row>
    <row r="922" spans="8:8" ht="13.2">
      <c r="H922" s="93"/>
    </row>
    <row r="923" spans="8:8" ht="13.2">
      <c r="H923" s="93"/>
    </row>
    <row r="924" spans="8:8" ht="13.2">
      <c r="H924" s="93"/>
    </row>
    <row r="925" spans="8:8" ht="13.2">
      <c r="H925" s="93"/>
    </row>
    <row r="926" spans="8:8" ht="13.2">
      <c r="H926" s="93"/>
    </row>
    <row r="927" spans="8:8" ht="13.2">
      <c r="H927" s="93"/>
    </row>
    <row r="928" spans="8:8" ht="13.2">
      <c r="H928" s="93"/>
    </row>
    <row r="929" spans="8:8" ht="13.2">
      <c r="H929" s="93"/>
    </row>
    <row r="930" spans="8:8" ht="13.2">
      <c r="H930" s="93"/>
    </row>
    <row r="931" spans="8:8" ht="13.2">
      <c r="H931" s="93"/>
    </row>
    <row r="932" spans="8:8" ht="13.2">
      <c r="H932" s="93"/>
    </row>
    <row r="933" spans="8:8" ht="13.2">
      <c r="H933" s="93"/>
    </row>
    <row r="934" spans="8:8" ht="13.2">
      <c r="H934" s="93"/>
    </row>
    <row r="935" spans="8:8" ht="13.2">
      <c r="H935" s="93"/>
    </row>
    <row r="936" spans="8:8" ht="13.2">
      <c r="H936" s="93"/>
    </row>
    <row r="937" spans="8:8" ht="13.2">
      <c r="H937" s="93"/>
    </row>
    <row r="938" spans="8:8" ht="13.2">
      <c r="H938" s="93"/>
    </row>
    <row r="939" spans="8:8" ht="13.2">
      <c r="H939" s="93"/>
    </row>
    <row r="940" spans="8:8" ht="13.2">
      <c r="H940" s="93"/>
    </row>
    <row r="941" spans="8:8" ht="13.2">
      <c r="H941" s="93"/>
    </row>
    <row r="942" spans="8:8" ht="13.2">
      <c r="H942" s="93"/>
    </row>
    <row r="943" spans="8:8" ht="13.2">
      <c r="H943" s="93"/>
    </row>
    <row r="944" spans="8:8" ht="13.2">
      <c r="H944" s="93"/>
    </row>
    <row r="945" spans="8:8" ht="13.2">
      <c r="H945" s="93"/>
    </row>
    <row r="946" spans="8:8" ht="13.2">
      <c r="H946" s="93"/>
    </row>
    <row r="947" spans="8:8" ht="13.2">
      <c r="H947" s="93"/>
    </row>
    <row r="948" spans="8:8" ht="13.2">
      <c r="H948" s="93"/>
    </row>
    <row r="949" spans="8:8" ht="13.2">
      <c r="H949" s="93"/>
    </row>
    <row r="950" spans="8:8" ht="13.2">
      <c r="H950" s="93"/>
    </row>
    <row r="951" spans="8:8" ht="13.2">
      <c r="H951" s="93"/>
    </row>
    <row r="952" spans="8:8" ht="13.2">
      <c r="H952" s="93"/>
    </row>
    <row r="953" spans="8:8" ht="13.2">
      <c r="H953" s="93"/>
    </row>
    <row r="954" spans="8:8" ht="13.2">
      <c r="H954" s="93"/>
    </row>
    <row r="955" spans="8:8" ht="13.2">
      <c r="H955" s="93"/>
    </row>
    <row r="956" spans="8:8" ht="13.2">
      <c r="H956" s="93"/>
    </row>
    <row r="957" spans="8:8" ht="13.2">
      <c r="H957" s="93"/>
    </row>
    <row r="958" spans="8:8" ht="13.2">
      <c r="H958" s="93"/>
    </row>
    <row r="959" spans="8:8" ht="13.2">
      <c r="H959" s="93"/>
    </row>
    <row r="960" spans="8:8" ht="13.2">
      <c r="H960" s="93"/>
    </row>
    <row r="961" spans="8:8" ht="13.2">
      <c r="H961" s="93"/>
    </row>
    <row r="962" spans="8:8" ht="13.2">
      <c r="H962" s="93"/>
    </row>
    <row r="963" spans="8:8" ht="13.2">
      <c r="H963" s="93"/>
    </row>
    <row r="964" spans="8:8" ht="13.2">
      <c r="H964" s="93"/>
    </row>
    <row r="965" spans="8:8" ht="13.2">
      <c r="H965" s="93"/>
    </row>
    <row r="966" spans="8:8" ht="13.2">
      <c r="H966" s="93"/>
    </row>
    <row r="967" spans="8:8" ht="13.2">
      <c r="H967" s="93"/>
    </row>
    <row r="968" spans="8:8" ht="13.2">
      <c r="H968" s="93"/>
    </row>
    <row r="969" spans="8:8" ht="13.2">
      <c r="H969" s="93"/>
    </row>
    <row r="970" spans="8:8" ht="13.2">
      <c r="H970" s="93"/>
    </row>
    <row r="971" spans="8:8" ht="13.2">
      <c r="H971" s="93"/>
    </row>
    <row r="972" spans="8:8" ht="13.2">
      <c r="H972" s="93"/>
    </row>
    <row r="973" spans="8:8" ht="13.2">
      <c r="H973" s="93"/>
    </row>
    <row r="974" spans="8:8" ht="13.2">
      <c r="H974" s="93"/>
    </row>
    <row r="975" spans="8:8" ht="13.2">
      <c r="H975" s="93"/>
    </row>
    <row r="976" spans="8:8" ht="13.2">
      <c r="H976" s="93"/>
    </row>
    <row r="977" spans="8:8" ht="13.2">
      <c r="H977" s="93"/>
    </row>
    <row r="978" spans="8:8" ht="13.2">
      <c r="H978" s="93"/>
    </row>
    <row r="979" spans="8:8" ht="13.2">
      <c r="H979" s="93"/>
    </row>
    <row r="980" spans="8:8" ht="13.2">
      <c r="H980" s="93"/>
    </row>
    <row r="981" spans="8:8" ht="13.2">
      <c r="H981" s="93"/>
    </row>
    <row r="982" spans="8:8" ht="13.2">
      <c r="H982" s="93"/>
    </row>
    <row r="983" spans="8:8" ht="13.2">
      <c r="H983" s="93"/>
    </row>
    <row r="984" spans="8:8" ht="13.2">
      <c r="H984" s="93"/>
    </row>
    <row r="985" spans="8:8" ht="13.2">
      <c r="H985" s="93"/>
    </row>
    <row r="986" spans="8:8" ht="13.2">
      <c r="H986" s="93"/>
    </row>
    <row r="987" spans="8:8" ht="13.2">
      <c r="H987" s="93"/>
    </row>
    <row r="988" spans="8:8" ht="13.2">
      <c r="H988" s="93"/>
    </row>
    <row r="989" spans="8:8" ht="13.2">
      <c r="H989" s="93"/>
    </row>
    <row r="990" spans="8:8" ht="13.2">
      <c r="H990" s="93"/>
    </row>
    <row r="991" spans="8:8" ht="13.2">
      <c r="H991" s="93"/>
    </row>
    <row r="992" spans="8:8" ht="13.2">
      <c r="H992" s="93"/>
    </row>
    <row r="993" spans="8:8" ht="13.2">
      <c r="H993" s="93"/>
    </row>
    <row r="994" spans="8:8" ht="13.2">
      <c r="H994" s="93"/>
    </row>
    <row r="995" spans="8:8" ht="13.2">
      <c r="H995" s="93"/>
    </row>
    <row r="996" spans="8:8" ht="13.2">
      <c r="H996" s="93"/>
    </row>
    <row r="997" spans="8:8" ht="13.2">
      <c r="H997" s="93"/>
    </row>
    <row r="998" spans="8:8" ht="13.2">
      <c r="H998" s="93"/>
    </row>
    <row r="999" spans="8:8" ht="13.2">
      <c r="H999" s="93"/>
    </row>
    <row r="1000" spans="8:8" ht="13.2">
      <c r="H1000" s="93"/>
    </row>
  </sheetData>
  <hyperlinks>
    <hyperlink ref="B1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7.33203125" defaultRowHeight="15" customHeight="1"/>
  <cols>
    <col min="2" max="2" width="51.5546875" customWidth="1"/>
  </cols>
  <sheetData>
    <row r="1" spans="1:2" ht="15" customHeight="1">
      <c r="A1" s="85" t="s">
        <v>104</v>
      </c>
      <c r="B1" s="94" t="s">
        <v>105</v>
      </c>
    </row>
    <row r="2" spans="1:2" ht="15" customHeight="1">
      <c r="A2" s="85" t="s">
        <v>106</v>
      </c>
      <c r="B2" s="94" t="s">
        <v>103</v>
      </c>
    </row>
    <row r="3" spans="1:2" ht="15" customHeight="1">
      <c r="A3" s="85" t="s">
        <v>107</v>
      </c>
      <c r="B3" s="94" t="s">
        <v>108</v>
      </c>
    </row>
  </sheetData>
  <hyperlinks>
    <hyperlink ref="B1" r:id="rId1"/>
    <hyperlink ref="B2" r:id="rId2"/>
    <hyperlink ref="B3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Year 1</vt:lpstr>
      <vt:lpstr>Monthly Year 2</vt:lpstr>
      <vt:lpstr>Annual</vt:lpstr>
      <vt:lpstr>Break Even Analysis</vt:lpstr>
      <vt:lpstr>Average Cost Calculations</vt:lpstr>
      <vt:lpstr>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Marton, Peter</dc:creator>
  <cp:lastModifiedBy>Marton, Peter</cp:lastModifiedBy>
  <dcterms:created xsi:type="dcterms:W3CDTF">2016-03-26T18:55:30Z</dcterms:created>
  <dcterms:modified xsi:type="dcterms:W3CDTF">2016-03-26T18:55:30Z</dcterms:modified>
</cp:coreProperties>
</file>