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dmarton\Dropbox\Teaching\BU\Courses -- Mine\SI 444 Spring 2016 -- Marton\Assignments\3 Final Presentation\Sample Documents\Sample Financials\"/>
    </mc:Choice>
  </mc:AlternateContent>
  <bookViews>
    <workbookView xWindow="0" yWindow="0" windowWidth="23040" windowHeight="8820"/>
  </bookViews>
  <sheets>
    <sheet name="Annual Income Statement" sheetId="1" r:id="rId1"/>
    <sheet name="Monthly Income Statement" sheetId="2" r:id="rId2"/>
    <sheet name="Break Even Analysis" sheetId="3" r:id="rId3"/>
    <sheet name="Revenue Streams" sheetId="4" r:id="rId4"/>
    <sheet name="Costs" sheetId="5" r:id="rId5"/>
    <sheet name="CAC vs LTV" sheetId="6" r:id="rId6"/>
    <sheet name="Selling and Renting Average Pri" sheetId="7" r:id="rId7"/>
  </sheets>
  <calcPr calcId="152511"/>
</workbook>
</file>

<file path=xl/calcChain.xml><?xml version="1.0" encoding="utf-8"?>
<calcChain xmlns="http://schemas.openxmlformats.org/spreadsheetml/2006/main">
  <c r="B29" i="7" l="1"/>
  <c r="C27" i="7"/>
  <c r="C24" i="7"/>
  <c r="C21" i="7"/>
  <c r="C18" i="7"/>
  <c r="C15" i="7"/>
  <c r="C12" i="7"/>
  <c r="C9" i="7"/>
  <c r="C6" i="7"/>
  <c r="C3" i="7"/>
  <c r="B13" i="6"/>
  <c r="B8" i="6"/>
  <c r="B5" i="6"/>
  <c r="C29" i="5"/>
  <c r="B29" i="5"/>
  <c r="C28" i="5"/>
  <c r="B28" i="5"/>
  <c r="C27" i="5"/>
  <c r="B27" i="5"/>
  <c r="C25" i="5"/>
  <c r="B25" i="5"/>
  <c r="D7" i="5"/>
  <c r="C7" i="5"/>
  <c r="C5" i="6" s="1"/>
  <c r="B15" i="4"/>
  <c r="B12" i="4"/>
  <c r="B9" i="4"/>
  <c r="B17" i="4" s="1"/>
  <c r="C6" i="4"/>
  <c r="C3" i="4"/>
  <c r="D3" i="4" s="1"/>
  <c r="E3" i="4" s="1"/>
  <c r="C5" i="1"/>
  <c r="B5" i="1"/>
  <c r="F4" i="1"/>
  <c r="F3" i="1"/>
  <c r="E3" i="1"/>
  <c r="D2" i="1"/>
  <c r="E2" i="1" s="1"/>
  <c r="F2" i="1" l="1"/>
  <c r="F5" i="1" s="1"/>
  <c r="E5" i="1"/>
  <c r="F3" i="4"/>
  <c r="B12" i="5"/>
  <c r="B11" i="5"/>
  <c r="B21" i="4"/>
  <c r="B18" i="6" s="1"/>
  <c r="B2" i="3"/>
  <c r="B2" i="2"/>
  <c r="C13" i="6"/>
  <c r="C11" i="6" s="1"/>
  <c r="D6" i="4"/>
  <c r="C15" i="4"/>
  <c r="D5" i="1"/>
  <c r="C9" i="4"/>
  <c r="C17" i="4" s="1"/>
  <c r="C12" i="4"/>
  <c r="D5" i="6"/>
  <c r="E7" i="5"/>
  <c r="C29" i="7"/>
  <c r="C21" i="4" l="1"/>
  <c r="C18" i="6" s="1"/>
  <c r="C2" i="3"/>
  <c r="C2" i="2"/>
  <c r="C12" i="5"/>
  <c r="C11" i="5"/>
  <c r="F7" i="5"/>
  <c r="E5" i="6"/>
  <c r="B16" i="5"/>
  <c r="E6" i="4"/>
  <c r="D15" i="4"/>
  <c r="D12" i="4"/>
  <c r="D9" i="4"/>
  <c r="D17" i="4" s="1"/>
  <c r="D13" i="6"/>
  <c r="D11" i="6" s="1"/>
  <c r="G3" i="4"/>
  <c r="C12" i="6"/>
  <c r="C7" i="6"/>
  <c r="D12" i="5" l="1"/>
  <c r="D11" i="5"/>
  <c r="D2" i="3"/>
  <c r="D21" i="4"/>
  <c r="D18" i="6" s="1"/>
  <c r="D7" i="6" s="1"/>
  <c r="D2" i="2"/>
  <c r="C8" i="6"/>
  <c r="C15" i="6" s="1"/>
  <c r="C9" i="5"/>
  <c r="E13" i="6"/>
  <c r="E11" i="6" s="1"/>
  <c r="E15" i="4"/>
  <c r="E12" i="4"/>
  <c r="E9" i="4"/>
  <c r="E17" i="4" s="1"/>
  <c r="F6" i="4"/>
  <c r="C16" i="5"/>
  <c r="D12" i="6"/>
  <c r="B3" i="3"/>
  <c r="B6" i="3" s="1"/>
  <c r="B7" i="3" s="1"/>
  <c r="B3" i="2"/>
  <c r="B4" i="2" s="1"/>
  <c r="H3" i="4"/>
  <c r="F5" i="6"/>
  <c r="G7" i="5"/>
  <c r="D8" i="6" l="1"/>
  <c r="D15" i="6" s="1"/>
  <c r="D9" i="5"/>
  <c r="E12" i="5"/>
  <c r="E11" i="5"/>
  <c r="E21" i="4"/>
  <c r="E18" i="6" s="1"/>
  <c r="E2" i="2"/>
  <c r="E2" i="3"/>
  <c r="C3" i="3"/>
  <c r="C6" i="3" s="1"/>
  <c r="C3" i="2"/>
  <c r="C4" i="2" s="1"/>
  <c r="I3" i="4"/>
  <c r="D16" i="5"/>
  <c r="G5" i="6"/>
  <c r="H7" i="5"/>
  <c r="B5" i="2"/>
  <c r="B6" i="2"/>
  <c r="B7" i="2" s="1"/>
  <c r="C7" i="3"/>
  <c r="F13" i="6"/>
  <c r="F11" i="6" s="1"/>
  <c r="G6" i="4"/>
  <c r="F15" i="4"/>
  <c r="F12" i="4"/>
  <c r="F9" i="4"/>
  <c r="F17" i="4" s="1"/>
  <c r="E7" i="6"/>
  <c r="E12" i="6"/>
  <c r="F12" i="5" l="1"/>
  <c r="F11" i="5"/>
  <c r="F21" i="4"/>
  <c r="F18" i="6" s="1"/>
  <c r="F2" i="3"/>
  <c r="F2" i="2"/>
  <c r="F12" i="6"/>
  <c r="F7" i="6"/>
  <c r="H5" i="6"/>
  <c r="I7" i="5"/>
  <c r="E16" i="5"/>
  <c r="D7" i="3"/>
  <c r="E8" i="6"/>
  <c r="E15" i="6" s="1"/>
  <c r="E9" i="5"/>
  <c r="D3" i="2"/>
  <c r="D4" i="2" s="1"/>
  <c r="D3" i="3"/>
  <c r="D6" i="3" s="1"/>
  <c r="C7" i="2"/>
  <c r="C6" i="2"/>
  <c r="C5" i="2"/>
  <c r="G13" i="6"/>
  <c r="G11" i="6" s="1"/>
  <c r="H6" i="4"/>
  <c r="G15" i="4"/>
  <c r="G12" i="4"/>
  <c r="G9" i="4"/>
  <c r="G17" i="4" s="1"/>
  <c r="J3" i="4"/>
  <c r="G12" i="5" l="1"/>
  <c r="G21" i="4"/>
  <c r="G18" i="6" s="1"/>
  <c r="G2" i="3"/>
  <c r="G2" i="2"/>
  <c r="G11" i="5"/>
  <c r="D6" i="2"/>
  <c r="D7" i="2" s="1"/>
  <c r="D5" i="2"/>
  <c r="I5" i="6"/>
  <c r="J7" i="5"/>
  <c r="G12" i="6"/>
  <c r="G7" i="6"/>
  <c r="E3" i="3"/>
  <c r="E6" i="3" s="1"/>
  <c r="E7" i="3" s="1"/>
  <c r="E3" i="2"/>
  <c r="E4" i="2" s="1"/>
  <c r="F9" i="5"/>
  <c r="F8" i="6"/>
  <c r="F15" i="6" s="1"/>
  <c r="K3" i="4"/>
  <c r="F16" i="5"/>
  <c r="I6" i="4"/>
  <c r="H15" i="4"/>
  <c r="H12" i="4"/>
  <c r="H9" i="4"/>
  <c r="H17" i="4" s="1"/>
  <c r="H13" i="6"/>
  <c r="H11" i="6" s="1"/>
  <c r="H21" i="4" l="1"/>
  <c r="H18" i="6" s="1"/>
  <c r="H12" i="5"/>
  <c r="H11" i="5"/>
  <c r="H2" i="3"/>
  <c r="H2" i="2"/>
  <c r="H7" i="6"/>
  <c r="H12" i="6"/>
  <c r="J5" i="6"/>
  <c r="K7" i="5"/>
  <c r="E6" i="2"/>
  <c r="E5" i="2"/>
  <c r="E7" i="2"/>
  <c r="F3" i="3"/>
  <c r="F6" i="3" s="1"/>
  <c r="F7" i="3" s="1"/>
  <c r="F3" i="2"/>
  <c r="F4" i="2" s="1"/>
  <c r="I13" i="6"/>
  <c r="I11" i="6" s="1"/>
  <c r="I15" i="4"/>
  <c r="I12" i="4"/>
  <c r="I9" i="4"/>
  <c r="J6" i="4"/>
  <c r="I17" i="4"/>
  <c r="L3" i="4"/>
  <c r="G8" i="6"/>
  <c r="G15" i="6" s="1"/>
  <c r="G9" i="5"/>
  <c r="G16" i="5" s="1"/>
  <c r="G3" i="3" l="1"/>
  <c r="G6" i="3" s="1"/>
  <c r="G3" i="2"/>
  <c r="G4" i="2" s="1"/>
  <c r="G7" i="3"/>
  <c r="K5" i="6"/>
  <c r="L7" i="5"/>
  <c r="M3" i="4"/>
  <c r="I12" i="5"/>
  <c r="I11" i="5"/>
  <c r="I2" i="2"/>
  <c r="I21" i="4"/>
  <c r="I18" i="6" s="1"/>
  <c r="I7" i="6" s="1"/>
  <c r="I2" i="3"/>
  <c r="H8" i="6"/>
  <c r="H15" i="6" s="1"/>
  <c r="H9" i="5"/>
  <c r="H16" i="5" s="1"/>
  <c r="J13" i="6"/>
  <c r="J11" i="6" s="1"/>
  <c r="K6" i="4"/>
  <c r="J9" i="4"/>
  <c r="J15" i="4"/>
  <c r="J12" i="4"/>
  <c r="J17" i="4" s="1"/>
  <c r="I12" i="6"/>
  <c r="F6" i="2"/>
  <c r="F7" i="2" s="1"/>
  <c r="F5" i="2"/>
  <c r="I8" i="6" l="1"/>
  <c r="I15" i="6" s="1"/>
  <c r="I9" i="5"/>
  <c r="J12" i="5"/>
  <c r="J11" i="5"/>
  <c r="J21" i="4"/>
  <c r="J18" i="6" s="1"/>
  <c r="J2" i="3"/>
  <c r="J2" i="2"/>
  <c r="H3" i="3"/>
  <c r="H6" i="3" s="1"/>
  <c r="H7" i="3" s="1"/>
  <c r="H3" i="2"/>
  <c r="H4" i="2" s="1"/>
  <c r="K13" i="6"/>
  <c r="K11" i="6" s="1"/>
  <c r="L6" i="4"/>
  <c r="K15" i="4"/>
  <c r="K12" i="4"/>
  <c r="K9" i="4"/>
  <c r="K17" i="4"/>
  <c r="L5" i="6"/>
  <c r="M7" i="5"/>
  <c r="G6" i="2"/>
  <c r="G7" i="2" s="1"/>
  <c r="G5" i="2"/>
  <c r="J12" i="6"/>
  <c r="J7" i="6"/>
  <c r="I16" i="5"/>
  <c r="N3" i="4"/>
  <c r="K2" i="3" l="1"/>
  <c r="K2" i="2"/>
  <c r="K11" i="5"/>
  <c r="K21" i="4"/>
  <c r="K18" i="6" s="1"/>
  <c r="K12" i="5"/>
  <c r="I3" i="3"/>
  <c r="I6" i="3" s="1"/>
  <c r="I7" i="3" s="1"/>
  <c r="I3" i="2"/>
  <c r="I4" i="2" s="1"/>
  <c r="N7" i="5"/>
  <c r="M5" i="6"/>
  <c r="M6" i="4"/>
  <c r="L13" i="6"/>
  <c r="L11" i="6" s="1"/>
  <c r="L15" i="4"/>
  <c r="L17" i="4" s="1"/>
  <c r="L12" i="4"/>
  <c r="L9" i="4"/>
  <c r="J9" i="5"/>
  <c r="J16" i="5" s="1"/>
  <c r="J8" i="6"/>
  <c r="J15" i="6" s="1"/>
  <c r="K12" i="6"/>
  <c r="K7" i="6"/>
  <c r="O3" i="4"/>
  <c r="H5" i="2"/>
  <c r="H6" i="2"/>
  <c r="H7" i="2" s="1"/>
  <c r="J3" i="3" l="1"/>
  <c r="J6" i="3" s="1"/>
  <c r="J7" i="3" s="1"/>
  <c r="J3" i="2"/>
  <c r="J4" i="2" s="1"/>
  <c r="L21" i="4"/>
  <c r="L18" i="6" s="1"/>
  <c r="L7" i="6" s="1"/>
  <c r="L12" i="5"/>
  <c r="L11" i="5"/>
  <c r="L2" i="3"/>
  <c r="L2" i="2"/>
  <c r="K8" i="6"/>
  <c r="K15" i="6" s="1"/>
  <c r="K9" i="5"/>
  <c r="L12" i="6"/>
  <c r="N5" i="6"/>
  <c r="O7" i="5"/>
  <c r="M13" i="6"/>
  <c r="M11" i="6" s="1"/>
  <c r="M15" i="4"/>
  <c r="M12" i="4"/>
  <c r="M9" i="4"/>
  <c r="M17" i="4" s="1"/>
  <c r="N6" i="4"/>
  <c r="I5" i="2"/>
  <c r="I6" i="2"/>
  <c r="I7" i="2" s="1"/>
  <c r="K16" i="5"/>
  <c r="P3" i="4"/>
  <c r="L8" i="6" l="1"/>
  <c r="L15" i="6" s="1"/>
  <c r="L9" i="5"/>
  <c r="M12" i="5"/>
  <c r="B33" i="5" s="1"/>
  <c r="M11" i="5"/>
  <c r="M21" i="4"/>
  <c r="M18" i="6" s="1"/>
  <c r="M2" i="2"/>
  <c r="M2" i="3"/>
  <c r="B18" i="4"/>
  <c r="Q3" i="4"/>
  <c r="O5" i="6"/>
  <c r="P7" i="5"/>
  <c r="K3" i="3"/>
  <c r="K6" i="3" s="1"/>
  <c r="K7" i="3" s="1"/>
  <c r="K3" i="2"/>
  <c r="K4" i="2" s="1"/>
  <c r="L16" i="5"/>
  <c r="J7" i="2"/>
  <c r="J5" i="2"/>
  <c r="N13" i="6"/>
  <c r="N11" i="6" s="1"/>
  <c r="O6" i="4"/>
  <c r="N15" i="4"/>
  <c r="N17" i="4" s="1"/>
  <c r="N12" i="4"/>
  <c r="N9" i="4"/>
  <c r="M7" i="6"/>
  <c r="M12" i="6"/>
  <c r="N12" i="5" l="1"/>
  <c r="N11" i="5"/>
  <c r="N21" i="4"/>
  <c r="N18" i="6" s="1"/>
  <c r="N2" i="3"/>
  <c r="N2" i="2"/>
  <c r="L3" i="3"/>
  <c r="L6" i="3" s="1"/>
  <c r="L7" i="3" s="1"/>
  <c r="L3" i="2"/>
  <c r="L4" i="2" s="1"/>
  <c r="R3" i="4"/>
  <c r="O13" i="6"/>
  <c r="O11" i="6" s="1"/>
  <c r="P6" i="4"/>
  <c r="O15" i="4"/>
  <c r="O12" i="4"/>
  <c r="O9" i="4"/>
  <c r="O17" i="4"/>
  <c r="N12" i="6"/>
  <c r="N7" i="6"/>
  <c r="M8" i="6"/>
  <c r="M15" i="6" s="1"/>
  <c r="M9" i="5"/>
  <c r="B30" i="5" s="1"/>
  <c r="B37" i="5" s="1"/>
  <c r="B32" i="5"/>
  <c r="K7" i="2"/>
  <c r="K5" i="2"/>
  <c r="P5" i="6"/>
  <c r="Q7" i="5"/>
  <c r="P13" i="6" l="1"/>
  <c r="P11" i="6" s="1"/>
  <c r="Q6" i="4"/>
  <c r="P15" i="4"/>
  <c r="P12" i="4"/>
  <c r="P9" i="4"/>
  <c r="P17" i="4"/>
  <c r="N9" i="5"/>
  <c r="N8" i="6"/>
  <c r="N15" i="6" s="1"/>
  <c r="S3" i="4"/>
  <c r="N16" i="5"/>
  <c r="O11" i="5"/>
  <c r="O21" i="4"/>
  <c r="O18" i="6" s="1"/>
  <c r="O2" i="3"/>
  <c r="O2" i="2"/>
  <c r="O12" i="5"/>
  <c r="Q5" i="6"/>
  <c r="R7" i="5"/>
  <c r="M16" i="5"/>
  <c r="O12" i="6"/>
  <c r="O7" i="6"/>
  <c r="L7" i="2"/>
  <c r="L5" i="2"/>
  <c r="R5" i="6" l="1"/>
  <c r="S7" i="5"/>
  <c r="N3" i="3"/>
  <c r="N6" i="3" s="1"/>
  <c r="N3" i="2"/>
  <c r="N4" i="2" s="1"/>
  <c r="T3" i="4"/>
  <c r="P12" i="6"/>
  <c r="P21" i="4"/>
  <c r="P18" i="6" s="1"/>
  <c r="P7" i="6" s="1"/>
  <c r="P12" i="5"/>
  <c r="P11" i="5"/>
  <c r="P2" i="3"/>
  <c r="P2" i="2"/>
  <c r="O8" i="6"/>
  <c r="O15" i="6" s="1"/>
  <c r="O9" i="5"/>
  <c r="O16" i="5"/>
  <c r="Q13" i="6"/>
  <c r="Q11" i="6" s="1"/>
  <c r="Q15" i="4"/>
  <c r="Q12" i="4"/>
  <c r="Q9" i="4"/>
  <c r="Q17" i="4" s="1"/>
  <c r="R6" i="4"/>
  <c r="M3" i="2"/>
  <c r="M4" i="2" s="1"/>
  <c r="M3" i="3"/>
  <c r="M6" i="3" s="1"/>
  <c r="M7" i="3" s="1"/>
  <c r="N7" i="3" s="1"/>
  <c r="B17" i="5"/>
  <c r="B6" i="1" s="1"/>
  <c r="B9" i="1" s="1"/>
  <c r="P8" i="6" l="1"/>
  <c r="P15" i="6" s="1"/>
  <c r="P9" i="5"/>
  <c r="Q12" i="5"/>
  <c r="Q11" i="5"/>
  <c r="Q2" i="3"/>
  <c r="Q2" i="2"/>
  <c r="Q21" i="4"/>
  <c r="Q18" i="6" s="1"/>
  <c r="Q7" i="6" s="1"/>
  <c r="O3" i="3"/>
  <c r="O6" i="3" s="1"/>
  <c r="O3" i="2"/>
  <c r="O4" i="2" s="1"/>
  <c r="P16" i="5"/>
  <c r="B10" i="1"/>
  <c r="B11" i="1"/>
  <c r="R13" i="6"/>
  <c r="R11" i="6" s="1"/>
  <c r="R9" i="4"/>
  <c r="S6" i="4"/>
  <c r="R15" i="4"/>
  <c r="R12" i="4"/>
  <c r="R17" i="4" s="1"/>
  <c r="Q12" i="6"/>
  <c r="O7" i="3"/>
  <c r="U3" i="4"/>
  <c r="M5" i="2"/>
  <c r="M7" i="2"/>
  <c r="N6" i="2"/>
  <c r="N7" i="2" s="1"/>
  <c r="N5" i="2"/>
  <c r="S5" i="6"/>
  <c r="T7" i="5"/>
  <c r="Q8" i="6" l="1"/>
  <c r="Q15" i="6" s="1"/>
  <c r="Q9" i="5"/>
  <c r="R12" i="5"/>
  <c r="R11" i="5"/>
  <c r="R21" i="4"/>
  <c r="R18" i="6" s="1"/>
  <c r="R7" i="6" s="1"/>
  <c r="R2" i="3"/>
  <c r="R2" i="2"/>
  <c r="T5" i="6"/>
  <c r="U7" i="5"/>
  <c r="V3" i="4"/>
  <c r="R12" i="6"/>
  <c r="S13" i="6"/>
  <c r="S11" i="6" s="1"/>
  <c r="T6" i="4"/>
  <c r="S12" i="4"/>
  <c r="S17" i="4" s="1"/>
  <c r="S9" i="4"/>
  <c r="S15" i="4"/>
  <c r="P3" i="3"/>
  <c r="P6" i="3" s="1"/>
  <c r="P7" i="3" s="1"/>
  <c r="P3" i="2"/>
  <c r="P4" i="2" s="1"/>
  <c r="O7" i="2"/>
  <c r="O6" i="2"/>
  <c r="O5" i="2"/>
  <c r="Q16" i="5"/>
  <c r="S2" i="3" l="1"/>
  <c r="S2" i="2"/>
  <c r="S12" i="5"/>
  <c r="S11" i="5"/>
  <c r="S21" i="4"/>
  <c r="S18" i="6" s="1"/>
  <c r="R9" i="5"/>
  <c r="R8" i="6"/>
  <c r="R15" i="6" s="1"/>
  <c r="P5" i="2"/>
  <c r="P7" i="2"/>
  <c r="P6" i="2"/>
  <c r="U6" i="4"/>
  <c r="T15" i="4"/>
  <c r="T12" i="4"/>
  <c r="T17" i="4" s="1"/>
  <c r="T9" i="4"/>
  <c r="T13" i="6"/>
  <c r="T11" i="6" s="1"/>
  <c r="W3" i="4"/>
  <c r="S12" i="6"/>
  <c r="S7" i="6"/>
  <c r="Q3" i="2"/>
  <c r="Q4" i="2" s="1"/>
  <c r="Q3" i="3"/>
  <c r="Q6" i="3" s="1"/>
  <c r="Q7" i="3" s="1"/>
  <c r="U5" i="6"/>
  <c r="V7" i="5"/>
  <c r="T21" i="4" l="1"/>
  <c r="T18" i="6" s="1"/>
  <c r="T12" i="5"/>
  <c r="T11" i="5"/>
  <c r="T2" i="3"/>
  <c r="T2" i="2"/>
  <c r="Q6" i="2"/>
  <c r="Q7" i="2" s="1"/>
  <c r="Q5" i="2"/>
  <c r="S8" i="6"/>
  <c r="S15" i="6" s="1"/>
  <c r="S9" i="5"/>
  <c r="V5" i="6"/>
  <c r="W7" i="5"/>
  <c r="X3" i="4"/>
  <c r="R16" i="5"/>
  <c r="T7" i="6"/>
  <c r="T12" i="6"/>
  <c r="U13" i="6"/>
  <c r="U11" i="6" s="1"/>
  <c r="U15" i="4"/>
  <c r="U12" i="4"/>
  <c r="U9" i="4"/>
  <c r="V6" i="4"/>
  <c r="U17" i="4"/>
  <c r="S16" i="5"/>
  <c r="R3" i="3" l="1"/>
  <c r="R6" i="3" s="1"/>
  <c r="R7" i="3" s="1"/>
  <c r="R3" i="2"/>
  <c r="R4" i="2" s="1"/>
  <c r="T16" i="5"/>
  <c r="V13" i="6"/>
  <c r="V11" i="6" s="1"/>
  <c r="W6" i="4"/>
  <c r="V15" i="4"/>
  <c r="V12" i="4"/>
  <c r="V9" i="4"/>
  <c r="V17" i="4" s="1"/>
  <c r="U12" i="6"/>
  <c r="W5" i="6"/>
  <c r="X7" i="5"/>
  <c r="U12" i="5"/>
  <c r="U11" i="5"/>
  <c r="U21" i="4"/>
  <c r="U18" i="6" s="1"/>
  <c r="U7" i="6" s="1"/>
  <c r="U2" i="2"/>
  <c r="U2" i="3"/>
  <c r="S3" i="3"/>
  <c r="S6" i="3" s="1"/>
  <c r="S3" i="2"/>
  <c r="S4" i="2" s="1"/>
  <c r="T8" i="6"/>
  <c r="T15" i="6" s="1"/>
  <c r="T9" i="5"/>
  <c r="Y3" i="4"/>
  <c r="U8" i="6" l="1"/>
  <c r="U15" i="6" s="1"/>
  <c r="U9" i="5"/>
  <c r="U16" i="5" s="1"/>
  <c r="V12" i="5"/>
  <c r="V11" i="5"/>
  <c r="V21" i="4"/>
  <c r="V18" i="6" s="1"/>
  <c r="V2" i="3"/>
  <c r="V2" i="2"/>
  <c r="S6" i="2"/>
  <c r="S7" i="2" s="1"/>
  <c r="S5" i="2"/>
  <c r="X5" i="6"/>
  <c r="Y7" i="5"/>
  <c r="W13" i="6"/>
  <c r="W11" i="6" s="1"/>
  <c r="X6" i="4"/>
  <c r="W15" i="4"/>
  <c r="W12" i="4"/>
  <c r="W9" i="4"/>
  <c r="W17" i="4"/>
  <c r="R5" i="2"/>
  <c r="R6" i="2"/>
  <c r="R7" i="2" s="1"/>
  <c r="T3" i="3"/>
  <c r="T6" i="3" s="1"/>
  <c r="T3" i="2"/>
  <c r="T4" i="2" s="1"/>
  <c r="V12" i="6"/>
  <c r="V7" i="6"/>
  <c r="S7" i="3"/>
  <c r="U3" i="2" l="1"/>
  <c r="U4" i="2" s="1"/>
  <c r="U3" i="3"/>
  <c r="U6" i="3" s="1"/>
  <c r="Y6" i="4"/>
  <c r="X15" i="4"/>
  <c r="X12" i="4"/>
  <c r="X9" i="4"/>
  <c r="X17" i="4" s="1"/>
  <c r="X13" i="6"/>
  <c r="X11" i="6" s="1"/>
  <c r="T7" i="3"/>
  <c r="T6" i="2"/>
  <c r="T7" i="2" s="1"/>
  <c r="T5" i="2"/>
  <c r="Y5" i="6"/>
  <c r="W12" i="5"/>
  <c r="W21" i="4"/>
  <c r="W18" i="6" s="1"/>
  <c r="W2" i="3"/>
  <c r="W2" i="2"/>
  <c r="W11" i="5"/>
  <c r="W12" i="6"/>
  <c r="W7" i="6"/>
  <c r="V9" i="5"/>
  <c r="V8" i="6"/>
  <c r="V15" i="6" s="1"/>
  <c r="V16" i="5"/>
  <c r="X21" i="4" l="1"/>
  <c r="X18" i="6" s="1"/>
  <c r="X12" i="5"/>
  <c r="X11" i="5"/>
  <c r="X2" i="3"/>
  <c r="X2" i="2"/>
  <c r="W8" i="6"/>
  <c r="W15" i="6" s="1"/>
  <c r="W9" i="5"/>
  <c r="W16" i="5" s="1"/>
  <c r="V3" i="3"/>
  <c r="V6" i="3" s="1"/>
  <c r="V3" i="2"/>
  <c r="V4" i="2" s="1"/>
  <c r="Y13" i="6"/>
  <c r="Y11" i="6" s="1"/>
  <c r="Y15" i="4"/>
  <c r="Y12" i="4"/>
  <c r="Y9" i="4"/>
  <c r="Y17" i="4" s="1"/>
  <c r="X7" i="6"/>
  <c r="X12" i="6"/>
  <c r="U7" i="3"/>
  <c r="V7" i="3" s="1"/>
  <c r="U6" i="2"/>
  <c r="U7" i="2"/>
  <c r="U5" i="2"/>
  <c r="W3" i="3" l="1"/>
  <c r="W6" i="3" s="1"/>
  <c r="W3" i="2"/>
  <c r="W4" i="2" s="1"/>
  <c r="Y12" i="5"/>
  <c r="C33" i="5" s="1"/>
  <c r="Y11" i="5"/>
  <c r="Y21" i="4"/>
  <c r="Y18" i="6" s="1"/>
  <c r="Y2" i="2"/>
  <c r="Y2" i="3"/>
  <c r="B19" i="4"/>
  <c r="W7" i="3"/>
  <c r="Y7" i="6"/>
  <c r="Y12" i="6"/>
  <c r="X8" i="6"/>
  <c r="X15" i="6" s="1"/>
  <c r="X9" i="5"/>
  <c r="X16" i="5" s="1"/>
  <c r="V5" i="2"/>
  <c r="V6" i="2"/>
  <c r="V7" i="2" s="1"/>
  <c r="X3" i="3" l="1"/>
  <c r="X6" i="3" s="1"/>
  <c r="X3" i="2"/>
  <c r="X4" i="2" s="1"/>
  <c r="C32" i="5"/>
  <c r="Y8" i="6"/>
  <c r="Y15" i="6" s="1"/>
  <c r="Y9" i="5"/>
  <c r="C30" i="5" s="1"/>
  <c r="W6" i="2"/>
  <c r="W7" i="2" s="1"/>
  <c r="W5" i="2"/>
  <c r="X7" i="3"/>
  <c r="C37" i="5" l="1"/>
  <c r="X5" i="2"/>
  <c r="X6" i="2"/>
  <c r="X7" i="2" s="1"/>
  <c r="Y16" i="5"/>
  <c r="Y3" i="3" l="1"/>
  <c r="Y6" i="3" s="1"/>
  <c r="Y7" i="3" s="1"/>
  <c r="Y3" i="2"/>
  <c r="Y4" i="2" s="1"/>
  <c r="B18" i="5"/>
  <c r="C6" i="1" s="1"/>
  <c r="Y6" i="2" l="1"/>
  <c r="Y7" i="2"/>
  <c r="Y5" i="2"/>
  <c r="D6" i="1"/>
  <c r="C9" i="1"/>
  <c r="E6" i="1" l="1"/>
  <c r="D9" i="1"/>
  <c r="C11" i="1"/>
  <c r="C10" i="1"/>
  <c r="D10" i="1" l="1"/>
  <c r="D11" i="1"/>
  <c r="B12" i="1" a="1"/>
  <c r="B12" i="1" s="1"/>
  <c r="F6" i="1"/>
  <c r="F9" i="1" s="1"/>
  <c r="E9" i="1"/>
  <c r="F10" i="1" l="1"/>
  <c r="F11" i="1"/>
  <c r="E10" i="1"/>
  <c r="E11" i="1"/>
</calcChain>
</file>

<file path=xl/sharedStrings.xml><?xml version="1.0" encoding="utf-8"?>
<sst xmlns="http://schemas.openxmlformats.org/spreadsheetml/2006/main" count="227" uniqueCount="109">
  <si>
    <t>ANNUAL I/S</t>
  </si>
  <si>
    <t>Year 1</t>
  </si>
  <si>
    <t>Year 2</t>
  </si>
  <si>
    <t>Year 3</t>
  </si>
  <si>
    <t>Year 4</t>
  </si>
  <si>
    <t>Year 5</t>
  </si>
  <si>
    <t>Revenue BOS</t>
  </si>
  <si>
    <t>Revenue NY</t>
  </si>
  <si>
    <t>Revenue CA</t>
  </si>
  <si>
    <t>Total Revenue</t>
  </si>
  <si>
    <t>COST BOS</t>
  </si>
  <si>
    <t>COST NY</t>
  </si>
  <si>
    <t>COST CA</t>
  </si>
  <si>
    <t>Operating Profit</t>
  </si>
  <si>
    <t>Profit Margin</t>
  </si>
  <si>
    <t>-Tax</t>
  </si>
  <si>
    <t>NPV @ 30%</t>
  </si>
  <si>
    <t>MONTHLY I/S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</si>
  <si>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</si>
  <si>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</si>
  <si>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</si>
  <si>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</si>
  <si>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</si>
  <si>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</si>
  <si>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</si>
  <si>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</si>
  <si>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</si>
  <si>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</si>
  <si>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</si>
  <si>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</si>
  <si>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Month 13</t>
  </si>
  <si>
    <t>Month 14</t>
  </si>
  <si>
    <t>Month 15</t>
  </si>
  <si>
    <t>Month 16</t>
  </si>
  <si>
    <t>Month 17</t>
  </si>
  <si>
    <t>Month 18</t>
  </si>
  <si>
    <t>Month 19</t>
  </si>
  <si>
    <t>Month 20</t>
  </si>
  <si>
    <t>Month 21</t>
  </si>
  <si>
    <t>Month 22</t>
  </si>
  <si>
    <t>Month 23</t>
  </si>
  <si>
    <t>Month 24</t>
  </si>
  <si>
    <t>Revenue</t>
  </si>
  <si>
    <t xml:space="preserve"> - Operating Cost</t>
  </si>
  <si>
    <t>Gross Margin</t>
  </si>
  <si>
    <t>Net Income</t>
  </si>
  <si>
    <t>Months:</t>
  </si>
  <si>
    <t>Cost</t>
  </si>
  <si>
    <t>Profit</t>
  </si>
  <si>
    <t>Retained Earnings</t>
  </si>
  <si>
    <t>REVENUE STREAMS</t>
  </si>
  <si>
    <t>1. Sales Commissions</t>
  </si>
  <si>
    <t>units sold</t>
  </si>
  <si>
    <t>Average Selling Price</t>
  </si>
  <si>
    <t>2. Rental Commision</t>
  </si>
  <si>
    <t>2.a Maintenance Commision (80% of Rentals)</t>
  </si>
  <si>
    <t>2.b Lessons Commision (40% of Rentals)</t>
  </si>
  <si>
    <t>2.c Late Fees (20% of Rentals)</t>
  </si>
  <si>
    <t>TOTAL REVENUE</t>
  </si>
  <si>
    <t>Year 1 Revenue</t>
  </si>
  <si>
    <t>Year 2 Revenue</t>
  </si>
  <si>
    <t>Average Revenue from 1 customer:</t>
  </si>
  <si>
    <t>COSTS</t>
  </si>
  <si>
    <t>Month 1 (AUG)</t>
  </si>
  <si>
    <t>Month 5 (DEC)</t>
  </si>
  <si>
    <t>Month 8 (MAR)</t>
  </si>
  <si>
    <t>Month 11 (JUN)</t>
  </si>
  <si>
    <t>Month 13 (AUG)</t>
  </si>
  <si>
    <t>Software:</t>
  </si>
  <si>
    <t>Development/Improvement</t>
  </si>
  <si>
    <t>Maintainance</t>
  </si>
  <si>
    <t>Marketing:</t>
  </si>
  <si>
    <t>Flyers/Posters</t>
  </si>
  <si>
    <t>Social Media</t>
  </si>
  <si>
    <t>Events*</t>
  </si>
  <si>
    <t>Referrals</t>
  </si>
  <si>
    <t>Transaction:</t>
  </si>
  <si>
    <t>Visa 2% Fee</t>
  </si>
  <si>
    <t>Mastercard 3% Fee</t>
  </si>
  <si>
    <t>Others:</t>
  </si>
  <si>
    <t>Internet/Phone fee</t>
  </si>
  <si>
    <t>Legal/Document</t>
  </si>
  <si>
    <t>Total Operating Cost</t>
  </si>
  <si>
    <t>* The first event will take place in September</t>
  </si>
  <si>
    <t>Customer Acquisition Cost</t>
  </si>
  <si>
    <t>Referral</t>
  </si>
  <si>
    <t>Total CAC</t>
  </si>
  <si>
    <t>Customer Growth</t>
  </si>
  <si>
    <t>Addititional Customers</t>
  </si>
  <si>
    <t>% Growth</t>
  </si>
  <si>
    <t>Total Customers</t>
  </si>
  <si>
    <t>CAC per customer</t>
  </si>
  <si>
    <t>Life-Time Value</t>
  </si>
  <si>
    <t>Average Rev/Customer</t>
  </si>
  <si>
    <t>Average Sales/Rental Price</t>
  </si>
  <si>
    <t>Sales</t>
  </si>
  <si>
    <t>Rental / month</t>
  </si>
  <si>
    <t>Keyboard</t>
  </si>
  <si>
    <t>Average Second Hand Price</t>
  </si>
  <si>
    <t>#units</t>
  </si>
  <si>
    <t>Acoustic Guitar</t>
  </si>
  <si>
    <t>Drum Kit</t>
  </si>
  <si>
    <t>Electric Guitar</t>
  </si>
  <si>
    <t>Violin</t>
  </si>
  <si>
    <t>Bass Guitar</t>
  </si>
  <si>
    <t>Clarinet</t>
  </si>
  <si>
    <t>Saxophone</t>
  </si>
  <si>
    <t>Flute</t>
  </si>
  <si>
    <t>Weighted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</si>
</sst>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&quot;$&quot;#,##0"/>
    <numFmt numFmtId="166" formatCode="0.0"/>
  </numFmts>
  <fonts count="33" x14ac:knownFonts="1">
    <font>
      <sz val="10"/>
      <color rgb="FF000000"/>
      <name val="Arial"/>
    </font>
    <font>
      <b/>
      <sz val="10"/>
      <name val="Arial"/>
    </font>
    <font>
      <b/>
      <u/>
      <sz val="10"/>
      <name val="Arial"/>
    </font>
    <font>
      <b/>
      <u/>
      <sz val="10"/>
      <name val="Arial"/>
    </font>
    <font>
      <sz val="10"/>
      <name val="Arial"/>
    </font>
    <font>
      <b/>
      <sz val="10"/>
      <color rgb="FFFF0000"/>
      <name val="Arial"/>
    </font>
    <font>
      <sz val="10"/>
      <name val="Arial"/>
    </font>
    <font>
      <sz val="10"/>
      <name val="Arial"/>
    </font>
    <font>
      <b/>
      <sz val="10"/>
      <color rgb="FFFF0000"/>
      <name val="Arial"/>
    </font>
    <font>
      <b/>
      <sz val="10"/>
      <name val="Arial"/>
    </font>
    <font>
      <sz val="10"/>
      <color rgb="FFFF0000"/>
      <name val="Arial"/>
    </font>
    <font>
      <b/>
      <u/>
      <sz val="10"/>
      <name val="Arial"/>
    </font>
    <font>
      <b/>
      <u/>
      <sz val="10"/>
      <name val="Arial"/>
    </font>
    <font>
      <u/>
      <sz val="10"/>
      <name val="Arial"/>
    </font>
    <font>
      <sz val="10"/>
      <color rgb="FF000000"/>
      <name val="Arial"/>
    </font>
    <font>
      <sz val="10"/>
      <color rgb="FFFF0000"/>
      <name val="Arial"/>
    </font>
    <font>
      <b/>
      <u/>
      <sz val="10"/>
      <name val="Arial"/>
    </font>
    <font>
      <b/>
      <u/>
      <sz val="10"/>
      <name val="Arial"/>
    </font>
    <font>
      <b/>
      <u/>
      <sz val="10"/>
      <name val="Arial"/>
    </font>
    <font>
      <b/>
      <u/>
      <sz val="10"/>
      <name val="Arial"/>
    </font>
    <font>
      <b/>
      <u/>
      <sz val="10"/>
      <name val="Arial"/>
    </font>
    <font>
      <b/>
      <u/>
      <sz val="10"/>
      <name val="Arial"/>
    </font>
    <font>
      <u/>
      <sz val="10"/>
      <name val="Arial"/>
    </font>
    <font>
      <u/>
      <sz val="10"/>
      <name val="Arial"/>
    </font>
    <font>
      <i/>
      <sz val="10"/>
      <color rgb="FFE69138"/>
      <name val="Arial"/>
    </font>
    <font>
      <sz val="10"/>
      <color rgb="FFE69138"/>
      <name val="Arial"/>
    </font>
    <font>
      <i/>
      <sz val="10"/>
      <name val="Arial"/>
    </font>
    <font>
      <b/>
      <u/>
      <sz val="10"/>
      <name val="Arial"/>
    </font>
    <font>
      <b/>
      <u/>
      <sz val="10"/>
      <name val="Arial"/>
    </font>
    <font>
      <b/>
      <u/>
      <sz val="10"/>
      <name val="Arial"/>
    </font>
    <font>
      <b/>
      <u/>
      <sz val="10"/>
      <name val="Arial"/>
    </font>
    <font>
      <b/>
      <u/>
      <sz val="10"/>
      <name val="Arial"/>
    </font>
    <font>
      <b/>
      <u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1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4" xfId="0" applyFont="1" applyFill="1" applyBorder="1" applyAlignment="1"/>
    <xf numFmtId="164" fontId="4" fillId="0" borderId="5" xfId="0" applyNumberFormat="1" applyFont="1" applyBorder="1" applyAlignment="1"/>
    <xf numFmtId="164" fontId="4" fillId="0" borderId="0" xfId="0" applyNumberFormat="1" applyFont="1" applyAlignment="1"/>
    <xf numFmtId="164" fontId="4" fillId="0" borderId="5" xfId="0" applyNumberFormat="1" applyFont="1" applyBorder="1"/>
    <xf numFmtId="164" fontId="4" fillId="0" borderId="6" xfId="0" applyNumberFormat="1" applyFont="1" applyBorder="1"/>
    <xf numFmtId="164" fontId="4" fillId="0" borderId="6" xfId="0" applyNumberFormat="1" applyFont="1" applyBorder="1" applyAlignment="1"/>
    <xf numFmtId="164" fontId="4" fillId="0" borderId="0" xfId="0" applyNumberFormat="1" applyFont="1"/>
    <xf numFmtId="164" fontId="5" fillId="0" borderId="5" xfId="0" applyNumberFormat="1" applyFont="1" applyBorder="1"/>
    <xf numFmtId="164" fontId="6" fillId="0" borderId="0" xfId="0" applyNumberFormat="1" applyFont="1" applyAlignment="1">
      <alignment horizontal="right"/>
    </xf>
    <xf numFmtId="164" fontId="6" fillId="0" borderId="5" xfId="0" applyNumberFormat="1" applyFont="1" applyBorder="1" applyAlignment="1">
      <alignment horizontal="right"/>
    </xf>
    <xf numFmtId="164" fontId="1" fillId="0" borderId="0" xfId="0" applyNumberFormat="1" applyFont="1"/>
    <xf numFmtId="164" fontId="6" fillId="0" borderId="7" xfId="0" applyNumberFormat="1" applyFont="1" applyBorder="1" applyAlignment="1">
      <alignment horizontal="right"/>
    </xf>
    <xf numFmtId="164" fontId="6" fillId="0" borderId="8" xfId="0" applyNumberFormat="1" applyFont="1" applyBorder="1" applyAlignment="1">
      <alignment horizontal="right"/>
    </xf>
    <xf numFmtId="0" fontId="7" fillId="2" borderId="1" xfId="0" applyFont="1" applyFill="1" applyBorder="1" applyAlignment="1"/>
    <xf numFmtId="164" fontId="8" fillId="0" borderId="2" xfId="0" applyNumberFormat="1" applyFont="1" applyBorder="1"/>
    <xf numFmtId="164" fontId="9" fillId="0" borderId="2" xfId="0" applyNumberFormat="1" applyFont="1" applyBorder="1"/>
    <xf numFmtId="0" fontId="7" fillId="2" borderId="9" xfId="0" applyFont="1" applyFill="1" applyBorder="1" applyAlignment="1"/>
    <xf numFmtId="10" fontId="10" fillId="0" borderId="7" xfId="0" applyNumberFormat="1" applyFont="1" applyBorder="1"/>
    <xf numFmtId="10" fontId="7" fillId="0" borderId="10" xfId="0" applyNumberFormat="1" applyFont="1" applyBorder="1"/>
    <xf numFmtId="10" fontId="7" fillId="0" borderId="7" xfId="0" applyNumberFormat="1" applyFont="1" applyBorder="1"/>
    <xf numFmtId="0" fontId="7" fillId="0" borderId="4" xfId="0" applyFont="1" applyBorder="1" applyAlignment="1"/>
    <xf numFmtId="0" fontId="0" fillId="3" borderId="0" xfId="0" applyFont="1" applyFill="1"/>
    <xf numFmtId="164" fontId="0" fillId="3" borderId="0" xfId="0" applyNumberFormat="1" applyFont="1" applyFill="1"/>
    <xf numFmtId="164" fontId="0" fillId="3" borderId="6" xfId="0" applyNumberFormat="1" applyFont="1" applyFill="1" applyBorder="1"/>
    <xf numFmtId="0" fontId="7" fillId="0" borderId="9" xfId="0" applyFont="1" applyBorder="1" applyAlignment="1"/>
    <xf numFmtId="164" fontId="7" fillId="0" borderId="10" xfId="0" applyNumberFormat="1" applyFont="1" applyBorder="1"/>
    <xf numFmtId="0" fontId="7" fillId="0" borderId="10" xfId="0" applyFont="1" applyBorder="1"/>
    <xf numFmtId="0" fontId="7" fillId="0" borderId="8" xfId="0" applyFont="1" applyBorder="1"/>
    <xf numFmtId="0" fontId="1" fillId="2" borderId="2" xfId="0" applyFont="1" applyFill="1" applyBorder="1" applyAlignment="1"/>
    <xf numFmtId="0" fontId="11" fillId="2" borderId="3" xfId="0" applyFont="1" applyFill="1" applyBorder="1" applyAlignment="1"/>
    <xf numFmtId="0" fontId="12" fillId="2" borderId="2" xfId="0" applyFont="1" applyFill="1" applyBorder="1" applyAlignment="1"/>
    <xf numFmtId="0" fontId="13" fillId="0" borderId="0" xfId="0" applyFont="1"/>
    <xf numFmtId="0" fontId="4" fillId="2" borderId="2" xfId="0" applyFont="1" applyFill="1" applyBorder="1" applyAlignment="1"/>
    <xf numFmtId="164" fontId="4" fillId="0" borderId="2" xfId="0" applyNumberFormat="1" applyFont="1" applyBorder="1"/>
    <xf numFmtId="164" fontId="14" fillId="0" borderId="2" xfId="0" applyNumberFormat="1" applyFont="1" applyBorder="1"/>
    <xf numFmtId="0" fontId="1" fillId="2" borderId="2" xfId="0" applyFont="1" applyFill="1" applyBorder="1" applyAlignment="1"/>
    <xf numFmtId="164" fontId="15" fillId="0" borderId="2" xfId="0" applyNumberFormat="1" applyFont="1" applyBorder="1"/>
    <xf numFmtId="10" fontId="15" fillId="0" borderId="2" xfId="0" applyNumberFormat="1" applyFont="1" applyBorder="1"/>
    <xf numFmtId="10" fontId="4" fillId="0" borderId="2" xfId="0" applyNumberFormat="1" applyFont="1" applyBorder="1"/>
    <xf numFmtId="0" fontId="4" fillId="0" borderId="2" xfId="0" applyFont="1" applyBorder="1"/>
    <xf numFmtId="0" fontId="4" fillId="0" borderId="2" xfId="0" applyFont="1" applyBorder="1" applyAlignment="1"/>
    <xf numFmtId="0" fontId="1" fillId="0" borderId="0" xfId="0" applyFont="1" applyAlignment="1"/>
    <xf numFmtId="0" fontId="4" fillId="0" borderId="0" xfId="0" applyFont="1" applyAlignment="1"/>
    <xf numFmtId="0" fontId="16" fillId="0" borderId="0" xfId="0" applyFont="1" applyAlignment="1"/>
    <xf numFmtId="0" fontId="1" fillId="2" borderId="11" xfId="0" applyFont="1" applyFill="1" applyBorder="1" applyAlignment="1"/>
    <xf numFmtId="0" fontId="17" fillId="2" borderId="12" xfId="0" applyFont="1" applyFill="1" applyBorder="1" applyAlignment="1"/>
    <xf numFmtId="0" fontId="18" fillId="2" borderId="12" xfId="0" applyFont="1" applyFill="1" applyBorder="1" applyAlignment="1">
      <alignment horizontal="left"/>
    </xf>
    <xf numFmtId="0" fontId="19" fillId="2" borderId="13" xfId="0" applyFont="1" applyFill="1" applyBorder="1" applyAlignment="1">
      <alignment horizontal="left"/>
    </xf>
    <xf numFmtId="0" fontId="20" fillId="2" borderId="14" xfId="0" applyFont="1" applyFill="1" applyBorder="1" applyAlignment="1">
      <alignment horizontal="left"/>
    </xf>
    <xf numFmtId="0" fontId="21" fillId="2" borderId="11" xfId="0" applyFont="1" applyFill="1" applyBorder="1" applyAlignment="1">
      <alignment horizontal="left"/>
    </xf>
    <xf numFmtId="0" fontId="22" fillId="0" borderId="4" xfId="0" applyFont="1" applyBorder="1"/>
    <xf numFmtId="0" fontId="23" fillId="0" borderId="0" xfId="0" applyFont="1" applyAlignment="1">
      <alignment horizontal="left"/>
    </xf>
    <xf numFmtId="0" fontId="1" fillId="2" borderId="11" xfId="0" applyFont="1" applyFill="1" applyBorder="1" applyAlignment="1"/>
    <xf numFmtId="9" fontId="4" fillId="0" borderId="12" xfId="0" applyNumberFormat="1" applyFont="1" applyBorder="1" applyAlignment="1"/>
    <xf numFmtId="9" fontId="4" fillId="0" borderId="11" xfId="0" applyNumberFormat="1" applyFont="1" applyBorder="1" applyAlignment="1"/>
    <xf numFmtId="0" fontId="4" fillId="0" borderId="4" xfId="0" applyFont="1" applyBorder="1"/>
    <xf numFmtId="0" fontId="24" fillId="2" borderId="4" xfId="0" applyFont="1" applyFill="1" applyBorder="1" applyAlignment="1">
      <alignment horizontal="right"/>
    </xf>
    <xf numFmtId="3" fontId="25" fillId="0" borderId="5" xfId="0" applyNumberFormat="1" applyFont="1" applyBorder="1" applyAlignment="1"/>
    <xf numFmtId="0" fontId="26" fillId="2" borderId="4" xfId="0" applyFont="1" applyFill="1" applyBorder="1" applyAlignment="1"/>
    <xf numFmtId="164" fontId="4" fillId="0" borderId="7" xfId="0" applyNumberFormat="1" applyFont="1" applyBorder="1" applyAlignment="1"/>
    <xf numFmtId="164" fontId="4" fillId="0" borderId="9" xfId="0" applyNumberFormat="1" applyFont="1" applyBorder="1" applyAlignment="1"/>
    <xf numFmtId="9" fontId="4" fillId="0" borderId="5" xfId="0" applyNumberFormat="1" applyFont="1" applyBorder="1" applyAlignment="1"/>
    <xf numFmtId="9" fontId="4" fillId="0" borderId="4" xfId="0" applyNumberFormat="1" applyFont="1" applyBorder="1" applyAlignment="1"/>
    <xf numFmtId="164" fontId="4" fillId="0" borderId="4" xfId="0" applyNumberFormat="1" applyFont="1" applyBorder="1" applyAlignment="1"/>
    <xf numFmtId="4" fontId="25" fillId="0" borderId="5" xfId="0" applyNumberFormat="1" applyFont="1" applyBorder="1" applyAlignment="1"/>
    <xf numFmtId="164" fontId="4" fillId="0" borderId="5" xfId="0" applyNumberFormat="1" applyFont="1" applyBorder="1" applyAlignment="1">
      <alignment horizontal="right"/>
    </xf>
    <xf numFmtId="164" fontId="4" fillId="0" borderId="4" xfId="0" applyNumberFormat="1" applyFont="1" applyBorder="1" applyAlignment="1">
      <alignment horizontal="right"/>
    </xf>
    <xf numFmtId="165" fontId="4" fillId="0" borderId="12" xfId="0" applyNumberFormat="1" applyFont="1" applyBorder="1" applyAlignment="1">
      <alignment horizontal="right"/>
    </xf>
    <xf numFmtId="165" fontId="4" fillId="0" borderId="11" xfId="0" applyNumberFormat="1" applyFont="1" applyBorder="1" applyAlignment="1">
      <alignment horizontal="right"/>
    </xf>
    <xf numFmtId="0" fontId="4" fillId="2" borderId="9" xfId="0" applyFont="1" applyFill="1" applyBorder="1" applyAlignment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164" fontId="4" fillId="0" borderId="7" xfId="0" applyNumberFormat="1" applyFont="1" applyBorder="1"/>
    <xf numFmtId="164" fontId="4" fillId="0" borderId="9" xfId="0" applyNumberFormat="1" applyFont="1" applyBorder="1"/>
    <xf numFmtId="0" fontId="27" fillId="0" borderId="0" xfId="0" applyFont="1" applyAlignment="1">
      <alignment wrapText="1"/>
    </xf>
    <xf numFmtId="0" fontId="1" fillId="0" borderId="11" xfId="0" applyFont="1" applyBorder="1" applyAlignment="1"/>
    <xf numFmtId="0" fontId="28" fillId="0" borderId="12" xfId="0" applyFont="1" applyBorder="1" applyAlignment="1"/>
    <xf numFmtId="0" fontId="29" fillId="0" borderId="14" xfId="0" applyFont="1" applyBorder="1" applyAlignment="1"/>
    <xf numFmtId="0" fontId="30" fillId="0" borderId="13" xfId="0" applyFont="1" applyBorder="1" applyAlignment="1"/>
    <xf numFmtId="0" fontId="1" fillId="2" borderId="11" xfId="0" applyFont="1" applyFill="1" applyBorder="1" applyAlignment="1"/>
    <xf numFmtId="0" fontId="4" fillId="2" borderId="12" xfId="0" applyFont="1" applyFill="1" applyBorder="1"/>
    <xf numFmtId="0" fontId="4" fillId="2" borderId="14" xfId="0" applyFont="1" applyFill="1" applyBorder="1"/>
    <xf numFmtId="0" fontId="4" fillId="2" borderId="13" xfId="0" applyFont="1" applyFill="1" applyBorder="1"/>
    <xf numFmtId="0" fontId="4" fillId="0" borderId="4" xfId="0" applyFont="1" applyBorder="1" applyAlignment="1"/>
    <xf numFmtId="0" fontId="4" fillId="0" borderId="9" xfId="0" applyFont="1" applyBorder="1" applyAlignment="1"/>
    <xf numFmtId="164" fontId="4" fillId="0" borderId="8" xfId="0" applyNumberFormat="1" applyFont="1" applyBorder="1" applyAlignment="1"/>
    <xf numFmtId="164" fontId="4" fillId="0" borderId="10" xfId="0" applyNumberFormat="1" applyFont="1" applyBorder="1" applyAlignment="1"/>
    <xf numFmtId="164" fontId="4" fillId="0" borderId="8" xfId="0" applyNumberFormat="1" applyFont="1" applyBorder="1"/>
    <xf numFmtId="164" fontId="4" fillId="0" borderId="10" xfId="0" applyNumberFormat="1" applyFont="1" applyBorder="1"/>
    <xf numFmtId="0" fontId="4" fillId="0" borderId="11" xfId="0" applyFont="1" applyBorder="1" applyAlignment="1"/>
    <xf numFmtId="0" fontId="4" fillId="0" borderId="12" xfId="0" applyFont="1" applyBorder="1"/>
    <xf numFmtId="164" fontId="4" fillId="0" borderId="14" xfId="0" applyNumberFormat="1" applyFont="1" applyBorder="1"/>
    <xf numFmtId="0" fontId="1" fillId="0" borderId="2" xfId="0" applyFont="1" applyBorder="1" applyAlignment="1"/>
    <xf numFmtId="164" fontId="4" fillId="0" borderId="12" xfId="0" applyNumberFormat="1" applyFont="1" applyBorder="1"/>
    <xf numFmtId="164" fontId="4" fillId="0" borderId="14" xfId="0" applyNumberFormat="1" applyFont="1" applyBorder="1"/>
    <xf numFmtId="0" fontId="1" fillId="0" borderId="0" xfId="0" applyFont="1"/>
    <xf numFmtId="0" fontId="31" fillId="2" borderId="0" xfId="0" applyFont="1" applyFill="1" applyAlignment="1"/>
    <xf numFmtId="0" fontId="4" fillId="2" borderId="0" xfId="0" applyFont="1" applyFill="1"/>
    <xf numFmtId="0" fontId="4" fillId="0" borderId="0" xfId="0" applyFont="1" applyAlignment="1">
      <alignment horizontal="right"/>
    </xf>
    <xf numFmtId="0" fontId="1" fillId="0" borderId="13" xfId="0" applyFont="1" applyBorder="1" applyAlignment="1"/>
    <xf numFmtId="164" fontId="4" fillId="0" borderId="13" xfId="0" applyNumberFormat="1" applyFont="1" applyBorder="1" applyAlignment="1"/>
    <xf numFmtId="3" fontId="4" fillId="0" borderId="0" xfId="0" applyNumberFormat="1" applyFont="1" applyAlignment="1"/>
    <xf numFmtId="10" fontId="4" fillId="0" borderId="0" xfId="0" applyNumberFormat="1" applyFont="1" applyAlignment="1"/>
    <xf numFmtId="10" fontId="4" fillId="0" borderId="0" xfId="0" applyNumberFormat="1" applyFont="1"/>
    <xf numFmtId="0" fontId="1" fillId="0" borderId="0" xfId="0" applyFont="1" applyAlignment="1"/>
    <xf numFmtId="1" fontId="4" fillId="0" borderId="0" xfId="0" applyNumberFormat="1" applyFont="1"/>
    <xf numFmtId="166" fontId="4" fillId="0" borderId="0" xfId="0" applyNumberFormat="1" applyFont="1" applyAlignment="1"/>
    <xf numFmtId="0" fontId="32" fillId="0" borderId="11" xfId="0" applyFont="1" applyBorder="1" applyAlignment="1"/>
    <xf numFmtId="0" fontId="1" fillId="4" borderId="11" xfId="0" applyFont="1" applyFill="1" applyBorder="1" applyAlignment="1">
      <alignment horizontal="right"/>
    </xf>
    <xf numFmtId="0" fontId="4" fillId="4" borderId="12" xfId="0" applyFont="1" applyFill="1" applyBorder="1"/>
    <xf numFmtId="0" fontId="4" fillId="4" borderId="14" xfId="0" applyFont="1" applyFill="1" applyBorder="1"/>
    <xf numFmtId="9" fontId="4" fillId="0" borderId="7" xfId="0" applyNumberFormat="1" applyFont="1" applyBorder="1" applyAlignment="1"/>
    <xf numFmtId="9" fontId="4" fillId="0" borderId="8" xfId="0" applyNumberFormat="1" applyFont="1" applyBorder="1" applyAlignment="1"/>
    <xf numFmtId="0" fontId="1" fillId="4" borderId="4" xfId="0" applyFont="1" applyFill="1" applyBorder="1" applyAlignment="1">
      <alignment horizontal="right"/>
    </xf>
    <xf numFmtId="0" fontId="4" fillId="4" borderId="5" xfId="0" applyFont="1" applyFill="1" applyBorder="1"/>
    <xf numFmtId="0" fontId="4" fillId="4" borderId="6" xfId="0" applyFont="1" applyFill="1" applyBorder="1"/>
    <xf numFmtId="9" fontId="4" fillId="0" borderId="6" xfId="0" applyNumberFormat="1" applyFont="1" applyBorder="1" applyAlignment="1"/>
    <xf numFmtId="0" fontId="4" fillId="4" borderId="12" xfId="0" applyFont="1" applyFill="1" applyBorder="1" applyAlignment="1"/>
    <xf numFmtId="164" fontId="4" fillId="3" borderId="5" xfId="0" applyNumberFormat="1" applyFont="1" applyFill="1" applyBorder="1" applyAlignment="1"/>
    <xf numFmtId="164" fontId="4" fillId="3" borderId="6" xfId="0" applyNumberFormat="1" applyFont="1" applyFill="1" applyBorder="1"/>
    <xf numFmtId="164" fontId="4" fillId="4" borderId="5" xfId="0" applyNumberFormat="1" applyFont="1" applyFill="1" applyBorder="1"/>
    <xf numFmtId="0" fontId="1" fillId="0" borderId="1" xfId="0" applyFont="1" applyBorder="1" applyAlignment="1"/>
    <xf numFmtId="164" fontId="0" fillId="3" borderId="15" xfId="0" applyNumberFormat="1" applyFont="1" applyFill="1" applyBorder="1"/>
    <xf numFmtId="164" fontId="4" fillId="0" borderId="0" xfId="0" applyNumberFormat="1" applyFont="1"/>
    <xf numFmtId="0" fontId="0" fillId="0" borderId="0" xfId="0" applyFont="1" applyAlignment="1"/>
  </cellXfs>
  <cellStyles count="1">
    <cellStyle name="Normal" xfId="0" builtinId="0"/>
  </cellStyles>
  <dxfs count="2"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>
              <a:defRPr sz="1600" b="1">
                <a:solidFill>
                  <a:srgbClr val="000000"/>
                </a:solidFill>
              </a:defRPr>
            </a:pPr>
            <a:r>
              <a:rPr lang="en-US"/>
              <a:t>Revenue BOS, Revenue NY, Revenue CA, COST BOS, COST NY...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'Annual Income Statement'!$A$2</c:f>
              <c:strCache>
                <c:ptCount val="1"/>
                <c:pt idx="0">
                  <c:v>Revenue BOS</c:v>
                </c:pt>
              </c:strCache>
            </c:strRef>
          </c:tx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'Annual Income Statement'!$B$1:$F$1</c:f>
              <c:strCache>
                <c:ptCount val="5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</c:strCache>
            </c:strRef>
          </c:cat>
          <c:val>
            <c:numRef>
              <c:f>'Annual Income Statement'!$B$2:$F$2</c:f>
              <c:numCache>
                <c:formatCode>"$"#,##0.00</c:formatCode>
                <c:ptCount val="5"/>
                <c:pt idx="0">
                  <c:v>12372.15</c:v>
                </c:pt>
                <c:pt idx="1">
                  <c:v>44605.18</c:v>
                </c:pt>
                <c:pt idx="2">
                  <c:v>49065.698000000004</c:v>
                </c:pt>
                <c:pt idx="3">
                  <c:v>53972.267800000009</c:v>
                </c:pt>
                <c:pt idx="4">
                  <c:v>59369.494580000013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'Annual Income Statement'!$A$3</c:f>
              <c:strCache>
                <c:ptCount val="1"/>
                <c:pt idx="0">
                  <c:v>Revenue NY</c:v>
                </c:pt>
              </c:strCache>
            </c:strRef>
          </c:tx>
          <c:spPr>
            <a:ln w="25400" cmpd="sng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'Annual Income Statement'!$B$1:$F$1</c:f>
              <c:strCache>
                <c:ptCount val="5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</c:strCache>
            </c:strRef>
          </c:cat>
          <c:val>
            <c:numRef>
              <c:f>'Annual Income Statement'!$B$3:$F$3</c:f>
              <c:numCache>
                <c:formatCode>"$"#,##0.00</c:formatCode>
                <c:ptCount val="5"/>
                <c:pt idx="1">
                  <c:v>52078.87</c:v>
                </c:pt>
                <c:pt idx="2">
                  <c:v>216456.01</c:v>
                </c:pt>
                <c:pt idx="3">
                  <c:v>238101.61100000003</c:v>
                </c:pt>
                <c:pt idx="4">
                  <c:v>261911.77210000006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'Annual Income Statement'!$A$4</c:f>
              <c:strCache>
                <c:ptCount val="1"/>
                <c:pt idx="0">
                  <c:v>Revenue CA</c:v>
                </c:pt>
              </c:strCache>
            </c:strRef>
          </c:tx>
          <c:spPr>
            <a:ln w="25400" cmpd="sng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'Annual Income Statement'!$B$1:$F$1</c:f>
              <c:strCache>
                <c:ptCount val="5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</c:strCache>
            </c:strRef>
          </c:cat>
          <c:val>
            <c:numRef>
              <c:f>'Annual Income Statement'!$B$4:$F$4</c:f>
              <c:numCache>
                <c:formatCode>"$"#,##0.00</c:formatCode>
                <c:ptCount val="5"/>
                <c:pt idx="2">
                  <c:v>56799.9</c:v>
                </c:pt>
                <c:pt idx="3">
                  <c:v>292293.23</c:v>
                </c:pt>
                <c:pt idx="4">
                  <c:v>321522.55300000001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'Annual Income Statement'!$A$5</c:f>
              <c:strCache>
                <c:ptCount val="1"/>
                <c:pt idx="0">
                  <c:v>Total Revenue</c:v>
                </c:pt>
              </c:strCache>
            </c:strRef>
          </c:tx>
          <c:spPr>
            <a:ln w="25400" cmpd="sng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'Annual Income Statement'!$B$1:$F$1</c:f>
              <c:strCache>
                <c:ptCount val="5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</c:strCache>
            </c:strRef>
          </c:cat>
          <c:val>
            <c:numRef>
              <c:f>'Annual Income Statement'!$B$5:$F$5</c:f>
              <c:numCache>
                <c:formatCode>"$"#,##0.00</c:formatCode>
                <c:ptCount val="5"/>
                <c:pt idx="0">
                  <c:v>12372.15</c:v>
                </c:pt>
                <c:pt idx="1">
                  <c:v>96684.05</c:v>
                </c:pt>
                <c:pt idx="2">
                  <c:v>322321.60800000001</c:v>
                </c:pt>
                <c:pt idx="3">
                  <c:v>584367.10880000005</c:v>
                </c:pt>
                <c:pt idx="4">
                  <c:v>642803.81968000007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'Annual Income Statement'!$A$9</c:f>
              <c:strCache>
                <c:ptCount val="1"/>
                <c:pt idx="0">
                  <c:v>Operating Profit</c:v>
                </c:pt>
              </c:strCache>
            </c:strRef>
          </c:tx>
          <c:spPr>
            <a:ln w="25400" cmpd="sng">
              <a:solidFill>
                <a:srgbClr val="66AA00"/>
              </a:solidFill>
            </a:ln>
          </c:spPr>
          <c:marker>
            <c:symbol val="none"/>
          </c:marker>
          <c:cat>
            <c:strRef>
              <c:f>'Annual Income Statement'!$B$1:$F$1</c:f>
              <c:strCache>
                <c:ptCount val="5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</c:strCache>
            </c:strRef>
          </c:cat>
          <c:val>
            <c:numRef>
              <c:f>'Annual Income Statement'!$B$9:$F$9</c:f>
              <c:numCache>
                <c:formatCode>"$"#,##0.00</c:formatCode>
                <c:ptCount val="5"/>
                <c:pt idx="0">
                  <c:v>-20095.630451658202</c:v>
                </c:pt>
                <c:pt idx="1">
                  <c:v>8655.2355721962085</c:v>
                </c:pt>
                <c:pt idx="2">
                  <c:v>114789.91212941584</c:v>
                </c:pt>
                <c:pt idx="3">
                  <c:v>380182.24334235745</c:v>
                </c:pt>
                <c:pt idx="4">
                  <c:v>436800.46767659322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925872"/>
        <c:axId val="182926432"/>
      </c:lineChart>
      <c:barChart>
        <c:barDir val="col"/>
        <c:grouping val="clustered"/>
        <c:varyColors val="1"/>
        <c:ser>
          <c:idx val="4"/>
          <c:order val="4"/>
          <c:tx>
            <c:strRef>
              <c:f>'Annual Income Statement'!$A$6</c:f>
              <c:strCache>
                <c:ptCount val="1"/>
                <c:pt idx="0">
                  <c:v>COST BOS</c:v>
                </c:pt>
              </c:strCache>
            </c:strRef>
          </c:tx>
          <c:spPr>
            <a:solidFill>
              <a:srgbClr val="990099"/>
            </a:solidFill>
          </c:spPr>
          <c:invertIfNegative val="1"/>
          <c:cat>
            <c:strRef>
              <c:f>'Annual Income Statement'!$B$1:$F$1</c:f>
              <c:strCache>
                <c:ptCount val="5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</c:strCache>
            </c:strRef>
          </c:cat>
          <c:val>
            <c:numRef>
              <c:f>'Annual Income Statement'!$B$6:$F$6</c:f>
              <c:numCache>
                <c:formatCode>"$"#,##0.00</c:formatCode>
                <c:ptCount val="5"/>
                <c:pt idx="0">
                  <c:v>32467.7804516582</c:v>
                </c:pt>
                <c:pt idx="1">
                  <c:v>15028.814427803789</c:v>
                </c:pt>
                <c:pt idx="2">
                  <c:v>16531.695870584168</c:v>
                </c:pt>
                <c:pt idx="3">
                  <c:v>18184.865457642587</c:v>
                </c:pt>
                <c:pt idx="4">
                  <c:v>20003.352003406846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5"/>
          <c:order val="5"/>
          <c:tx>
            <c:strRef>
              <c:f>'Annual Income Statement'!$A$7</c:f>
              <c:strCache>
                <c:ptCount val="1"/>
                <c:pt idx="0">
                  <c:v>COST NY</c:v>
                </c:pt>
              </c:strCache>
            </c:strRef>
          </c:tx>
          <c:spPr>
            <a:solidFill>
              <a:srgbClr val="0099C6"/>
            </a:solidFill>
          </c:spPr>
          <c:invertIfNegative val="1"/>
          <c:cat>
            <c:strRef>
              <c:f>'Annual Income Statement'!$B$1:$F$1</c:f>
              <c:strCache>
                <c:ptCount val="5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</c:strCache>
            </c:strRef>
          </c:cat>
          <c:val>
            <c:numRef>
              <c:f>'Annual Income Statement'!$B$7:$F$7</c:f>
              <c:numCache>
                <c:formatCode>"$"#,##0.00</c:formatCode>
                <c:ptCount val="5"/>
                <c:pt idx="1">
                  <c:v>73000</c:v>
                </c:pt>
                <c:pt idx="2">
                  <c:v>70000</c:v>
                </c:pt>
                <c:pt idx="3">
                  <c:v>70000</c:v>
                </c:pt>
                <c:pt idx="4">
                  <c:v>70000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6"/>
          <c:order val="6"/>
          <c:tx>
            <c:strRef>
              <c:f>'Annual Income Statement'!$A$8</c:f>
              <c:strCache>
                <c:ptCount val="1"/>
                <c:pt idx="0">
                  <c:v>COST CA</c:v>
                </c:pt>
              </c:strCache>
            </c:strRef>
          </c:tx>
          <c:spPr>
            <a:solidFill>
              <a:srgbClr val="DD4477"/>
            </a:solidFill>
          </c:spPr>
          <c:invertIfNegative val="1"/>
          <c:cat>
            <c:strRef>
              <c:f>'Annual Income Statement'!$B$1:$F$1</c:f>
              <c:strCache>
                <c:ptCount val="5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</c:strCache>
            </c:strRef>
          </c:cat>
          <c:val>
            <c:numRef>
              <c:f>'Annual Income Statement'!$B$8:$F$8</c:f>
              <c:numCache>
                <c:formatCode>"$"#,##0.00</c:formatCode>
                <c:ptCount val="5"/>
                <c:pt idx="2">
                  <c:v>121000</c:v>
                </c:pt>
                <c:pt idx="3">
                  <c:v>116000</c:v>
                </c:pt>
                <c:pt idx="4">
                  <c:v>116000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925872"/>
        <c:axId val="182926432"/>
      </c:barChart>
      <c:catAx>
        <c:axId val="182925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ANNUAL I/S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>
              <a:defRPr/>
            </a:pPr>
            <a:endParaRPr lang="en-US"/>
          </a:p>
        </c:txPr>
        <c:crossAx val="182926432"/>
        <c:crosses val="autoZero"/>
        <c:auto val="1"/>
        <c:lblAlgn val="ctr"/>
        <c:lblOffset val="100"/>
        <c:noMultiLvlLbl val="1"/>
      </c:catAx>
      <c:valAx>
        <c:axId val="182926432"/>
        <c:scaling>
          <c:orientation val="minMax"/>
          <c:min val="-300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&quot;$&quot;#,##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en-US"/>
          </a:p>
        </c:txPr>
        <c:crossAx val="18292587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200"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>
              <a:defRPr sz="1600" b="1">
                <a:solidFill>
                  <a:srgbClr val="000000"/>
                </a:solidFill>
              </a:defRPr>
            </a:pPr>
            <a:r>
              <a:t>Break Even Analysis</a:t>
            </a:r>
          </a:p>
        </c:rich>
      </c:tx>
      <c:overlay val="0"/>
    </c:title>
    <c:autoTitleDeleted val="0"/>
    <c:plotArea>
      <c:layout/>
      <c:areaChart>
        <c:grouping val="standard"/>
        <c:varyColors val="1"/>
        <c:ser>
          <c:idx val="0"/>
          <c:order val="0"/>
          <c:tx>
            <c:strRef>
              <c:f>'Break Even Analysis'!$A$2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3366CC">
                <a:alpha val="30000"/>
              </a:srgbClr>
            </a:solidFill>
            <a:ln w="25400" cmpd="sng">
              <a:solidFill>
                <a:srgbClr val="3366CC"/>
              </a:solidFill>
            </a:ln>
          </c:spPr>
          <c:cat>
            <c:strRef>
              <c:f>'Break Even Analysis'!$B$1:$Y$1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Month 24</c:v>
                </c:pt>
              </c:strCache>
            </c:strRef>
          </c:cat>
          <c:val>
            <c:numRef>
              <c:f>'Break Even Analysis'!$B$2:$Y$2</c:f>
              <c:numCache>
                <c:formatCode>"$"#,##0.00</c:formatCode>
                <c:ptCount val="24"/>
                <c:pt idx="0">
                  <c:v>208.5</c:v>
                </c:pt>
                <c:pt idx="1">
                  <c:v>312.75</c:v>
                </c:pt>
                <c:pt idx="2">
                  <c:v>344.02499999999998</c:v>
                </c:pt>
                <c:pt idx="3">
                  <c:v>516.03750000000002</c:v>
                </c:pt>
                <c:pt idx="4">
                  <c:v>567.64125000000013</c:v>
                </c:pt>
                <c:pt idx="5">
                  <c:v>851.46187500000019</c:v>
                </c:pt>
                <c:pt idx="6">
                  <c:v>936.6080625000003</c:v>
                </c:pt>
                <c:pt idx="7">
                  <c:v>1404.9120937500006</c:v>
                </c:pt>
                <c:pt idx="8">
                  <c:v>1545.4033031250003</c:v>
                </c:pt>
                <c:pt idx="9">
                  <c:v>2318.104954687501</c:v>
                </c:pt>
                <c:pt idx="10">
                  <c:v>2549.9154501562516</c:v>
                </c:pt>
                <c:pt idx="11">
                  <c:v>3824.8731752343774</c:v>
                </c:pt>
                <c:pt idx="12">
                  <c:v>4119.3058585078143</c:v>
                </c:pt>
                <c:pt idx="13">
                  <c:v>4438.7790783960972</c:v>
                </c:pt>
                <c:pt idx="14">
                  <c:v>4785.5767519750807</c:v>
                </c:pt>
                <c:pt idx="15">
                  <c:v>5162.200181198933</c:v>
                </c:pt>
                <c:pt idx="16">
                  <c:v>5571.3892410464887</c:v>
                </c:pt>
                <c:pt idx="17">
                  <c:v>6016.1456589651807</c:v>
                </c:pt>
                <c:pt idx="18">
                  <c:v>6499.758593366445</c:v>
                </c:pt>
                <c:pt idx="19">
                  <c:v>7025.8327396330742</c:v>
                </c:pt>
                <c:pt idx="20">
                  <c:v>7598.3192148728631</c:v>
                </c:pt>
                <c:pt idx="21">
                  <c:v>8221.5494977004582</c:v>
                </c:pt>
                <c:pt idx="22">
                  <c:v>8900.2727268778253</c:v>
                </c:pt>
                <c:pt idx="23">
                  <c:v>9639.6966929432983</c:v>
                </c:pt>
              </c:numCache>
            </c:numRef>
          </c:val>
        </c:ser>
        <c:ser>
          <c:idx val="1"/>
          <c:order val="1"/>
          <c:tx>
            <c:strRef>
              <c:f>'Break Even Analysis'!$A$3</c:f>
              <c:strCache>
                <c:ptCount val="1"/>
                <c:pt idx="0">
                  <c:v>Cost</c:v>
                </c:pt>
              </c:strCache>
            </c:strRef>
          </c:tx>
          <c:spPr>
            <a:solidFill>
              <a:srgbClr val="DC3912">
                <a:alpha val="30000"/>
              </a:srgbClr>
            </a:solidFill>
            <a:ln w="25400" cmpd="sng">
              <a:solidFill>
                <a:srgbClr val="DC3912"/>
              </a:solidFill>
            </a:ln>
          </c:spPr>
          <c:cat>
            <c:strRef>
              <c:f>'Break Even Analysis'!$B$1:$Y$1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Month 24</c:v>
                </c:pt>
              </c:strCache>
            </c:strRef>
          </c:cat>
          <c:val>
            <c:numRef>
              <c:f>'Break Even Analysis'!$B$3:$Y$3</c:f>
              <c:numCache>
                <c:formatCode>"$"#,##0.00</c:formatCode>
                <c:ptCount val="24"/>
                <c:pt idx="0">
                  <c:v>16015.2125</c:v>
                </c:pt>
                <c:pt idx="1">
                  <c:v>2578.6687500000003</c:v>
                </c:pt>
                <c:pt idx="2">
                  <c:v>1024.8556250000001</c:v>
                </c:pt>
                <c:pt idx="3">
                  <c:v>1597.3034374999997</c:v>
                </c:pt>
                <c:pt idx="4">
                  <c:v>1034.51178125</c:v>
                </c:pt>
                <c:pt idx="5">
                  <c:v>1628.0506718749998</c:v>
                </c:pt>
                <c:pt idx="6">
                  <c:v>1050.4444390625001</c:v>
                </c:pt>
                <c:pt idx="7">
                  <c:v>1678.7836085937502</c:v>
                </c:pt>
                <c:pt idx="8">
                  <c:v>1076.7333244531251</c:v>
                </c:pt>
                <c:pt idx="9">
                  <c:v>1762.4929541796878</c:v>
                </c:pt>
                <c:pt idx="10">
                  <c:v>1120.1099853476564</c:v>
                </c:pt>
                <c:pt idx="11">
                  <c:v>1900.6133743964845</c:v>
                </c:pt>
                <c:pt idx="12">
                  <c:v>1161.4450683274931</c:v>
                </c:pt>
                <c:pt idx="13">
                  <c:v>1173.5371981982405</c:v>
                </c:pt>
                <c:pt idx="14">
                  <c:v>1186.6962548888614</c:v>
                </c:pt>
                <c:pt idx="15">
                  <c:v>1201.0229469374026</c:v>
                </c:pt>
                <c:pt idx="16">
                  <c:v>1216.6278616200093</c:v>
                </c:pt>
                <c:pt idx="17">
                  <c:v>1233.6324510148756</c:v>
                </c:pt>
                <c:pt idx="18">
                  <c:v>1252.1701168377176</c:v>
                </c:pt>
                <c:pt idx="19">
                  <c:v>1272.3874039016666</c:v>
                </c:pt>
                <c:pt idx="20">
                  <c:v>1294.4453130329059</c:v>
                </c:pt>
                <c:pt idx="21">
                  <c:v>1318.5207453492669</c:v>
                </c:pt>
                <c:pt idx="22">
                  <c:v>1344.8080909921266</c:v>
                </c:pt>
                <c:pt idx="23">
                  <c:v>1373.5209767032241</c:v>
                </c:pt>
              </c:numCache>
            </c:numRef>
          </c:val>
        </c:ser>
        <c:ser>
          <c:idx val="2"/>
          <c:order val="2"/>
          <c:tx>
            <c:strRef>
              <c:f>'Break Even Analysis'!$A$4</c:f>
              <c:strCache>
                <c:ptCount val="1"/>
              </c:strCache>
            </c:strRef>
          </c:tx>
          <c:spPr>
            <a:solidFill>
              <a:srgbClr val="FF9900">
                <a:alpha val="30000"/>
              </a:srgbClr>
            </a:solidFill>
            <a:ln w="25400" cmpd="sng">
              <a:solidFill>
                <a:srgbClr val="FF9900"/>
              </a:solidFill>
            </a:ln>
          </c:spPr>
          <c:cat>
            <c:strRef>
              <c:f>'Break Even Analysis'!$B$1:$Y$1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Month 24</c:v>
                </c:pt>
              </c:strCache>
            </c:strRef>
          </c:cat>
          <c:val>
            <c:numRef>
              <c:f>'Break Even Analysis'!$B$4:$Y$4</c:f>
              <c:numCache>
                <c:formatCode>General</c:formatCode>
                <c:ptCount val="2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714896"/>
        <c:axId val="183715456"/>
      </c:areaChart>
      <c:catAx>
        <c:axId val="183714896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>
              <a:defRPr/>
            </a:pPr>
            <a:endParaRPr lang="en-US"/>
          </a:p>
        </c:txPr>
        <c:crossAx val="183715456"/>
        <c:crosses val="autoZero"/>
        <c:auto val="1"/>
        <c:lblAlgn val="ctr"/>
        <c:lblOffset val="100"/>
        <c:noMultiLvlLbl val="1"/>
      </c:catAx>
      <c:valAx>
        <c:axId val="1837154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&quot;$&quot;#,##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en-US"/>
          </a:p>
        </c:txPr>
        <c:crossAx val="183714896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8</xdr:row>
      <xdr:rowOff>133350</xdr:rowOff>
    </xdr:from>
    <xdr:to>
      <xdr:col>12</xdr:col>
      <xdr:colOff>609600</xdr:colOff>
      <xdr:row>27</xdr:row>
      <xdr:rowOff>171450</xdr:rowOff>
    </xdr:to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8</xdr:row>
      <xdr:rowOff>104775</xdr:rowOff>
    </xdr:from>
    <xdr:to>
      <xdr:col>23</xdr:col>
      <xdr:colOff>123825</xdr:colOff>
      <xdr:row>26</xdr:row>
      <xdr:rowOff>38100</xdr:rowOff>
    </xdr:to>
    <xdr:graphicFrame macro=""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H4" sqref="H4"/>
    </sheetView>
  </sheetViews>
  <sheetFormatPr defaultColWidth="14.44140625" defaultRowHeight="15.75" customHeight="1" x14ac:dyDescent="0.25"/>
  <cols>
    <col min="1" max="1" width="14" customWidth="1"/>
    <col min="2" max="2" width="11.33203125" customWidth="1"/>
    <col min="3" max="3" width="10.33203125" customWidth="1"/>
    <col min="4" max="6" width="11.33203125" customWidth="1"/>
  </cols>
  <sheetData>
    <row r="1" spans="1:6" ht="15.7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spans="1:6" ht="15.75" customHeight="1" x14ac:dyDescent="0.25">
      <c r="A2" s="4" t="s">
        <v>6</v>
      </c>
      <c r="B2" s="5">
        <v>12372.15</v>
      </c>
      <c r="C2" s="6">
        <v>44605.18</v>
      </c>
      <c r="D2" s="5">
        <f t="shared" ref="D2:F2" si="0">C2*1.1</f>
        <v>49065.698000000004</v>
      </c>
      <c r="E2" s="5">
        <f t="shared" si="0"/>
        <v>53972.267800000009</v>
      </c>
      <c r="F2" s="5">
        <f t="shared" si="0"/>
        <v>59369.494580000013</v>
      </c>
    </row>
    <row r="3" spans="1:6" ht="15.75" customHeight="1" x14ac:dyDescent="0.25">
      <c r="A3" s="4" t="s">
        <v>7</v>
      </c>
      <c r="B3" s="7"/>
      <c r="C3" s="6">
        <v>52078.87</v>
      </c>
      <c r="D3" s="5">
        <v>216456.01</v>
      </c>
      <c r="E3" s="7">
        <f t="shared" ref="E3:F3" si="1">D3*1.1</f>
        <v>238101.61100000003</v>
      </c>
      <c r="F3" s="7">
        <f t="shared" si="1"/>
        <v>261911.77210000006</v>
      </c>
    </row>
    <row r="4" spans="1:6" ht="15.75" customHeight="1" x14ac:dyDescent="0.25">
      <c r="A4" s="4" t="s">
        <v>8</v>
      </c>
      <c r="B4" s="7"/>
      <c r="C4" s="8"/>
      <c r="D4" s="9">
        <v>56799.9</v>
      </c>
      <c r="E4" s="6">
        <v>292293.23</v>
      </c>
      <c r="F4" s="7">
        <f>E4*1.1</f>
        <v>321522.55300000001</v>
      </c>
    </row>
    <row r="5" spans="1:6" ht="15.75" customHeight="1" x14ac:dyDescent="0.25">
      <c r="A5" s="4" t="s">
        <v>9</v>
      </c>
      <c r="B5" s="7">
        <f t="shared" ref="B5:F5" si="2">SUM(B2:B4)</f>
        <v>12372.15</v>
      </c>
      <c r="C5" s="7">
        <f t="shared" si="2"/>
        <v>96684.05</v>
      </c>
      <c r="D5" s="7">
        <f t="shared" si="2"/>
        <v>322321.60800000001</v>
      </c>
      <c r="E5" s="7">
        <f t="shared" si="2"/>
        <v>584367.10880000005</v>
      </c>
      <c r="F5" s="7">
        <f t="shared" si="2"/>
        <v>642803.81968000007</v>
      </c>
    </row>
    <row r="6" spans="1:6" ht="15.75" customHeight="1" x14ac:dyDescent="0.25">
      <c r="A6" s="4" t="s">
        <v>10</v>
      </c>
      <c r="B6" s="7">
        <f>Costs!B17</f>
        <v>32467.7804516582</v>
      </c>
      <c r="C6" s="10">
        <f>Costs!B18</f>
        <v>15028.814427803789</v>
      </c>
      <c r="D6" s="7">
        <f t="shared" ref="D6:F6" si="3">C6*1.1</f>
        <v>16531.695870584168</v>
      </c>
      <c r="E6" s="7">
        <f t="shared" si="3"/>
        <v>18184.865457642587</v>
      </c>
      <c r="F6" s="7">
        <f t="shared" si="3"/>
        <v>20003.352003406846</v>
      </c>
    </row>
    <row r="7" spans="1:6" ht="15.75" customHeight="1" x14ac:dyDescent="0.25">
      <c r="A7" s="4" t="s">
        <v>11</v>
      </c>
      <c r="B7" s="11"/>
      <c r="C7" s="12">
        <v>73000</v>
      </c>
      <c r="D7" s="13">
        <v>70000</v>
      </c>
      <c r="E7" s="12">
        <v>70000</v>
      </c>
      <c r="F7" s="13">
        <v>70000</v>
      </c>
    </row>
    <row r="8" spans="1:6" ht="15.75" customHeight="1" x14ac:dyDescent="0.25">
      <c r="A8" s="4" t="s">
        <v>12</v>
      </c>
      <c r="B8" s="11"/>
      <c r="C8" s="14"/>
      <c r="D8" s="15">
        <v>121000</v>
      </c>
      <c r="E8" s="16">
        <v>116000</v>
      </c>
      <c r="F8" s="16">
        <v>116000</v>
      </c>
    </row>
    <row r="9" spans="1:6" ht="15.75" customHeight="1" x14ac:dyDescent="0.25">
      <c r="A9" s="17" t="s">
        <v>13</v>
      </c>
      <c r="B9" s="18">
        <f t="shared" ref="B9:F9" si="4">B5-B6-B7-B8</f>
        <v>-20095.630451658202</v>
      </c>
      <c r="C9" s="18">
        <f t="shared" si="4"/>
        <v>8655.2355721962085</v>
      </c>
      <c r="D9" s="19">
        <f t="shared" si="4"/>
        <v>114789.91212941584</v>
      </c>
      <c r="E9" s="19">
        <f t="shared" si="4"/>
        <v>380182.24334235745</v>
      </c>
      <c r="F9" s="19">
        <f t="shared" si="4"/>
        <v>436800.46767659322</v>
      </c>
    </row>
    <row r="10" spans="1:6" ht="15.75" customHeight="1" x14ac:dyDescent="0.25">
      <c r="A10" s="20" t="s">
        <v>14</v>
      </c>
      <c r="B10" s="21">
        <f t="shared" ref="B10:F10" si="5">B9/B2</f>
        <v>-1.6242634022104649</v>
      </c>
      <c r="C10" s="22">
        <f t="shared" si="5"/>
        <v>0.19404104124669397</v>
      </c>
      <c r="D10" s="23">
        <f t="shared" si="5"/>
        <v>2.3395145041942711</v>
      </c>
      <c r="E10" s="22">
        <f t="shared" si="5"/>
        <v>7.0440294402889148</v>
      </c>
      <c r="F10" s="23">
        <f t="shared" si="5"/>
        <v>7.3573216475341123</v>
      </c>
    </row>
    <row r="11" spans="1:6" ht="15.75" customHeight="1" x14ac:dyDescent="0.25">
      <c r="A11" s="24" t="s">
        <v>15</v>
      </c>
      <c r="B11" s="25" t="str">
        <f t="shared" ref="B11:F11" si="6">IF(B9&gt;0,B9*0.35,"0")</f>
        <v>0</v>
      </c>
      <c r="C11" s="26">
        <f t="shared" si="6"/>
        <v>3029.3324502686728</v>
      </c>
      <c r="D11" s="26">
        <f t="shared" si="6"/>
        <v>40176.469245295542</v>
      </c>
      <c r="E11" s="26">
        <f t="shared" si="6"/>
        <v>133063.7851698251</v>
      </c>
      <c r="F11" s="27">
        <f t="shared" si="6"/>
        <v>152880.16368680762</v>
      </c>
    </row>
    <row r="12" spans="1:6" ht="15.75" customHeight="1" x14ac:dyDescent="0.25">
      <c r="A12" s="28" t="s">
        <v>16</v>
      </c>
      <c r="B12" s="29">
        <f t="array" ref="B12">NPV(0.3,B9:F9)</f>
        <v>292667.18142801087</v>
      </c>
      <c r="C12" s="30"/>
      <c r="D12" s="30"/>
      <c r="E12" s="30"/>
      <c r="F12" s="3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/>
  </sheetViews>
  <sheetFormatPr defaultColWidth="14.44140625" defaultRowHeight="15.75" customHeight="1" x14ac:dyDescent="0.25"/>
  <cols>
    <col min="1" max="1" width="20" customWidth="1"/>
  </cols>
  <sheetData>
    <row r="1" spans="1:26" ht="15.75" customHeight="1" x14ac:dyDescent="0.25">
      <c r="A1" s="32" t="s">
        <v>17</v>
      </c>
      <c r="B1" s="33" t="s">
        <v>18</v>
      </c>
      <c r="C1" s="34" t="s">
        <v>19</v>
      </c>
      <c r="D1" s="33" t="s">
        <v>20</v>
      </c>
      <c r="E1" s="34" t="s">
        <v>21</v>
      </c>
      <c r="F1" s="33" t="s">
        <v>22</v>
      </c>
      <c r="G1" s="34" t="s">
        <v>23</v>
      </c>
      <c r="H1" s="33" t="s">
        <v>24</v>
      </c>
      <c r="I1" s="34" t="s">
        <v>25</v>
      </c>
      <c r="J1" s="33" t="s">
        <v>26</v>
      </c>
      <c r="K1" s="34" t="s">
        <v>27</v>
      </c>
      <c r="L1" s="33" t="s">
        <v>28</v>
      </c>
      <c r="M1" s="34" t="s">
        <v>29</v>
      </c>
      <c r="N1" s="33" t="s">
        <v>30</v>
      </c>
      <c r="O1" s="34" t="s">
        <v>31</v>
      </c>
      <c r="P1" s="33" t="s">
        <v>32</v>
      </c>
      <c r="Q1" s="34" t="s">
        <v>33</v>
      </c>
      <c r="R1" s="33" t="s">
        <v>34</v>
      </c>
      <c r="S1" s="34" t="s">
        <v>35</v>
      </c>
      <c r="T1" s="33" t="s">
        <v>36</v>
      </c>
      <c r="U1" s="34" t="s">
        <v>37</v>
      </c>
      <c r="V1" s="33" t="s">
        <v>38</v>
      </c>
      <c r="W1" s="34" t="s">
        <v>39</v>
      </c>
      <c r="X1" s="33" t="s">
        <v>40</v>
      </c>
      <c r="Y1" s="34" t="s">
        <v>41</v>
      </c>
      <c r="Z1" s="35"/>
    </row>
    <row r="2" spans="1:26" ht="15.75" customHeight="1" x14ac:dyDescent="0.25">
      <c r="A2" s="36" t="s">
        <v>42</v>
      </c>
      <c r="B2" s="37">
        <f>'Revenue Streams'!B17</f>
        <v>208.5</v>
      </c>
      <c r="C2" s="37">
        <f>'Revenue Streams'!C17</f>
        <v>312.75</v>
      </c>
      <c r="D2" s="37">
        <f>'Revenue Streams'!D17</f>
        <v>344.02499999999998</v>
      </c>
      <c r="E2" s="37">
        <f>'Revenue Streams'!E17</f>
        <v>516.03750000000002</v>
      </c>
      <c r="F2" s="37">
        <f>'Revenue Streams'!F17</f>
        <v>567.64125000000013</v>
      </c>
      <c r="G2" s="37">
        <f>'Revenue Streams'!G17</f>
        <v>851.46187500000019</v>
      </c>
      <c r="H2" s="37">
        <f>'Revenue Streams'!H17</f>
        <v>936.6080625000003</v>
      </c>
      <c r="I2" s="37">
        <f>'Revenue Streams'!I17</f>
        <v>1404.9120937500006</v>
      </c>
      <c r="J2" s="37">
        <f>'Revenue Streams'!J17</f>
        <v>1545.4033031250003</v>
      </c>
      <c r="K2" s="37">
        <f>'Revenue Streams'!K17</f>
        <v>2318.104954687501</v>
      </c>
      <c r="L2" s="37">
        <f>'Revenue Streams'!L17</f>
        <v>2549.9154501562516</v>
      </c>
      <c r="M2" s="37">
        <f>'Revenue Streams'!M17</f>
        <v>3824.8731752343774</v>
      </c>
      <c r="N2" s="37">
        <f>'Revenue Streams'!N17</f>
        <v>4119.3058585078143</v>
      </c>
      <c r="O2" s="37">
        <f>'Revenue Streams'!O17</f>
        <v>4438.7790783960972</v>
      </c>
      <c r="P2" s="37">
        <f>'Revenue Streams'!P17</f>
        <v>4785.5767519750807</v>
      </c>
      <c r="Q2" s="37">
        <f>'Revenue Streams'!Q17</f>
        <v>5162.200181198933</v>
      </c>
      <c r="R2" s="37">
        <f>'Revenue Streams'!R17</f>
        <v>5571.3892410464887</v>
      </c>
      <c r="S2" s="37">
        <f>'Revenue Streams'!S17</f>
        <v>6016.1456589651807</v>
      </c>
      <c r="T2" s="37">
        <f>'Revenue Streams'!T17</f>
        <v>6499.758593366445</v>
      </c>
      <c r="U2" s="37">
        <f>'Revenue Streams'!U17</f>
        <v>7025.8327396330742</v>
      </c>
      <c r="V2" s="37">
        <f>'Revenue Streams'!V17</f>
        <v>7598.3192148728631</v>
      </c>
      <c r="W2" s="37">
        <f>'Revenue Streams'!W17</f>
        <v>8221.5494977004582</v>
      </c>
      <c r="X2" s="37">
        <f>'Revenue Streams'!X17</f>
        <v>8900.2727268778253</v>
      </c>
      <c r="Y2" s="37">
        <f>'Revenue Streams'!Y17</f>
        <v>9639.6966929432983</v>
      </c>
    </row>
    <row r="3" spans="1:26" ht="15.75" customHeight="1" x14ac:dyDescent="0.25">
      <c r="A3" s="36" t="s">
        <v>43</v>
      </c>
      <c r="B3" s="37">
        <f>Costs!B16</f>
        <v>16015.2125</v>
      </c>
      <c r="C3" s="37">
        <f>Costs!C16</f>
        <v>2578.6687500000003</v>
      </c>
      <c r="D3" s="37">
        <f>Costs!D16</f>
        <v>1024.8556250000001</v>
      </c>
      <c r="E3" s="37">
        <f>Costs!E16</f>
        <v>1597.3034374999997</v>
      </c>
      <c r="F3" s="37">
        <f>Costs!F16</f>
        <v>1034.51178125</v>
      </c>
      <c r="G3" s="37">
        <f>Costs!G16</f>
        <v>1628.0506718749998</v>
      </c>
      <c r="H3" s="37">
        <f>Costs!H16</f>
        <v>1050.4444390625001</v>
      </c>
      <c r="I3" s="37">
        <f>Costs!I16</f>
        <v>1678.7836085937502</v>
      </c>
      <c r="J3" s="38">
        <f>Costs!J16</f>
        <v>1076.7333244531251</v>
      </c>
      <c r="K3" s="38">
        <f>Costs!K16</f>
        <v>1762.4929541796878</v>
      </c>
      <c r="L3" s="37">
        <f>Costs!L16</f>
        <v>1120.1099853476564</v>
      </c>
      <c r="M3" s="37">
        <f>Costs!M16</f>
        <v>1900.6133743964845</v>
      </c>
      <c r="N3" s="37">
        <f>Costs!N16</f>
        <v>1161.4450683274931</v>
      </c>
      <c r="O3" s="37">
        <f>Costs!O16</f>
        <v>1173.5371981982405</v>
      </c>
      <c r="P3" s="37">
        <f>Costs!P16</f>
        <v>1186.6962548888614</v>
      </c>
      <c r="Q3" s="37">
        <f>Costs!Q16</f>
        <v>1201.0229469374026</v>
      </c>
      <c r="R3" s="37">
        <f>Costs!R16</f>
        <v>1216.6278616200093</v>
      </c>
      <c r="S3" s="37">
        <f>Costs!S16</f>
        <v>1233.6324510148756</v>
      </c>
      <c r="T3" s="37">
        <f>Costs!T16</f>
        <v>1252.1701168377176</v>
      </c>
      <c r="U3" s="37">
        <f>Costs!U16</f>
        <v>1272.3874039016666</v>
      </c>
      <c r="V3" s="37">
        <f>Costs!V16</f>
        <v>1294.4453130329059</v>
      </c>
      <c r="W3" s="37">
        <f>Costs!W16</f>
        <v>1318.5207453492669</v>
      </c>
      <c r="X3" s="37">
        <f>Costs!X16</f>
        <v>1344.8080909921266</v>
      </c>
      <c r="Y3" s="37">
        <f>Costs!Y16</f>
        <v>1373.5209767032241</v>
      </c>
    </row>
    <row r="4" spans="1:26" ht="15.75" customHeight="1" x14ac:dyDescent="0.25">
      <c r="A4" s="39" t="s">
        <v>13</v>
      </c>
      <c r="B4" s="40">
        <f t="shared" ref="B4:Y4" si="0">B2-B3</f>
        <v>-15806.7125</v>
      </c>
      <c r="C4" s="40">
        <f t="shared" si="0"/>
        <v>-2265.9187500000003</v>
      </c>
      <c r="D4" s="40">
        <f t="shared" si="0"/>
        <v>-680.83062500000017</v>
      </c>
      <c r="E4" s="40">
        <f t="shared" si="0"/>
        <v>-1081.2659374999998</v>
      </c>
      <c r="F4" s="40">
        <f t="shared" si="0"/>
        <v>-466.87053124999989</v>
      </c>
      <c r="G4" s="40">
        <f t="shared" si="0"/>
        <v>-776.58879687499962</v>
      </c>
      <c r="H4" s="40">
        <f t="shared" si="0"/>
        <v>-113.83637656249982</v>
      </c>
      <c r="I4" s="40">
        <f t="shared" si="0"/>
        <v>-273.87151484374954</v>
      </c>
      <c r="J4" s="38">
        <f t="shared" si="0"/>
        <v>468.66997867187524</v>
      </c>
      <c r="K4" s="38">
        <f t="shared" si="0"/>
        <v>555.61200050781326</v>
      </c>
      <c r="L4" s="37">
        <f t="shared" si="0"/>
        <v>1429.8054648085952</v>
      </c>
      <c r="M4" s="37">
        <f t="shared" si="0"/>
        <v>1924.259800837893</v>
      </c>
      <c r="N4" s="37">
        <f t="shared" si="0"/>
        <v>2957.8607901803211</v>
      </c>
      <c r="O4" s="37">
        <f t="shared" si="0"/>
        <v>3265.2418801978565</v>
      </c>
      <c r="P4" s="37">
        <f t="shared" si="0"/>
        <v>3598.8804970862193</v>
      </c>
      <c r="Q4" s="37">
        <f t="shared" si="0"/>
        <v>3961.1772342615304</v>
      </c>
      <c r="R4" s="37">
        <f t="shared" si="0"/>
        <v>4354.7613794264798</v>
      </c>
      <c r="S4" s="37">
        <f t="shared" si="0"/>
        <v>4782.5132079503055</v>
      </c>
      <c r="T4" s="37">
        <f t="shared" si="0"/>
        <v>5247.5884765287274</v>
      </c>
      <c r="U4" s="37">
        <f t="shared" si="0"/>
        <v>5753.4453357314078</v>
      </c>
      <c r="V4" s="37">
        <f t="shared" si="0"/>
        <v>6303.8739018399574</v>
      </c>
      <c r="W4" s="37">
        <f t="shared" si="0"/>
        <v>6903.0287523511915</v>
      </c>
      <c r="X4" s="37">
        <f t="shared" si="0"/>
        <v>7555.464635885699</v>
      </c>
      <c r="Y4" s="37">
        <f t="shared" si="0"/>
        <v>8266.1757162400736</v>
      </c>
    </row>
    <row r="5" spans="1:26" ht="15.75" customHeight="1" x14ac:dyDescent="0.25">
      <c r="A5" s="39" t="s">
        <v>44</v>
      </c>
      <c r="B5" s="41">
        <f t="shared" ref="B5:Y5" si="1">B4/B2</f>
        <v>-75.811570743405269</v>
      </c>
      <c r="C5" s="41">
        <f t="shared" si="1"/>
        <v>-7.2451438848920873</v>
      </c>
      <c r="D5" s="41">
        <f t="shared" si="1"/>
        <v>-1.9790149698423085</v>
      </c>
      <c r="E5" s="41">
        <f t="shared" si="1"/>
        <v>-2.0953243465833391</v>
      </c>
      <c r="F5" s="41">
        <f t="shared" si="1"/>
        <v>-0.82247463736999338</v>
      </c>
      <c r="G5" s="41">
        <f t="shared" si="1"/>
        <v>-0.91206526055555859</v>
      </c>
      <c r="H5" s="41">
        <f t="shared" si="1"/>
        <v>-0.12154110253828804</v>
      </c>
      <c r="I5" s="41">
        <f t="shared" si="1"/>
        <v>-0.19493854175084355</v>
      </c>
      <c r="J5" s="42">
        <f t="shared" si="1"/>
        <v>0.30326710039001825</v>
      </c>
      <c r="K5" s="42">
        <f t="shared" si="1"/>
        <v>0.23968371207019579</v>
      </c>
      <c r="L5" s="42">
        <f t="shared" si="1"/>
        <v>0.56072661731626461</v>
      </c>
      <c r="M5" s="42">
        <f t="shared" si="1"/>
        <v>0.5030911386284016</v>
      </c>
      <c r="N5" s="42">
        <f t="shared" si="1"/>
        <v>0.71804835372233866</v>
      </c>
      <c r="O5" s="42">
        <f t="shared" si="1"/>
        <v>0.73561711960166187</v>
      </c>
      <c r="P5" s="42">
        <f t="shared" si="1"/>
        <v>0.75202649202123995</v>
      </c>
      <c r="Q5" s="42">
        <f t="shared" si="1"/>
        <v>0.76734281802716486</v>
      </c>
      <c r="R5" s="42">
        <f t="shared" si="1"/>
        <v>0.7816293550885548</v>
      </c>
      <c r="S5" s="42">
        <f t="shared" si="1"/>
        <v>0.79494637913619459</v>
      </c>
      <c r="T5" s="42">
        <f t="shared" si="1"/>
        <v>0.80735128869006556</v>
      </c>
      <c r="U5" s="42">
        <f t="shared" si="1"/>
        <v>0.81889870552652566</v>
      </c>
      <c r="V5" s="42">
        <f t="shared" si="1"/>
        <v>0.82964057228614807</v>
      </c>
      <c r="W5" s="42">
        <f t="shared" si="1"/>
        <v>0.83962624737367908</v>
      </c>
      <c r="X5" s="42">
        <f t="shared" si="1"/>
        <v>0.84890259745288965</v>
      </c>
      <c r="Y5" s="42">
        <f t="shared" si="1"/>
        <v>0.8575140877919214</v>
      </c>
    </row>
    <row r="6" spans="1:26" ht="15.75" customHeight="1" x14ac:dyDescent="0.25">
      <c r="A6" s="36" t="s">
        <v>15</v>
      </c>
      <c r="B6" s="43" t="str">
        <f t="shared" ref="B6:I6" si="2">IF(B4&gt;0,B4*0.35,"0")</f>
        <v>0</v>
      </c>
      <c r="C6" s="43" t="str">
        <f t="shared" si="2"/>
        <v>0</v>
      </c>
      <c r="D6" s="43" t="str">
        <f t="shared" si="2"/>
        <v>0</v>
      </c>
      <c r="E6" s="43" t="str">
        <f t="shared" si="2"/>
        <v>0</v>
      </c>
      <c r="F6" s="43" t="str">
        <f t="shared" si="2"/>
        <v>0</v>
      </c>
      <c r="G6" s="43" t="str">
        <f t="shared" si="2"/>
        <v>0</v>
      </c>
      <c r="H6" s="43" t="str">
        <f t="shared" si="2"/>
        <v>0</v>
      </c>
      <c r="I6" s="43" t="str">
        <f t="shared" si="2"/>
        <v>0</v>
      </c>
      <c r="J6" s="44">
        <v>0</v>
      </c>
      <c r="K6" s="44">
        <v>0</v>
      </c>
      <c r="L6" s="44">
        <v>0</v>
      </c>
      <c r="M6" s="44">
        <v>0</v>
      </c>
      <c r="N6" s="37">
        <f t="shared" ref="N6:Y6" si="3">IF(N4&gt;0,N4*0.35,"0")</f>
        <v>1035.2512765631122</v>
      </c>
      <c r="O6" s="37">
        <f t="shared" si="3"/>
        <v>1142.8346580692496</v>
      </c>
      <c r="P6" s="37">
        <f t="shared" si="3"/>
        <v>1259.6081739801766</v>
      </c>
      <c r="Q6" s="37">
        <f t="shared" si="3"/>
        <v>1386.4120319915355</v>
      </c>
      <c r="R6" s="37">
        <f t="shared" si="3"/>
        <v>1524.1664827992679</v>
      </c>
      <c r="S6" s="37">
        <f t="shared" si="3"/>
        <v>1673.8796227826069</v>
      </c>
      <c r="T6" s="37">
        <f t="shared" si="3"/>
        <v>1836.6559667850545</v>
      </c>
      <c r="U6" s="37">
        <f t="shared" si="3"/>
        <v>2013.7058675059925</v>
      </c>
      <c r="V6" s="37">
        <f t="shared" si="3"/>
        <v>2206.355865643985</v>
      </c>
      <c r="W6" s="37">
        <f t="shared" si="3"/>
        <v>2416.0600633229169</v>
      </c>
      <c r="X6" s="37">
        <f t="shared" si="3"/>
        <v>2644.4126225599944</v>
      </c>
      <c r="Y6" s="37">
        <f t="shared" si="3"/>
        <v>2893.1615006840257</v>
      </c>
    </row>
    <row r="7" spans="1:26" ht="15.75" customHeight="1" x14ac:dyDescent="0.25">
      <c r="A7" s="39" t="s">
        <v>45</v>
      </c>
      <c r="B7" s="37">
        <f t="shared" ref="B7:Y7" si="4">B4-B6</f>
        <v>-15806.7125</v>
      </c>
      <c r="C7" s="37">
        <f t="shared" si="4"/>
        <v>-2265.9187500000003</v>
      </c>
      <c r="D7" s="37">
        <f t="shared" si="4"/>
        <v>-680.83062500000017</v>
      </c>
      <c r="E7" s="37">
        <f t="shared" si="4"/>
        <v>-1081.2659374999998</v>
      </c>
      <c r="F7" s="37">
        <f t="shared" si="4"/>
        <v>-466.87053124999989</v>
      </c>
      <c r="G7" s="37">
        <f t="shared" si="4"/>
        <v>-776.58879687499962</v>
      </c>
      <c r="H7" s="37">
        <f t="shared" si="4"/>
        <v>-113.83637656249982</v>
      </c>
      <c r="I7" s="37">
        <f t="shared" si="4"/>
        <v>-273.87151484374954</v>
      </c>
      <c r="J7" s="37">
        <f t="shared" si="4"/>
        <v>468.66997867187524</v>
      </c>
      <c r="K7" s="37">
        <f t="shared" si="4"/>
        <v>555.61200050781326</v>
      </c>
      <c r="L7" s="37">
        <f t="shared" si="4"/>
        <v>1429.8054648085952</v>
      </c>
      <c r="M7" s="37">
        <f t="shared" si="4"/>
        <v>1924.259800837893</v>
      </c>
      <c r="N7" s="37">
        <f t="shared" si="4"/>
        <v>1922.6095136172089</v>
      </c>
      <c r="O7" s="37">
        <f t="shared" si="4"/>
        <v>2122.4072221286069</v>
      </c>
      <c r="P7" s="37">
        <f t="shared" si="4"/>
        <v>2339.2723231060427</v>
      </c>
      <c r="Q7" s="37">
        <f t="shared" si="4"/>
        <v>2574.7652022699949</v>
      </c>
      <c r="R7" s="37">
        <f t="shared" si="4"/>
        <v>2830.5948966272117</v>
      </c>
      <c r="S7" s="37">
        <f t="shared" si="4"/>
        <v>3108.6335851676986</v>
      </c>
      <c r="T7" s="37">
        <f t="shared" si="4"/>
        <v>3410.9325097436731</v>
      </c>
      <c r="U7" s="37">
        <f t="shared" si="4"/>
        <v>3739.7394682254153</v>
      </c>
      <c r="V7" s="37">
        <f t="shared" si="4"/>
        <v>4097.5180361959719</v>
      </c>
      <c r="W7" s="37">
        <f t="shared" si="4"/>
        <v>4486.9686890282746</v>
      </c>
      <c r="X7" s="37">
        <f t="shared" si="4"/>
        <v>4911.052013325705</v>
      </c>
      <c r="Y7" s="37">
        <f t="shared" si="4"/>
        <v>5373.0142155560479</v>
      </c>
    </row>
    <row r="8" spans="1:26" ht="15.75" customHeight="1" x14ac:dyDescent="0.25">
      <c r="A8" s="45"/>
    </row>
    <row r="9" spans="1:26" ht="15.75" customHeight="1" x14ac:dyDescent="0.25">
      <c r="A9" s="46"/>
    </row>
    <row r="10" spans="1:26" ht="15.75" customHeight="1" x14ac:dyDescent="0.25">
      <c r="A10" s="4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/>
  </sheetViews>
  <sheetFormatPr defaultColWidth="14.44140625" defaultRowHeight="15.75" customHeight="1" x14ac:dyDescent="0.25"/>
  <cols>
    <col min="1" max="1" width="19.109375" customWidth="1"/>
    <col min="2" max="2" width="12.109375" customWidth="1"/>
    <col min="3" max="3" width="3.6640625" customWidth="1"/>
    <col min="4" max="4" width="4" customWidth="1"/>
    <col min="5" max="5" width="3.33203125" customWidth="1"/>
    <col min="6" max="6" width="4.109375" customWidth="1"/>
    <col min="7" max="7" width="3.5546875" customWidth="1"/>
    <col min="8" max="10" width="4.109375" customWidth="1"/>
    <col min="11" max="11" width="4.33203125" customWidth="1"/>
    <col min="12" max="12" width="3.44140625" customWidth="1"/>
    <col min="13" max="13" width="4.44140625" customWidth="1"/>
    <col min="14" max="14" width="4.88671875" customWidth="1"/>
    <col min="15" max="15" width="4.33203125" customWidth="1"/>
    <col min="16" max="16" width="4.109375" customWidth="1"/>
    <col min="17" max="17" width="3.88671875" customWidth="1"/>
    <col min="18" max="18" width="4.88671875" customWidth="1"/>
    <col min="19" max="19" width="4.6640625" customWidth="1"/>
    <col min="20" max="21" width="4.5546875" customWidth="1"/>
    <col min="22" max="23" width="5.33203125" customWidth="1"/>
    <col min="24" max="24" width="4.5546875" customWidth="1"/>
  </cols>
  <sheetData>
    <row r="1" spans="1:25" ht="15.75" customHeight="1" x14ac:dyDescent="0.25">
      <c r="A1" s="45" t="s">
        <v>46</v>
      </c>
      <c r="B1" s="47">
        <v>1</v>
      </c>
      <c r="C1" s="47">
        <v>2</v>
      </c>
      <c r="D1" s="47">
        <v>3</v>
      </c>
      <c r="E1" s="47">
        <v>4</v>
      </c>
      <c r="F1" s="47">
        <v>5</v>
      </c>
      <c r="G1" s="47">
        <v>6</v>
      </c>
      <c r="H1" s="47">
        <v>7</v>
      </c>
      <c r="I1" s="47">
        <v>8</v>
      </c>
      <c r="J1" s="47">
        <v>9</v>
      </c>
      <c r="K1" s="47">
        <v>10</v>
      </c>
      <c r="L1" s="47">
        <v>11</v>
      </c>
      <c r="M1" s="47">
        <v>12</v>
      </c>
      <c r="N1" s="47">
        <v>13</v>
      </c>
      <c r="O1" s="47">
        <v>14</v>
      </c>
      <c r="P1" s="47">
        <v>15</v>
      </c>
      <c r="Q1" s="47">
        <v>16</v>
      </c>
      <c r="R1" s="47">
        <v>17</v>
      </c>
      <c r="S1" s="47">
        <v>18</v>
      </c>
      <c r="T1" s="47">
        <v>19</v>
      </c>
      <c r="U1" s="47">
        <v>20</v>
      </c>
      <c r="V1" s="47">
        <v>21</v>
      </c>
      <c r="W1" s="47">
        <v>22</v>
      </c>
      <c r="X1" s="47">
        <v>23</v>
      </c>
      <c r="Y1" s="47" t="s">
        <v>41</v>
      </c>
    </row>
    <row r="2" spans="1:25" ht="15.75" customHeight="1" x14ac:dyDescent="0.25">
      <c r="A2" s="45" t="s">
        <v>42</v>
      </c>
      <c r="B2" s="10">
        <f>'Revenue Streams'!B17</f>
        <v>208.5</v>
      </c>
      <c r="C2" s="10">
        <f>'Revenue Streams'!C17</f>
        <v>312.75</v>
      </c>
      <c r="D2" s="10">
        <f>'Revenue Streams'!D17</f>
        <v>344.02499999999998</v>
      </c>
      <c r="E2" s="10">
        <f>'Revenue Streams'!E17</f>
        <v>516.03750000000002</v>
      </c>
      <c r="F2" s="10">
        <f>'Revenue Streams'!F17</f>
        <v>567.64125000000013</v>
      </c>
      <c r="G2" s="10">
        <f>'Revenue Streams'!G17</f>
        <v>851.46187500000019</v>
      </c>
      <c r="H2" s="10">
        <f>'Revenue Streams'!H17</f>
        <v>936.6080625000003</v>
      </c>
      <c r="I2" s="10">
        <f>'Revenue Streams'!I17</f>
        <v>1404.9120937500006</v>
      </c>
      <c r="J2" s="10">
        <f>'Revenue Streams'!J17</f>
        <v>1545.4033031250003</v>
      </c>
      <c r="K2" s="10">
        <f>'Revenue Streams'!K17</f>
        <v>2318.104954687501</v>
      </c>
      <c r="L2" s="10">
        <f>'Revenue Streams'!L17</f>
        <v>2549.9154501562516</v>
      </c>
      <c r="M2" s="10">
        <f>'Revenue Streams'!M17</f>
        <v>3824.8731752343774</v>
      </c>
      <c r="N2" s="10">
        <f>'Revenue Streams'!N17</f>
        <v>4119.3058585078143</v>
      </c>
      <c r="O2" s="10">
        <f>'Revenue Streams'!O17</f>
        <v>4438.7790783960972</v>
      </c>
      <c r="P2" s="10">
        <f>'Revenue Streams'!P17</f>
        <v>4785.5767519750807</v>
      </c>
      <c r="Q2" s="10">
        <f>'Revenue Streams'!Q17</f>
        <v>5162.200181198933</v>
      </c>
      <c r="R2" s="10">
        <f>'Revenue Streams'!R17</f>
        <v>5571.3892410464887</v>
      </c>
      <c r="S2" s="10">
        <f>'Revenue Streams'!S17</f>
        <v>6016.1456589651807</v>
      </c>
      <c r="T2" s="10">
        <f>'Revenue Streams'!T17</f>
        <v>6499.758593366445</v>
      </c>
      <c r="U2" s="10">
        <f>'Revenue Streams'!U17</f>
        <v>7025.8327396330742</v>
      </c>
      <c r="V2" s="10">
        <f>'Revenue Streams'!V17</f>
        <v>7598.3192148728631</v>
      </c>
      <c r="W2" s="10">
        <f>'Revenue Streams'!W17</f>
        <v>8221.5494977004582</v>
      </c>
      <c r="X2" s="10">
        <f>'Revenue Streams'!X17</f>
        <v>8900.2727268778253</v>
      </c>
      <c r="Y2" s="10">
        <f>'Revenue Streams'!Y17</f>
        <v>9639.6966929432983</v>
      </c>
    </row>
    <row r="3" spans="1:25" ht="15.75" customHeight="1" x14ac:dyDescent="0.25">
      <c r="A3" s="45" t="s">
        <v>47</v>
      </c>
      <c r="B3" s="10">
        <f>Costs!B16</f>
        <v>16015.2125</v>
      </c>
      <c r="C3" s="10">
        <f>Costs!C16</f>
        <v>2578.6687500000003</v>
      </c>
      <c r="D3" s="10">
        <f>Costs!D16</f>
        <v>1024.8556250000001</v>
      </c>
      <c r="E3" s="10">
        <f>Costs!E16</f>
        <v>1597.3034374999997</v>
      </c>
      <c r="F3" s="10">
        <f>Costs!F16</f>
        <v>1034.51178125</v>
      </c>
      <c r="G3" s="10">
        <f>Costs!G16</f>
        <v>1628.0506718749998</v>
      </c>
      <c r="H3" s="10">
        <f>Costs!H16</f>
        <v>1050.4444390625001</v>
      </c>
      <c r="I3" s="10">
        <f>Costs!I16</f>
        <v>1678.7836085937502</v>
      </c>
      <c r="J3" s="10">
        <f>Costs!J16</f>
        <v>1076.7333244531251</v>
      </c>
      <c r="K3" s="10">
        <f>Costs!K16</f>
        <v>1762.4929541796878</v>
      </c>
      <c r="L3" s="10">
        <f>Costs!L16</f>
        <v>1120.1099853476564</v>
      </c>
      <c r="M3" s="10">
        <f>Costs!M16</f>
        <v>1900.6133743964845</v>
      </c>
      <c r="N3" s="10">
        <f>Costs!N16</f>
        <v>1161.4450683274931</v>
      </c>
      <c r="O3" s="10">
        <f>Costs!O16</f>
        <v>1173.5371981982405</v>
      </c>
      <c r="P3" s="10">
        <f>Costs!P16</f>
        <v>1186.6962548888614</v>
      </c>
      <c r="Q3" s="10">
        <f>Costs!Q16</f>
        <v>1201.0229469374026</v>
      </c>
      <c r="R3" s="10">
        <f>Costs!R16</f>
        <v>1216.6278616200093</v>
      </c>
      <c r="S3" s="10">
        <f>Costs!S16</f>
        <v>1233.6324510148756</v>
      </c>
      <c r="T3" s="10">
        <f>Costs!T16</f>
        <v>1252.1701168377176</v>
      </c>
      <c r="U3" s="10">
        <f>Costs!U16</f>
        <v>1272.3874039016666</v>
      </c>
      <c r="V3" s="10">
        <f>Costs!V16</f>
        <v>1294.4453130329059</v>
      </c>
      <c r="W3" s="10">
        <f>Costs!W16</f>
        <v>1318.5207453492669</v>
      </c>
      <c r="X3" s="10">
        <f>Costs!X16</f>
        <v>1344.8080909921266</v>
      </c>
      <c r="Y3" s="10">
        <f>Costs!Y16</f>
        <v>1373.5209767032241</v>
      </c>
    </row>
    <row r="4" spans="1:25" ht="15.75" customHeight="1" x14ac:dyDescent="0.25">
      <c r="A4" s="46"/>
    </row>
    <row r="6" spans="1:25" ht="15.75" customHeight="1" x14ac:dyDescent="0.25">
      <c r="A6" s="45" t="s">
        <v>48</v>
      </c>
      <c r="B6" s="10">
        <f t="shared" ref="B6:Y6" si="0">B2-B3</f>
        <v>-15806.7125</v>
      </c>
      <c r="C6" s="10">
        <f t="shared" si="0"/>
        <v>-2265.9187500000003</v>
      </c>
      <c r="D6" s="10">
        <f t="shared" si="0"/>
        <v>-680.83062500000017</v>
      </c>
      <c r="E6" s="10">
        <f t="shared" si="0"/>
        <v>-1081.2659374999998</v>
      </c>
      <c r="F6" s="10">
        <f t="shared" si="0"/>
        <v>-466.87053124999989</v>
      </c>
      <c r="G6" s="10">
        <f t="shared" si="0"/>
        <v>-776.58879687499962</v>
      </c>
      <c r="H6" s="10">
        <f t="shared" si="0"/>
        <v>-113.83637656249982</v>
      </c>
      <c r="I6" s="10">
        <f t="shared" si="0"/>
        <v>-273.87151484374954</v>
      </c>
      <c r="J6" s="10">
        <f t="shared" si="0"/>
        <v>468.66997867187524</v>
      </c>
      <c r="K6" s="10">
        <f t="shared" si="0"/>
        <v>555.61200050781326</v>
      </c>
      <c r="L6" s="10">
        <f t="shared" si="0"/>
        <v>1429.8054648085952</v>
      </c>
      <c r="M6" s="10">
        <f t="shared" si="0"/>
        <v>1924.259800837893</v>
      </c>
      <c r="N6" s="10">
        <f t="shared" si="0"/>
        <v>2957.8607901803211</v>
      </c>
      <c r="O6" s="10">
        <f t="shared" si="0"/>
        <v>3265.2418801978565</v>
      </c>
      <c r="P6" s="10">
        <f t="shared" si="0"/>
        <v>3598.8804970862193</v>
      </c>
      <c r="Q6" s="10">
        <f t="shared" si="0"/>
        <v>3961.1772342615304</v>
      </c>
      <c r="R6" s="10">
        <f t="shared" si="0"/>
        <v>4354.7613794264798</v>
      </c>
      <c r="S6" s="10">
        <f t="shared" si="0"/>
        <v>4782.5132079503055</v>
      </c>
      <c r="T6" s="10">
        <f t="shared" si="0"/>
        <v>5247.5884765287274</v>
      </c>
      <c r="U6" s="10">
        <f t="shared" si="0"/>
        <v>5753.4453357314078</v>
      </c>
      <c r="V6" s="10">
        <f t="shared" si="0"/>
        <v>6303.8739018399574</v>
      </c>
      <c r="W6" s="10">
        <f t="shared" si="0"/>
        <v>6903.0287523511915</v>
      </c>
      <c r="X6" s="10">
        <f t="shared" si="0"/>
        <v>7555.464635885699</v>
      </c>
      <c r="Y6" s="10">
        <f t="shared" si="0"/>
        <v>8266.1757162400736</v>
      </c>
    </row>
    <row r="7" spans="1:25" ht="15.75" customHeight="1" x14ac:dyDescent="0.25">
      <c r="A7" s="45" t="s">
        <v>49</v>
      </c>
      <c r="B7" s="10">
        <f>B6</f>
        <v>-15806.7125</v>
      </c>
      <c r="C7" s="10">
        <f t="shared" ref="C7:Y7" si="1">B7+C6</f>
        <v>-18072.631249999999</v>
      </c>
      <c r="D7" s="10">
        <f t="shared" si="1"/>
        <v>-18753.461874999997</v>
      </c>
      <c r="E7" s="10">
        <f t="shared" si="1"/>
        <v>-19834.727812499998</v>
      </c>
      <c r="F7" s="10">
        <f t="shared" si="1"/>
        <v>-20301.598343749996</v>
      </c>
      <c r="G7" s="10">
        <f t="shared" si="1"/>
        <v>-21078.187140624996</v>
      </c>
      <c r="H7" s="10">
        <f t="shared" si="1"/>
        <v>-21192.023517187496</v>
      </c>
      <c r="I7" s="10">
        <f t="shared" si="1"/>
        <v>-21465.895032031243</v>
      </c>
      <c r="J7" s="10">
        <f t="shared" si="1"/>
        <v>-20997.225053359369</v>
      </c>
      <c r="K7" s="10">
        <f t="shared" si="1"/>
        <v>-20441.613052851557</v>
      </c>
      <c r="L7" s="10">
        <f t="shared" si="1"/>
        <v>-19011.807588042961</v>
      </c>
      <c r="M7" s="10">
        <f t="shared" si="1"/>
        <v>-17087.547787205069</v>
      </c>
      <c r="N7" s="10">
        <f t="shared" si="1"/>
        <v>-14129.686997024748</v>
      </c>
      <c r="O7" s="10">
        <f t="shared" si="1"/>
        <v>-10864.445116826892</v>
      </c>
      <c r="P7" s="10">
        <f t="shared" si="1"/>
        <v>-7265.5646197406722</v>
      </c>
      <c r="Q7" s="10">
        <f t="shared" si="1"/>
        <v>-3304.3873854791418</v>
      </c>
      <c r="R7" s="10">
        <f t="shared" si="1"/>
        <v>1050.373993947338</v>
      </c>
      <c r="S7" s="10">
        <f t="shared" si="1"/>
        <v>5832.8872018976435</v>
      </c>
      <c r="T7" s="10">
        <f t="shared" si="1"/>
        <v>11080.47567842637</v>
      </c>
      <c r="U7" s="10">
        <f t="shared" si="1"/>
        <v>16833.921014157779</v>
      </c>
      <c r="V7" s="10">
        <f t="shared" si="1"/>
        <v>23137.794915997736</v>
      </c>
      <c r="W7" s="10">
        <f t="shared" si="1"/>
        <v>30040.823668348927</v>
      </c>
      <c r="X7" s="10">
        <f t="shared" si="1"/>
        <v>37596.288304234622</v>
      </c>
      <c r="Y7" s="10">
        <f t="shared" si="1"/>
        <v>45862.464020474697</v>
      </c>
    </row>
  </sheetData>
  <conditionalFormatting sqref="A6:Y7">
    <cfRule type="cellIs" dxfId="1" priority="1" operator="greaterThanOrEqual">
      <formula>0</formula>
    </cfRule>
  </conditionalFormatting>
  <conditionalFormatting sqref="A6:Y7">
    <cfRule type="cellIs" dxfId="0" priority="2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workbookViewId="0"/>
  </sheetViews>
  <sheetFormatPr defaultColWidth="14.44140625" defaultRowHeight="15.75" customHeight="1" x14ac:dyDescent="0.25"/>
  <cols>
    <col min="1" max="1" width="40.44140625" customWidth="1"/>
    <col min="2" max="3" width="10.88671875" customWidth="1"/>
    <col min="4" max="5" width="8.109375" customWidth="1"/>
    <col min="6" max="6" width="7.6640625" customWidth="1"/>
    <col min="7" max="10" width="8.109375" customWidth="1"/>
    <col min="11" max="11" width="9.109375" customWidth="1"/>
    <col min="12" max="12" width="9" customWidth="1"/>
    <col min="13" max="25" width="9.109375" customWidth="1"/>
    <col min="26" max="26" width="8.6640625" customWidth="1"/>
  </cols>
  <sheetData>
    <row r="1" spans="1:27" ht="15.75" customHeight="1" x14ac:dyDescent="0.25">
      <c r="A1" s="48" t="s">
        <v>50</v>
      </c>
      <c r="B1" s="49" t="s">
        <v>18</v>
      </c>
      <c r="C1" s="49" t="s">
        <v>19</v>
      </c>
      <c r="D1" s="49" t="s">
        <v>20</v>
      </c>
      <c r="E1" s="50" t="s">
        <v>21</v>
      </c>
      <c r="F1" s="50" t="s">
        <v>22</v>
      </c>
      <c r="G1" s="50" t="s">
        <v>23</v>
      </c>
      <c r="H1" s="50" t="s">
        <v>24</v>
      </c>
      <c r="I1" s="50" t="s">
        <v>25</v>
      </c>
      <c r="J1" s="50" t="s">
        <v>26</v>
      </c>
      <c r="K1" s="50" t="s">
        <v>27</v>
      </c>
      <c r="L1" s="51" t="s">
        <v>28</v>
      </c>
      <c r="M1" s="50" t="s">
        <v>29</v>
      </c>
      <c r="N1" s="50" t="s">
        <v>30</v>
      </c>
      <c r="O1" s="52" t="s">
        <v>31</v>
      </c>
      <c r="P1" s="50" t="s">
        <v>32</v>
      </c>
      <c r="Q1" s="50" t="s">
        <v>33</v>
      </c>
      <c r="R1" s="50" t="s">
        <v>34</v>
      </c>
      <c r="S1" s="50" t="s">
        <v>35</v>
      </c>
      <c r="T1" s="50" t="s">
        <v>36</v>
      </c>
      <c r="U1" s="50" t="s">
        <v>37</v>
      </c>
      <c r="V1" s="50" t="s">
        <v>38</v>
      </c>
      <c r="W1" s="53" t="s">
        <v>39</v>
      </c>
      <c r="X1" s="50" t="s">
        <v>40</v>
      </c>
      <c r="Y1" s="51" t="s">
        <v>41</v>
      </c>
      <c r="Z1" s="54"/>
      <c r="AA1" s="55"/>
    </row>
    <row r="2" spans="1:27" ht="15.75" customHeight="1" x14ac:dyDescent="0.25">
      <c r="A2" s="56" t="s">
        <v>51</v>
      </c>
      <c r="B2" s="57">
        <v>0.15</v>
      </c>
      <c r="C2" s="57">
        <v>0.15</v>
      </c>
      <c r="D2" s="57">
        <v>0.15</v>
      </c>
      <c r="E2" s="57">
        <v>0.15</v>
      </c>
      <c r="F2" s="57">
        <v>0.15</v>
      </c>
      <c r="G2" s="57">
        <v>0.15</v>
      </c>
      <c r="H2" s="57">
        <v>0.15</v>
      </c>
      <c r="I2" s="57">
        <v>0.15</v>
      </c>
      <c r="J2" s="57">
        <v>0.15</v>
      </c>
      <c r="K2" s="57">
        <v>0.15</v>
      </c>
      <c r="L2" s="57">
        <v>0.15</v>
      </c>
      <c r="M2" s="57">
        <v>0.15</v>
      </c>
      <c r="N2" s="57">
        <v>0.15</v>
      </c>
      <c r="O2" s="57">
        <v>0.15</v>
      </c>
      <c r="P2" s="57">
        <v>0.15</v>
      </c>
      <c r="Q2" s="57">
        <v>0.15</v>
      </c>
      <c r="R2" s="57">
        <v>0.15</v>
      </c>
      <c r="S2" s="57">
        <v>0.15</v>
      </c>
      <c r="T2" s="57">
        <v>0.15</v>
      </c>
      <c r="U2" s="57">
        <v>0.15</v>
      </c>
      <c r="V2" s="57">
        <v>0.15</v>
      </c>
      <c r="W2" s="57">
        <v>0.15</v>
      </c>
      <c r="X2" s="57">
        <v>0.15</v>
      </c>
      <c r="Y2" s="58">
        <v>0.15</v>
      </c>
      <c r="Z2" s="59"/>
    </row>
    <row r="3" spans="1:27" ht="15.75" customHeight="1" x14ac:dyDescent="0.25">
      <c r="A3" s="60" t="s">
        <v>52</v>
      </c>
      <c r="B3" s="61">
        <v>5</v>
      </c>
      <c r="C3" s="61">
        <f>1.5*B3</f>
        <v>7.5</v>
      </c>
      <c r="D3" s="61">
        <f>1.1*C3</f>
        <v>8.25</v>
      </c>
      <c r="E3" s="61">
        <f>1.5*D3</f>
        <v>12.375</v>
      </c>
      <c r="F3" s="61">
        <f>1.1*E3</f>
        <v>13.612500000000001</v>
      </c>
      <c r="G3" s="61">
        <f>1.5*F3</f>
        <v>20.418750000000003</v>
      </c>
      <c r="H3" s="61">
        <f>1.1*G3</f>
        <v>22.460625000000004</v>
      </c>
      <c r="I3" s="61">
        <f>1.5*H3</f>
        <v>33.690937500000004</v>
      </c>
      <c r="J3" s="61">
        <f>1.1*I3</f>
        <v>37.060031250000009</v>
      </c>
      <c r="K3" s="61">
        <f>1.5*J3</f>
        <v>55.590046875000013</v>
      </c>
      <c r="L3" s="61">
        <f>1.1*K3</f>
        <v>61.14905156250002</v>
      </c>
      <c r="M3" s="61">
        <f>1.5*L3</f>
        <v>91.723577343750037</v>
      </c>
      <c r="N3" s="61">
        <f t="shared" ref="N3:Y3" si="0">1.1*M3</f>
        <v>100.89593507812505</v>
      </c>
      <c r="O3" s="61">
        <f t="shared" si="0"/>
        <v>110.98552858593756</v>
      </c>
      <c r="P3" s="61">
        <f t="shared" si="0"/>
        <v>122.08408144453132</v>
      </c>
      <c r="Q3" s="61">
        <f t="shared" si="0"/>
        <v>134.29248958898447</v>
      </c>
      <c r="R3" s="61">
        <f t="shared" si="0"/>
        <v>147.72173854788292</v>
      </c>
      <c r="S3" s="61">
        <f t="shared" si="0"/>
        <v>162.49391240267121</v>
      </c>
      <c r="T3" s="61">
        <f t="shared" si="0"/>
        <v>178.74330364293834</v>
      </c>
      <c r="U3" s="61">
        <f t="shared" si="0"/>
        <v>196.6176340072322</v>
      </c>
      <c r="V3" s="61">
        <f t="shared" si="0"/>
        <v>216.27939740795543</v>
      </c>
      <c r="W3" s="61">
        <f t="shared" si="0"/>
        <v>237.907337148751</v>
      </c>
      <c r="X3" s="61">
        <f t="shared" si="0"/>
        <v>261.69807086362613</v>
      </c>
      <c r="Y3" s="61">
        <f t="shared" si="0"/>
        <v>287.86787794998878</v>
      </c>
      <c r="Z3" s="59"/>
    </row>
    <row r="4" spans="1:27" ht="15.75" customHeight="1" x14ac:dyDescent="0.25">
      <c r="A4" s="62" t="s">
        <v>53</v>
      </c>
      <c r="B4" s="63">
        <v>150</v>
      </c>
      <c r="C4" s="63">
        <v>150</v>
      </c>
      <c r="D4" s="63">
        <v>150</v>
      </c>
      <c r="E4" s="63">
        <v>150</v>
      </c>
      <c r="F4" s="63">
        <v>150</v>
      </c>
      <c r="G4" s="63">
        <v>150</v>
      </c>
      <c r="H4" s="63">
        <v>150</v>
      </c>
      <c r="I4" s="63">
        <v>150</v>
      </c>
      <c r="J4" s="63">
        <v>150</v>
      </c>
      <c r="K4" s="63">
        <v>150</v>
      </c>
      <c r="L4" s="63">
        <v>150</v>
      </c>
      <c r="M4" s="63">
        <v>150</v>
      </c>
      <c r="N4" s="63">
        <v>150</v>
      </c>
      <c r="O4" s="63">
        <v>150</v>
      </c>
      <c r="P4" s="63">
        <v>150</v>
      </c>
      <c r="Q4" s="63">
        <v>150</v>
      </c>
      <c r="R4" s="63">
        <v>150</v>
      </c>
      <c r="S4" s="63">
        <v>150</v>
      </c>
      <c r="T4" s="63">
        <v>150</v>
      </c>
      <c r="U4" s="63">
        <v>150</v>
      </c>
      <c r="V4" s="63">
        <v>150</v>
      </c>
      <c r="W4" s="63">
        <v>150</v>
      </c>
      <c r="X4" s="63">
        <v>150</v>
      </c>
      <c r="Y4" s="64">
        <v>150</v>
      </c>
      <c r="Z4" s="59"/>
    </row>
    <row r="5" spans="1:27" ht="15.75" customHeight="1" x14ac:dyDescent="0.25">
      <c r="A5" s="56" t="s">
        <v>54</v>
      </c>
      <c r="B5" s="57">
        <v>0.1</v>
      </c>
      <c r="C5" s="57">
        <v>0.1</v>
      </c>
      <c r="D5" s="57">
        <v>0.1</v>
      </c>
      <c r="E5" s="57">
        <v>0.1</v>
      </c>
      <c r="F5" s="65">
        <v>0.1</v>
      </c>
      <c r="G5" s="65">
        <v>0.1</v>
      </c>
      <c r="H5" s="65">
        <v>0.1</v>
      </c>
      <c r="I5" s="65">
        <v>0.1</v>
      </c>
      <c r="J5" s="65">
        <v>0.1</v>
      </c>
      <c r="K5" s="65">
        <v>0.1</v>
      </c>
      <c r="L5" s="65">
        <v>0.1</v>
      </c>
      <c r="M5" s="65">
        <v>0.1</v>
      </c>
      <c r="N5" s="65">
        <v>0.1</v>
      </c>
      <c r="O5" s="65">
        <v>0.1</v>
      </c>
      <c r="P5" s="65">
        <v>0.1</v>
      </c>
      <c r="Q5" s="65">
        <v>0.1</v>
      </c>
      <c r="R5" s="65">
        <v>0.1</v>
      </c>
      <c r="S5" s="65">
        <v>0.1</v>
      </c>
      <c r="T5" s="65">
        <v>0.1</v>
      </c>
      <c r="U5" s="65">
        <v>0.1</v>
      </c>
      <c r="V5" s="65">
        <v>0.1</v>
      </c>
      <c r="W5" s="65">
        <v>0.1</v>
      </c>
      <c r="X5" s="65">
        <v>0.1</v>
      </c>
      <c r="Y5" s="66">
        <v>0.1</v>
      </c>
      <c r="Z5" s="59"/>
    </row>
    <row r="6" spans="1:27" ht="15.75" customHeight="1" x14ac:dyDescent="0.25">
      <c r="A6" s="60" t="s">
        <v>52</v>
      </c>
      <c r="B6" s="61">
        <v>15</v>
      </c>
      <c r="C6" s="61">
        <f>B6*(1.5)</f>
        <v>22.5</v>
      </c>
      <c r="D6" s="61">
        <f>C6*1.1</f>
        <v>24.750000000000004</v>
      </c>
      <c r="E6" s="61">
        <f>D6*(1.5)</f>
        <v>37.125000000000007</v>
      </c>
      <c r="F6" s="61">
        <f>E6*1.1</f>
        <v>40.837500000000013</v>
      </c>
      <c r="G6" s="61">
        <f>F6*(1.5)</f>
        <v>61.256250000000023</v>
      </c>
      <c r="H6" s="61">
        <f>G6*1.1</f>
        <v>67.381875000000036</v>
      </c>
      <c r="I6" s="61">
        <f>H6*(1.5)</f>
        <v>101.07281250000005</v>
      </c>
      <c r="J6" s="61">
        <f>I6*1.1</f>
        <v>111.18009375000007</v>
      </c>
      <c r="K6" s="61">
        <f>J6*(1.5)</f>
        <v>166.7701406250001</v>
      </c>
      <c r="L6" s="61">
        <f>K6*1.1</f>
        <v>183.44715468750013</v>
      </c>
      <c r="M6" s="61">
        <f>L6*(1.5)</f>
        <v>275.17073203125017</v>
      </c>
      <c r="N6" s="61">
        <f t="shared" ref="N6:Y6" si="1">M6*1.05</f>
        <v>288.92926863281269</v>
      </c>
      <c r="O6" s="61">
        <f t="shared" si="1"/>
        <v>303.37573206445336</v>
      </c>
      <c r="P6" s="61">
        <f t="shared" si="1"/>
        <v>318.54451866767602</v>
      </c>
      <c r="Q6" s="61">
        <f t="shared" si="1"/>
        <v>334.47174460105981</v>
      </c>
      <c r="R6" s="61">
        <f t="shared" si="1"/>
        <v>351.19533183111281</v>
      </c>
      <c r="S6" s="61">
        <f t="shared" si="1"/>
        <v>368.75509842266848</v>
      </c>
      <c r="T6" s="61">
        <f t="shared" si="1"/>
        <v>387.19285334380191</v>
      </c>
      <c r="U6" s="61">
        <f t="shared" si="1"/>
        <v>406.552496010992</v>
      </c>
      <c r="V6" s="61">
        <f t="shared" si="1"/>
        <v>426.88012081154164</v>
      </c>
      <c r="W6" s="61">
        <f t="shared" si="1"/>
        <v>448.22412685211873</v>
      </c>
      <c r="X6" s="61">
        <f t="shared" si="1"/>
        <v>470.63533319472469</v>
      </c>
      <c r="Y6" s="61">
        <f t="shared" si="1"/>
        <v>494.16709985446096</v>
      </c>
      <c r="Z6" s="59"/>
    </row>
    <row r="7" spans="1:27" ht="15.75" customHeight="1" x14ac:dyDescent="0.25">
      <c r="A7" s="62" t="s">
        <v>53</v>
      </c>
      <c r="B7" s="5">
        <v>30</v>
      </c>
      <c r="C7" s="5">
        <v>30</v>
      </c>
      <c r="D7" s="5">
        <v>30</v>
      </c>
      <c r="E7" s="5">
        <v>30</v>
      </c>
      <c r="F7" s="5">
        <v>30</v>
      </c>
      <c r="G7" s="5">
        <v>30</v>
      </c>
      <c r="H7" s="5">
        <v>30</v>
      </c>
      <c r="I7" s="5">
        <v>30</v>
      </c>
      <c r="J7" s="5">
        <v>30</v>
      </c>
      <c r="K7" s="5">
        <v>30</v>
      </c>
      <c r="L7" s="5">
        <v>30</v>
      </c>
      <c r="M7" s="5">
        <v>30</v>
      </c>
      <c r="N7" s="5">
        <v>30</v>
      </c>
      <c r="O7" s="5">
        <v>30</v>
      </c>
      <c r="P7" s="5">
        <v>30</v>
      </c>
      <c r="Q7" s="5">
        <v>30</v>
      </c>
      <c r="R7" s="5">
        <v>30</v>
      </c>
      <c r="S7" s="5">
        <v>30</v>
      </c>
      <c r="T7" s="5">
        <v>30</v>
      </c>
      <c r="U7" s="5">
        <v>30</v>
      </c>
      <c r="V7" s="5">
        <v>30</v>
      </c>
      <c r="W7" s="5">
        <v>30</v>
      </c>
      <c r="X7" s="5">
        <v>30</v>
      </c>
      <c r="Y7" s="67">
        <v>30</v>
      </c>
      <c r="Z7" s="59"/>
    </row>
    <row r="8" spans="1:27" ht="15.75" customHeight="1" x14ac:dyDescent="0.25">
      <c r="A8" s="56" t="s">
        <v>55</v>
      </c>
      <c r="B8" s="57">
        <v>0.1</v>
      </c>
      <c r="C8" s="57">
        <v>0.1</v>
      </c>
      <c r="D8" s="57">
        <v>0.1</v>
      </c>
      <c r="E8" s="57">
        <v>0.1</v>
      </c>
      <c r="F8" s="57">
        <v>0.1</v>
      </c>
      <c r="G8" s="57">
        <v>0.1</v>
      </c>
      <c r="H8" s="57">
        <v>0.1</v>
      </c>
      <c r="I8" s="57">
        <v>0.1</v>
      </c>
      <c r="J8" s="57">
        <v>0.1</v>
      </c>
      <c r="K8" s="57">
        <v>0.1</v>
      </c>
      <c r="L8" s="57">
        <v>0.1</v>
      </c>
      <c r="M8" s="57">
        <v>0.1</v>
      </c>
      <c r="N8" s="57">
        <v>0.1</v>
      </c>
      <c r="O8" s="57">
        <v>0.1</v>
      </c>
      <c r="P8" s="57">
        <v>0.1</v>
      </c>
      <c r="Q8" s="57">
        <v>0.1</v>
      </c>
      <c r="R8" s="57">
        <v>0.1</v>
      </c>
      <c r="S8" s="57">
        <v>0.1</v>
      </c>
      <c r="T8" s="57">
        <v>0.1</v>
      </c>
      <c r="U8" s="57">
        <v>0.1</v>
      </c>
      <c r="V8" s="57">
        <v>0.1</v>
      </c>
      <c r="W8" s="57">
        <v>0.1</v>
      </c>
      <c r="X8" s="57">
        <v>0.1</v>
      </c>
      <c r="Y8" s="58">
        <v>0.1</v>
      </c>
      <c r="Z8" s="59"/>
    </row>
    <row r="9" spans="1:27" ht="15.75" customHeight="1" x14ac:dyDescent="0.25">
      <c r="A9" s="60" t="s">
        <v>52</v>
      </c>
      <c r="B9" s="61">
        <f t="shared" ref="B9:Y9" si="2">0.8*B6</f>
        <v>12</v>
      </c>
      <c r="C9" s="61">
        <f t="shared" si="2"/>
        <v>18</v>
      </c>
      <c r="D9" s="61">
        <f t="shared" si="2"/>
        <v>19.800000000000004</v>
      </c>
      <c r="E9" s="61">
        <f t="shared" si="2"/>
        <v>29.700000000000006</v>
      </c>
      <c r="F9" s="61">
        <f t="shared" si="2"/>
        <v>32.670000000000009</v>
      </c>
      <c r="G9" s="61">
        <f t="shared" si="2"/>
        <v>49.005000000000024</v>
      </c>
      <c r="H9" s="61">
        <f t="shared" si="2"/>
        <v>53.905500000000032</v>
      </c>
      <c r="I9" s="61">
        <f t="shared" si="2"/>
        <v>80.858250000000055</v>
      </c>
      <c r="J9" s="61">
        <f t="shared" si="2"/>
        <v>88.944075000000055</v>
      </c>
      <c r="K9" s="61">
        <f t="shared" si="2"/>
        <v>133.41611250000008</v>
      </c>
      <c r="L9" s="61">
        <f t="shared" si="2"/>
        <v>146.75772375000011</v>
      </c>
      <c r="M9" s="61">
        <f t="shared" si="2"/>
        <v>220.13658562500015</v>
      </c>
      <c r="N9" s="61">
        <f t="shared" si="2"/>
        <v>231.14341490625017</v>
      </c>
      <c r="O9" s="61">
        <f t="shared" si="2"/>
        <v>242.7005856515627</v>
      </c>
      <c r="P9" s="61">
        <f t="shared" si="2"/>
        <v>254.83561493414084</v>
      </c>
      <c r="Q9" s="61">
        <f t="shared" si="2"/>
        <v>267.57739568084787</v>
      </c>
      <c r="R9" s="61">
        <f t="shared" si="2"/>
        <v>280.95626546489024</v>
      </c>
      <c r="S9" s="61">
        <f t="shared" si="2"/>
        <v>295.00407873813481</v>
      </c>
      <c r="T9" s="61">
        <f t="shared" si="2"/>
        <v>309.75428267504157</v>
      </c>
      <c r="U9" s="61">
        <f t="shared" si="2"/>
        <v>325.2419968087936</v>
      </c>
      <c r="V9" s="61">
        <f t="shared" si="2"/>
        <v>341.50409664923336</v>
      </c>
      <c r="W9" s="61">
        <f t="shared" si="2"/>
        <v>358.57930148169498</v>
      </c>
      <c r="X9" s="61">
        <f t="shared" si="2"/>
        <v>376.50826655577976</v>
      </c>
      <c r="Y9" s="61">
        <f t="shared" si="2"/>
        <v>395.33367988356878</v>
      </c>
      <c r="Z9" s="59"/>
    </row>
    <row r="10" spans="1:27" ht="15.75" customHeight="1" x14ac:dyDescent="0.25">
      <c r="A10" s="62" t="s">
        <v>53</v>
      </c>
      <c r="B10" s="5">
        <v>5</v>
      </c>
      <c r="C10" s="5">
        <v>5</v>
      </c>
      <c r="D10" s="5">
        <v>5</v>
      </c>
      <c r="E10" s="5">
        <v>5</v>
      </c>
      <c r="F10" s="5">
        <v>5</v>
      </c>
      <c r="G10" s="5">
        <v>5</v>
      </c>
      <c r="H10" s="5">
        <v>5</v>
      </c>
      <c r="I10" s="5">
        <v>5</v>
      </c>
      <c r="J10" s="5">
        <v>5</v>
      </c>
      <c r="K10" s="5">
        <v>5</v>
      </c>
      <c r="L10" s="5">
        <v>5</v>
      </c>
      <c r="M10" s="5">
        <v>5</v>
      </c>
      <c r="N10" s="5">
        <v>5</v>
      </c>
      <c r="O10" s="5">
        <v>5</v>
      </c>
      <c r="P10" s="5">
        <v>5</v>
      </c>
      <c r="Q10" s="5">
        <v>5</v>
      </c>
      <c r="R10" s="5">
        <v>5</v>
      </c>
      <c r="S10" s="5">
        <v>5</v>
      </c>
      <c r="T10" s="5">
        <v>5</v>
      </c>
      <c r="U10" s="5">
        <v>5</v>
      </c>
      <c r="V10" s="5">
        <v>5</v>
      </c>
      <c r="W10" s="5">
        <v>5</v>
      </c>
      <c r="X10" s="5">
        <v>5</v>
      </c>
      <c r="Y10" s="67">
        <v>5</v>
      </c>
      <c r="Z10" s="59"/>
    </row>
    <row r="11" spans="1:27" ht="15.75" customHeight="1" x14ac:dyDescent="0.25">
      <c r="A11" s="56" t="s">
        <v>56</v>
      </c>
      <c r="B11" s="57">
        <v>0.1</v>
      </c>
      <c r="C11" s="57">
        <v>0.1</v>
      </c>
      <c r="D11" s="57">
        <v>0.1</v>
      </c>
      <c r="E11" s="57">
        <v>0.1</v>
      </c>
      <c r="F11" s="57">
        <v>0.1</v>
      </c>
      <c r="G11" s="57">
        <v>0.1</v>
      </c>
      <c r="H11" s="57">
        <v>0.1</v>
      </c>
      <c r="I11" s="57">
        <v>0.1</v>
      </c>
      <c r="J11" s="57">
        <v>0.1</v>
      </c>
      <c r="K11" s="57">
        <v>0.1</v>
      </c>
      <c r="L11" s="57">
        <v>0.1</v>
      </c>
      <c r="M11" s="57">
        <v>0.1</v>
      </c>
      <c r="N11" s="57">
        <v>0.1</v>
      </c>
      <c r="O11" s="57">
        <v>0.1</v>
      </c>
      <c r="P11" s="57">
        <v>0.1</v>
      </c>
      <c r="Q11" s="57">
        <v>0.1</v>
      </c>
      <c r="R11" s="57">
        <v>0.1</v>
      </c>
      <c r="S11" s="57">
        <v>0.1</v>
      </c>
      <c r="T11" s="57">
        <v>0.1</v>
      </c>
      <c r="U11" s="57">
        <v>0.1</v>
      </c>
      <c r="V11" s="57">
        <v>0.1</v>
      </c>
      <c r="W11" s="57">
        <v>0.1</v>
      </c>
      <c r="X11" s="57">
        <v>0.1</v>
      </c>
      <c r="Y11" s="58">
        <v>0.1</v>
      </c>
      <c r="Z11" s="59"/>
    </row>
    <row r="12" spans="1:27" ht="15.75" customHeight="1" x14ac:dyDescent="0.25">
      <c r="A12" s="60" t="s">
        <v>52</v>
      </c>
      <c r="B12" s="68">
        <f t="shared" ref="B12:Y12" si="3">0.4*B6</f>
        <v>6</v>
      </c>
      <c r="C12" s="68">
        <f t="shared" si="3"/>
        <v>9</v>
      </c>
      <c r="D12" s="68">
        <f t="shared" si="3"/>
        <v>9.9000000000000021</v>
      </c>
      <c r="E12" s="68">
        <f t="shared" si="3"/>
        <v>14.850000000000003</v>
      </c>
      <c r="F12" s="68">
        <f t="shared" si="3"/>
        <v>16.335000000000004</v>
      </c>
      <c r="G12" s="68">
        <f t="shared" si="3"/>
        <v>24.502500000000012</v>
      </c>
      <c r="H12" s="68">
        <f t="shared" si="3"/>
        <v>26.952750000000016</v>
      </c>
      <c r="I12" s="68">
        <f t="shared" si="3"/>
        <v>40.429125000000028</v>
      </c>
      <c r="J12" s="68">
        <f t="shared" si="3"/>
        <v>44.472037500000027</v>
      </c>
      <c r="K12" s="68">
        <f t="shared" si="3"/>
        <v>66.708056250000041</v>
      </c>
      <c r="L12" s="68">
        <f t="shared" si="3"/>
        <v>73.378861875000055</v>
      </c>
      <c r="M12" s="68">
        <f t="shared" si="3"/>
        <v>110.06829281250008</v>
      </c>
      <c r="N12" s="68">
        <f t="shared" si="3"/>
        <v>115.57170745312509</v>
      </c>
      <c r="O12" s="68">
        <f t="shared" si="3"/>
        <v>121.35029282578135</v>
      </c>
      <c r="P12" s="68">
        <f t="shared" si="3"/>
        <v>127.41780746707042</v>
      </c>
      <c r="Q12" s="68">
        <f t="shared" si="3"/>
        <v>133.78869784042394</v>
      </c>
      <c r="R12" s="68">
        <f t="shared" si="3"/>
        <v>140.47813273244512</v>
      </c>
      <c r="S12" s="68">
        <f t="shared" si="3"/>
        <v>147.5020393690674</v>
      </c>
      <c r="T12" s="68">
        <f t="shared" si="3"/>
        <v>154.87714133752078</v>
      </c>
      <c r="U12" s="68">
        <f t="shared" si="3"/>
        <v>162.6209984043968</v>
      </c>
      <c r="V12" s="68">
        <f t="shared" si="3"/>
        <v>170.75204832461668</v>
      </c>
      <c r="W12" s="68">
        <f t="shared" si="3"/>
        <v>179.28965074084749</v>
      </c>
      <c r="X12" s="68">
        <f t="shared" si="3"/>
        <v>188.25413327788988</v>
      </c>
      <c r="Y12" s="68">
        <f t="shared" si="3"/>
        <v>197.66683994178439</v>
      </c>
      <c r="Z12" s="59"/>
    </row>
    <row r="13" spans="1:27" ht="15.75" customHeight="1" x14ac:dyDescent="0.25">
      <c r="A13" s="62" t="s">
        <v>53</v>
      </c>
      <c r="B13" s="69">
        <v>50</v>
      </c>
      <c r="C13" s="69">
        <v>50</v>
      </c>
      <c r="D13" s="69">
        <v>50</v>
      </c>
      <c r="E13" s="69">
        <v>50</v>
      </c>
      <c r="F13" s="69">
        <v>50</v>
      </c>
      <c r="G13" s="69">
        <v>50</v>
      </c>
      <c r="H13" s="69">
        <v>50</v>
      </c>
      <c r="I13" s="69">
        <v>50</v>
      </c>
      <c r="J13" s="69">
        <v>50</v>
      </c>
      <c r="K13" s="69">
        <v>50</v>
      </c>
      <c r="L13" s="69">
        <v>50</v>
      </c>
      <c r="M13" s="69">
        <v>50</v>
      </c>
      <c r="N13" s="69">
        <v>50</v>
      </c>
      <c r="O13" s="69">
        <v>50</v>
      </c>
      <c r="P13" s="69">
        <v>50</v>
      </c>
      <c r="Q13" s="69">
        <v>50</v>
      </c>
      <c r="R13" s="69">
        <v>50</v>
      </c>
      <c r="S13" s="69">
        <v>50</v>
      </c>
      <c r="T13" s="69">
        <v>50</v>
      </c>
      <c r="U13" s="69">
        <v>50</v>
      </c>
      <c r="V13" s="69">
        <v>50</v>
      </c>
      <c r="W13" s="69">
        <v>50</v>
      </c>
      <c r="X13" s="69">
        <v>50</v>
      </c>
      <c r="Y13" s="70">
        <v>50</v>
      </c>
      <c r="Z13" s="59"/>
    </row>
    <row r="14" spans="1:27" ht="15.75" customHeight="1" x14ac:dyDescent="0.25">
      <c r="A14" s="56" t="s">
        <v>57</v>
      </c>
      <c r="B14" s="71">
        <v>5</v>
      </c>
      <c r="C14" s="71">
        <v>5</v>
      </c>
      <c r="D14" s="71">
        <v>5</v>
      </c>
      <c r="E14" s="71">
        <v>5</v>
      </c>
      <c r="F14" s="71">
        <v>5</v>
      </c>
      <c r="G14" s="71">
        <v>5</v>
      </c>
      <c r="H14" s="71">
        <v>5</v>
      </c>
      <c r="I14" s="71">
        <v>5</v>
      </c>
      <c r="J14" s="71">
        <v>5</v>
      </c>
      <c r="K14" s="71">
        <v>5</v>
      </c>
      <c r="L14" s="71">
        <v>5</v>
      </c>
      <c r="M14" s="71">
        <v>5</v>
      </c>
      <c r="N14" s="71">
        <v>5</v>
      </c>
      <c r="O14" s="71">
        <v>5</v>
      </c>
      <c r="P14" s="71">
        <v>5</v>
      </c>
      <c r="Q14" s="71">
        <v>5</v>
      </c>
      <c r="R14" s="71">
        <v>5</v>
      </c>
      <c r="S14" s="71">
        <v>5</v>
      </c>
      <c r="T14" s="71">
        <v>5</v>
      </c>
      <c r="U14" s="71">
        <v>5</v>
      </c>
      <c r="V14" s="71">
        <v>5</v>
      </c>
      <c r="W14" s="71">
        <v>5</v>
      </c>
      <c r="X14" s="71">
        <v>5</v>
      </c>
      <c r="Y14" s="72">
        <v>5</v>
      </c>
      <c r="Z14" s="59"/>
    </row>
    <row r="15" spans="1:27" ht="15.75" customHeight="1" x14ac:dyDescent="0.25">
      <c r="A15" s="60" t="s">
        <v>52</v>
      </c>
      <c r="B15" s="68">
        <f t="shared" ref="B15:Y15" si="4">0.2*B6</f>
        <v>3</v>
      </c>
      <c r="C15" s="68">
        <f t="shared" si="4"/>
        <v>4.5</v>
      </c>
      <c r="D15" s="68">
        <f t="shared" si="4"/>
        <v>4.9500000000000011</v>
      </c>
      <c r="E15" s="68">
        <f t="shared" si="4"/>
        <v>7.4250000000000016</v>
      </c>
      <c r="F15" s="68">
        <f t="shared" si="4"/>
        <v>8.1675000000000022</v>
      </c>
      <c r="G15" s="68">
        <f t="shared" si="4"/>
        <v>12.251250000000006</v>
      </c>
      <c r="H15" s="68">
        <f t="shared" si="4"/>
        <v>13.476375000000008</v>
      </c>
      <c r="I15" s="68">
        <f t="shared" si="4"/>
        <v>20.214562500000014</v>
      </c>
      <c r="J15" s="68">
        <f t="shared" si="4"/>
        <v>22.236018750000014</v>
      </c>
      <c r="K15" s="68">
        <f t="shared" si="4"/>
        <v>33.354028125000021</v>
      </c>
      <c r="L15" s="68">
        <f t="shared" si="4"/>
        <v>36.689430937500028</v>
      </c>
      <c r="M15" s="68">
        <f t="shared" si="4"/>
        <v>55.034146406250038</v>
      </c>
      <c r="N15" s="68">
        <f t="shared" si="4"/>
        <v>57.785853726562543</v>
      </c>
      <c r="O15" s="68">
        <f t="shared" si="4"/>
        <v>60.675146412890676</v>
      </c>
      <c r="P15" s="68">
        <f t="shared" si="4"/>
        <v>63.708903733535209</v>
      </c>
      <c r="Q15" s="68">
        <f t="shared" si="4"/>
        <v>66.894348920211968</v>
      </c>
      <c r="R15" s="68">
        <f t="shared" si="4"/>
        <v>70.239066366222559</v>
      </c>
      <c r="S15" s="68">
        <f t="shared" si="4"/>
        <v>73.751019684533702</v>
      </c>
      <c r="T15" s="68">
        <f t="shared" si="4"/>
        <v>77.438570668760391</v>
      </c>
      <c r="U15" s="68">
        <f t="shared" si="4"/>
        <v>81.3104992021984</v>
      </c>
      <c r="V15" s="68">
        <f t="shared" si="4"/>
        <v>85.37602416230834</v>
      </c>
      <c r="W15" s="68">
        <f t="shared" si="4"/>
        <v>89.644825370423746</v>
      </c>
      <c r="X15" s="68">
        <f t="shared" si="4"/>
        <v>94.127066638944939</v>
      </c>
      <c r="Y15" s="68">
        <f t="shared" si="4"/>
        <v>98.833419970892194</v>
      </c>
      <c r="Z15" s="59"/>
    </row>
    <row r="16" spans="1:27" ht="15.75" customHeight="1" x14ac:dyDescent="0.25">
      <c r="A16" s="73"/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5"/>
      <c r="P16" s="74"/>
      <c r="Q16" s="74"/>
      <c r="R16" s="74"/>
      <c r="S16" s="74"/>
      <c r="T16" s="74"/>
      <c r="U16" s="74"/>
      <c r="V16" s="74"/>
      <c r="W16" s="76"/>
      <c r="X16" s="74"/>
      <c r="Y16" s="77"/>
      <c r="Z16" s="59"/>
    </row>
    <row r="17" spans="1:26" ht="15.75" customHeight="1" x14ac:dyDescent="0.25">
      <c r="A17" s="73" t="s">
        <v>58</v>
      </c>
      <c r="B17" s="78">
        <f t="shared" ref="B17:Y17" si="5">(B2*B3*B4)+(B5*B6*B7)+(B8*B9*B10)+(B11*B12*B13)+(B14*B15)</f>
        <v>208.5</v>
      </c>
      <c r="C17" s="78">
        <f t="shared" si="5"/>
        <v>312.75</v>
      </c>
      <c r="D17" s="78">
        <f t="shared" si="5"/>
        <v>344.02499999999998</v>
      </c>
      <c r="E17" s="78">
        <f t="shared" si="5"/>
        <v>516.03750000000002</v>
      </c>
      <c r="F17" s="78">
        <f t="shared" si="5"/>
        <v>567.64125000000013</v>
      </c>
      <c r="G17" s="78">
        <f t="shared" si="5"/>
        <v>851.46187500000019</v>
      </c>
      <c r="H17" s="78">
        <f t="shared" si="5"/>
        <v>936.6080625000003</v>
      </c>
      <c r="I17" s="78">
        <f t="shared" si="5"/>
        <v>1404.9120937500006</v>
      </c>
      <c r="J17" s="78">
        <f t="shared" si="5"/>
        <v>1545.4033031250003</v>
      </c>
      <c r="K17" s="78">
        <f t="shared" si="5"/>
        <v>2318.104954687501</v>
      </c>
      <c r="L17" s="78">
        <f t="shared" si="5"/>
        <v>2549.9154501562516</v>
      </c>
      <c r="M17" s="78">
        <f t="shared" si="5"/>
        <v>3824.8731752343774</v>
      </c>
      <c r="N17" s="78">
        <f t="shared" si="5"/>
        <v>4119.3058585078143</v>
      </c>
      <c r="O17" s="78">
        <f t="shared" si="5"/>
        <v>4438.7790783960972</v>
      </c>
      <c r="P17" s="78">
        <f t="shared" si="5"/>
        <v>4785.5767519750807</v>
      </c>
      <c r="Q17" s="78">
        <f t="shared" si="5"/>
        <v>5162.200181198933</v>
      </c>
      <c r="R17" s="78">
        <f t="shared" si="5"/>
        <v>5571.3892410464887</v>
      </c>
      <c r="S17" s="78">
        <f t="shared" si="5"/>
        <v>6016.1456589651807</v>
      </c>
      <c r="T17" s="78">
        <f t="shared" si="5"/>
        <v>6499.758593366445</v>
      </c>
      <c r="U17" s="78">
        <f t="shared" si="5"/>
        <v>7025.8327396330742</v>
      </c>
      <c r="V17" s="78">
        <f t="shared" si="5"/>
        <v>7598.3192148728631</v>
      </c>
      <c r="W17" s="78">
        <f t="shared" si="5"/>
        <v>8221.5494977004582</v>
      </c>
      <c r="X17" s="78">
        <f t="shared" si="5"/>
        <v>8900.2727268778253</v>
      </c>
      <c r="Y17" s="79">
        <f t="shared" si="5"/>
        <v>9639.6966929432983</v>
      </c>
      <c r="Z17" s="59"/>
    </row>
    <row r="18" spans="1:26" ht="15.75" customHeight="1" x14ac:dyDescent="0.25">
      <c r="A18" s="46" t="s">
        <v>59</v>
      </c>
      <c r="B18" s="129">
        <f>SUM(B17:M17)</f>
        <v>15380.232664453131</v>
      </c>
      <c r="C18" s="130"/>
    </row>
    <row r="19" spans="1:26" ht="15.75" customHeight="1" x14ac:dyDescent="0.25">
      <c r="A19" s="46" t="s">
        <v>60</v>
      </c>
      <c r="B19" s="129">
        <f>SUM(N17:Y17)</f>
        <v>77978.826235483561</v>
      </c>
      <c r="C19" s="130"/>
    </row>
    <row r="21" spans="1:26" ht="15.75" customHeight="1" x14ac:dyDescent="0.25">
      <c r="A21" s="80" t="s">
        <v>61</v>
      </c>
      <c r="B21" s="10">
        <f t="shared" ref="B21:Y21" si="6">B17/(B3+B6)</f>
        <v>10.425000000000001</v>
      </c>
      <c r="C21" s="10">
        <f t="shared" si="6"/>
        <v>10.425000000000001</v>
      </c>
      <c r="D21" s="10">
        <f t="shared" si="6"/>
        <v>10.424999999999999</v>
      </c>
      <c r="E21" s="10">
        <f t="shared" si="6"/>
        <v>10.424999999999999</v>
      </c>
      <c r="F21" s="10">
        <f t="shared" si="6"/>
        <v>10.424999999999999</v>
      </c>
      <c r="G21" s="10">
        <f t="shared" si="6"/>
        <v>10.424999999999999</v>
      </c>
      <c r="H21" s="10">
        <f t="shared" si="6"/>
        <v>10.424999999999999</v>
      </c>
      <c r="I21" s="10">
        <f t="shared" si="6"/>
        <v>10.424999999999999</v>
      </c>
      <c r="J21" s="10">
        <f t="shared" si="6"/>
        <v>10.424999999999995</v>
      </c>
      <c r="K21" s="10">
        <f t="shared" si="6"/>
        <v>10.424999999999999</v>
      </c>
      <c r="L21" s="10">
        <f t="shared" si="6"/>
        <v>10.425000000000001</v>
      </c>
      <c r="M21" s="10">
        <f t="shared" si="6"/>
        <v>10.425000000000001</v>
      </c>
      <c r="N21" s="10">
        <f t="shared" si="6"/>
        <v>10.567058823529409</v>
      </c>
      <c r="O21" s="10">
        <f t="shared" si="6"/>
        <v>10.71234089651356</v>
      </c>
      <c r="P21" s="10">
        <f t="shared" si="6"/>
        <v>10.860794670968748</v>
      </c>
      <c r="Q21" s="10">
        <f t="shared" si="6"/>
        <v>11.012359315591679</v>
      </c>
      <c r="R21" s="10">
        <f t="shared" si="6"/>
        <v>11.166964555480646</v>
      </c>
      <c r="S21" s="10">
        <f t="shared" si="6"/>
        <v>11.324530561701367</v>
      </c>
      <c r="T21" s="10">
        <f t="shared" si="6"/>
        <v>11.484967894565417</v>
      </c>
      <c r="U21" s="10">
        <f t="shared" si="6"/>
        <v>11.64817750411612</v>
      </c>
      <c r="V21" s="10">
        <f t="shared" si="6"/>
        <v>11.814050790864163</v>
      </c>
      <c r="W21" s="10">
        <f t="shared" si="6"/>
        <v>11.982469729285052</v>
      </c>
      <c r="X21" s="10">
        <f t="shared" si="6"/>
        <v>12.153307055987669</v>
      </c>
      <c r="Y21" s="10">
        <f t="shared" si="6"/>
        <v>12.326426523793844</v>
      </c>
    </row>
    <row r="22" spans="1:26" ht="15.75" customHeight="1" x14ac:dyDescent="0.25">
      <c r="A22" s="80"/>
    </row>
  </sheetData>
  <mergeCells count="2">
    <mergeCell ref="B18:C18"/>
    <mergeCell ref="B19:C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workbookViewId="0"/>
  </sheetViews>
  <sheetFormatPr defaultColWidth="14.44140625" defaultRowHeight="15.75" customHeight="1" x14ac:dyDescent="0.25"/>
  <cols>
    <col min="1" max="1" width="24.33203125" customWidth="1"/>
  </cols>
  <sheetData>
    <row r="1" spans="1:25" ht="15.75" customHeight="1" x14ac:dyDescent="0.25">
      <c r="A1" s="81" t="s">
        <v>62</v>
      </c>
      <c r="B1" s="82" t="s">
        <v>63</v>
      </c>
      <c r="C1" s="83" t="s">
        <v>19</v>
      </c>
      <c r="D1" s="83" t="s">
        <v>20</v>
      </c>
      <c r="E1" s="83" t="s">
        <v>21</v>
      </c>
      <c r="F1" s="83" t="s">
        <v>64</v>
      </c>
      <c r="G1" s="83" t="s">
        <v>23</v>
      </c>
      <c r="H1" s="82" t="s">
        <v>24</v>
      </c>
      <c r="I1" s="84" t="s">
        <v>65</v>
      </c>
      <c r="J1" s="82" t="s">
        <v>26</v>
      </c>
      <c r="K1" s="84" t="s">
        <v>27</v>
      </c>
      <c r="L1" s="82" t="s">
        <v>66</v>
      </c>
      <c r="M1" s="83" t="s">
        <v>29</v>
      </c>
      <c r="N1" s="82" t="s">
        <v>67</v>
      </c>
      <c r="O1" s="84" t="s">
        <v>31</v>
      </c>
      <c r="P1" s="82" t="s">
        <v>32</v>
      </c>
      <c r="Q1" s="84" t="s">
        <v>33</v>
      </c>
      <c r="R1" s="82" t="s">
        <v>34</v>
      </c>
      <c r="S1" s="84" t="s">
        <v>35</v>
      </c>
      <c r="T1" s="82" t="s">
        <v>36</v>
      </c>
      <c r="U1" s="84" t="s">
        <v>37</v>
      </c>
      <c r="V1" s="82" t="s">
        <v>38</v>
      </c>
      <c r="W1" s="84" t="s">
        <v>39</v>
      </c>
      <c r="X1" s="82" t="s">
        <v>40</v>
      </c>
      <c r="Y1" s="83" t="s">
        <v>41</v>
      </c>
    </row>
    <row r="2" spans="1:25" ht="15.75" customHeight="1" x14ac:dyDescent="0.25">
      <c r="A2" s="85" t="s">
        <v>68</v>
      </c>
      <c r="B2" s="86"/>
      <c r="C2" s="87"/>
      <c r="D2" s="87"/>
      <c r="E2" s="87"/>
      <c r="F2" s="87"/>
      <c r="G2" s="87"/>
      <c r="H2" s="86"/>
      <c r="I2" s="88"/>
      <c r="J2" s="86"/>
      <c r="K2" s="88"/>
      <c r="L2" s="86"/>
      <c r="M2" s="87"/>
      <c r="N2" s="86"/>
      <c r="O2" s="88"/>
      <c r="P2" s="86"/>
      <c r="Q2" s="88"/>
      <c r="R2" s="86"/>
      <c r="S2" s="88"/>
      <c r="T2" s="86"/>
      <c r="U2" s="88"/>
      <c r="V2" s="86"/>
      <c r="W2" s="88"/>
      <c r="X2" s="86"/>
      <c r="Y2" s="87"/>
    </row>
    <row r="3" spans="1:25" ht="15.75" customHeight="1" x14ac:dyDescent="0.25">
      <c r="A3" s="89" t="s">
        <v>69</v>
      </c>
      <c r="B3" s="5">
        <v>10000</v>
      </c>
      <c r="C3" s="9"/>
      <c r="D3" s="9"/>
      <c r="E3" s="9"/>
      <c r="F3" s="9"/>
      <c r="G3" s="9"/>
      <c r="H3" s="5"/>
      <c r="I3" s="6"/>
      <c r="J3" s="5"/>
      <c r="K3" s="6"/>
      <c r="L3" s="5"/>
      <c r="M3" s="9"/>
      <c r="N3" s="5"/>
      <c r="O3" s="6"/>
      <c r="P3" s="5"/>
      <c r="Q3" s="6"/>
      <c r="R3" s="5"/>
      <c r="S3" s="6"/>
      <c r="T3" s="5"/>
      <c r="U3" s="6"/>
      <c r="V3" s="5"/>
      <c r="W3" s="6"/>
      <c r="X3" s="5"/>
      <c r="Y3" s="9"/>
    </row>
    <row r="4" spans="1:25" ht="15.75" customHeight="1" x14ac:dyDescent="0.25">
      <c r="A4" s="90" t="s">
        <v>70</v>
      </c>
      <c r="B4" s="63">
        <v>750</v>
      </c>
      <c r="C4" s="91">
        <v>750</v>
      </c>
      <c r="D4" s="91">
        <v>750</v>
      </c>
      <c r="E4" s="91">
        <v>750</v>
      </c>
      <c r="F4" s="91">
        <v>750</v>
      </c>
      <c r="G4" s="91">
        <v>750</v>
      </c>
      <c r="H4" s="63">
        <v>750</v>
      </c>
      <c r="I4" s="92">
        <v>750</v>
      </c>
      <c r="J4" s="63">
        <v>750</v>
      </c>
      <c r="K4" s="92">
        <v>750</v>
      </c>
      <c r="L4" s="63">
        <v>750</v>
      </c>
      <c r="M4" s="91">
        <v>750</v>
      </c>
      <c r="N4" s="63">
        <v>750</v>
      </c>
      <c r="O4" s="92">
        <v>750</v>
      </c>
      <c r="P4" s="63">
        <v>750</v>
      </c>
      <c r="Q4" s="92">
        <v>750</v>
      </c>
      <c r="R4" s="63">
        <v>750</v>
      </c>
      <c r="S4" s="92">
        <v>750</v>
      </c>
      <c r="T4" s="63">
        <v>750</v>
      </c>
      <c r="U4" s="92">
        <v>750</v>
      </c>
      <c r="V4" s="63">
        <v>750</v>
      </c>
      <c r="W4" s="92">
        <v>750</v>
      </c>
      <c r="X4" s="63">
        <v>750</v>
      </c>
      <c r="Y4" s="91">
        <v>750</v>
      </c>
    </row>
    <row r="5" spans="1:25" ht="15.75" customHeight="1" x14ac:dyDescent="0.25">
      <c r="A5" s="56" t="s">
        <v>71</v>
      </c>
      <c r="B5" s="86"/>
      <c r="C5" s="87"/>
      <c r="D5" s="87"/>
      <c r="E5" s="87"/>
      <c r="F5" s="87"/>
      <c r="G5" s="87"/>
      <c r="H5" s="86"/>
      <c r="I5" s="88"/>
      <c r="J5" s="86"/>
      <c r="K5" s="88"/>
      <c r="L5" s="86"/>
      <c r="M5" s="87"/>
      <c r="N5" s="86"/>
      <c r="O5" s="88"/>
      <c r="P5" s="86"/>
      <c r="Q5" s="88"/>
      <c r="R5" s="86"/>
      <c r="S5" s="88"/>
      <c r="T5" s="86"/>
      <c r="U5" s="88"/>
      <c r="V5" s="86"/>
      <c r="W5" s="88"/>
      <c r="X5" s="86"/>
      <c r="Y5" s="87"/>
    </row>
    <row r="6" spans="1:25" ht="15.75" customHeight="1" x14ac:dyDescent="0.25">
      <c r="A6" s="89" t="s">
        <v>72</v>
      </c>
      <c r="B6" s="5">
        <v>10</v>
      </c>
      <c r="C6" s="9">
        <v>50</v>
      </c>
      <c r="D6" s="9">
        <v>10</v>
      </c>
      <c r="E6" s="9">
        <v>50</v>
      </c>
      <c r="F6" s="9">
        <v>10</v>
      </c>
      <c r="G6" s="9">
        <v>50</v>
      </c>
      <c r="H6" s="5">
        <v>10</v>
      </c>
      <c r="I6" s="6">
        <v>50</v>
      </c>
      <c r="J6" s="5">
        <v>10</v>
      </c>
      <c r="K6" s="6">
        <v>50</v>
      </c>
      <c r="L6" s="5">
        <v>10</v>
      </c>
      <c r="M6" s="9">
        <v>50</v>
      </c>
      <c r="N6" s="5">
        <v>10</v>
      </c>
      <c r="O6" s="6">
        <v>10</v>
      </c>
      <c r="P6" s="5">
        <v>10</v>
      </c>
      <c r="Q6" s="6">
        <v>10</v>
      </c>
      <c r="R6" s="5">
        <v>10</v>
      </c>
      <c r="S6" s="6">
        <v>10</v>
      </c>
      <c r="T6" s="5">
        <v>10</v>
      </c>
      <c r="U6" s="6">
        <v>10</v>
      </c>
      <c r="V6" s="5">
        <v>10</v>
      </c>
      <c r="W6" s="6">
        <v>10</v>
      </c>
      <c r="X6" s="5">
        <v>10</v>
      </c>
      <c r="Y6" s="9">
        <v>10</v>
      </c>
    </row>
    <row r="7" spans="1:25" ht="15.75" customHeight="1" x14ac:dyDescent="0.25">
      <c r="A7" s="89" t="s">
        <v>73</v>
      </c>
      <c r="B7" s="5">
        <v>150</v>
      </c>
      <c r="C7" s="5">
        <f t="shared" ref="C7:Y7" si="0">B7</f>
        <v>150</v>
      </c>
      <c r="D7" s="5">
        <f t="shared" si="0"/>
        <v>150</v>
      </c>
      <c r="E7" s="5">
        <f t="shared" si="0"/>
        <v>150</v>
      </c>
      <c r="F7" s="5">
        <f t="shared" si="0"/>
        <v>150</v>
      </c>
      <c r="G7" s="5">
        <f t="shared" si="0"/>
        <v>150</v>
      </c>
      <c r="H7" s="5">
        <f t="shared" si="0"/>
        <v>150</v>
      </c>
      <c r="I7" s="5">
        <f t="shared" si="0"/>
        <v>150</v>
      </c>
      <c r="J7" s="5">
        <f t="shared" si="0"/>
        <v>150</v>
      </c>
      <c r="K7" s="5">
        <f t="shared" si="0"/>
        <v>150</v>
      </c>
      <c r="L7" s="5">
        <f t="shared" si="0"/>
        <v>150</v>
      </c>
      <c r="M7" s="5">
        <f t="shared" si="0"/>
        <v>150</v>
      </c>
      <c r="N7" s="5">
        <f t="shared" si="0"/>
        <v>150</v>
      </c>
      <c r="O7" s="5">
        <f t="shared" si="0"/>
        <v>150</v>
      </c>
      <c r="P7" s="5">
        <f t="shared" si="0"/>
        <v>150</v>
      </c>
      <c r="Q7" s="5">
        <f t="shared" si="0"/>
        <v>150</v>
      </c>
      <c r="R7" s="5">
        <f t="shared" si="0"/>
        <v>150</v>
      </c>
      <c r="S7" s="5">
        <f t="shared" si="0"/>
        <v>150</v>
      </c>
      <c r="T7" s="5">
        <f t="shared" si="0"/>
        <v>150</v>
      </c>
      <c r="U7" s="5">
        <f t="shared" si="0"/>
        <v>150</v>
      </c>
      <c r="V7" s="5">
        <f t="shared" si="0"/>
        <v>150</v>
      </c>
      <c r="W7" s="5">
        <f t="shared" si="0"/>
        <v>150</v>
      </c>
      <c r="X7" s="5">
        <f t="shared" si="0"/>
        <v>150</v>
      </c>
      <c r="Y7" s="5">
        <f t="shared" si="0"/>
        <v>150</v>
      </c>
    </row>
    <row r="8" spans="1:25" ht="15.75" customHeight="1" x14ac:dyDescent="0.25">
      <c r="A8" s="90" t="s">
        <v>74</v>
      </c>
      <c r="B8" s="63"/>
      <c r="C8" s="91">
        <v>500</v>
      </c>
      <c r="D8" s="93"/>
      <c r="E8" s="91">
        <v>500</v>
      </c>
      <c r="F8" s="91"/>
      <c r="G8" s="91">
        <v>500</v>
      </c>
      <c r="H8" s="78"/>
      <c r="I8" s="92">
        <v>500</v>
      </c>
      <c r="J8" s="63"/>
      <c r="K8" s="92">
        <v>500</v>
      </c>
      <c r="L8" s="78"/>
      <c r="M8" s="91">
        <v>500</v>
      </c>
      <c r="N8" s="78"/>
      <c r="O8" s="94"/>
      <c r="P8" s="78"/>
      <c r="Q8" s="94"/>
      <c r="R8" s="78"/>
      <c r="S8" s="94"/>
      <c r="T8" s="78"/>
      <c r="U8" s="94"/>
      <c r="V8" s="78"/>
      <c r="W8" s="94"/>
      <c r="X8" s="78"/>
      <c r="Y8" s="93"/>
    </row>
    <row r="9" spans="1:25" ht="15.75" customHeight="1" x14ac:dyDescent="0.25">
      <c r="A9" s="95" t="s">
        <v>75</v>
      </c>
      <c r="B9" s="96"/>
      <c r="C9" s="97">
        <f>'CAC vs LTV'!C7</f>
        <v>20.85</v>
      </c>
      <c r="D9" s="97">
        <f>'CAC vs LTV'!D7</f>
        <v>6.2549999999999999</v>
      </c>
      <c r="E9" s="97">
        <f>'CAC vs LTV'!E7</f>
        <v>34.402500000000011</v>
      </c>
      <c r="F9" s="97">
        <f>'CAC vs LTV'!F7</f>
        <v>10.32075000000002</v>
      </c>
      <c r="G9" s="97">
        <f>'CAC vs LTV'!G7</f>
        <v>56.764125000000014</v>
      </c>
      <c r="H9" s="97">
        <f>'CAC vs LTV'!H7</f>
        <v>17.029237500000036</v>
      </c>
      <c r="I9" s="97">
        <f>'CAC vs LTV'!I7</f>
        <v>93.660806250000064</v>
      </c>
      <c r="J9" s="97">
        <f>'CAC vs LTV'!J7</f>
        <v>28.098241875000028</v>
      </c>
      <c r="K9" s="97">
        <f>'CAC vs LTV'!K7</f>
        <v>154.54033031250003</v>
      </c>
      <c r="L9" s="97">
        <f>'CAC vs LTV'!L7</f>
        <v>46.362099093750061</v>
      </c>
      <c r="M9" s="97">
        <f>'CAC vs LTV'!M7</f>
        <v>254.99154501562518</v>
      </c>
      <c r="N9" s="97">
        <f>'CAC vs LTV'!N7</f>
        <v>48.46242186479784</v>
      </c>
      <c r="O9" s="97">
        <f>'CAC vs LTV'!O7</f>
        <v>52.567721238337974</v>
      </c>
      <c r="P9" s="97">
        <f>'CAC vs LTV'!P7</f>
        <v>57.056836089484513</v>
      </c>
      <c r="Q9" s="97">
        <f>'CAC vs LTV'!Q7</f>
        <v>61.967942407429234</v>
      </c>
      <c r="R9" s="97">
        <f>'CAC vs LTV'!R7</f>
        <v>67.343130593847079</v>
      </c>
      <c r="S9" s="97">
        <f>'CAC vs LTV'!S7</f>
        <v>73.228809540746212</v>
      </c>
      <c r="T9" s="97">
        <f>'CAC vs LTV'!T7</f>
        <v>79.676152003556581</v>
      </c>
      <c r="U9" s="97">
        <f>'CAC vs LTV'!U7</f>
        <v>86.741585410839576</v>
      </c>
      <c r="V9" s="97">
        <f>'CAC vs LTV'!V7</f>
        <v>94.487332661084309</v>
      </c>
      <c r="W9" s="97">
        <f>'CAC vs LTV'!W7</f>
        <v>102.9820079067554</v>
      </c>
      <c r="X9" s="97">
        <f>'CAC vs LTV'!X7</f>
        <v>112.30127282018094</v>
      </c>
      <c r="Y9" s="97">
        <f>'CAC vs LTV'!Y7</f>
        <v>122.52855937964159</v>
      </c>
    </row>
    <row r="10" spans="1:25" ht="15.75" customHeight="1" x14ac:dyDescent="0.25">
      <c r="A10" s="56" t="s">
        <v>76</v>
      </c>
      <c r="B10" s="86"/>
      <c r="C10" s="87"/>
      <c r="D10" s="87"/>
      <c r="E10" s="87"/>
      <c r="F10" s="87"/>
      <c r="G10" s="87"/>
      <c r="H10" s="86"/>
      <c r="I10" s="88"/>
      <c r="J10" s="86"/>
      <c r="K10" s="88"/>
      <c r="L10" s="86"/>
      <c r="M10" s="87"/>
      <c r="N10" s="86"/>
      <c r="O10" s="88"/>
      <c r="P10" s="86"/>
      <c r="Q10" s="88"/>
      <c r="R10" s="86"/>
      <c r="S10" s="88"/>
      <c r="T10" s="86"/>
      <c r="U10" s="88"/>
      <c r="V10" s="86"/>
      <c r="W10" s="88"/>
      <c r="X10" s="86"/>
      <c r="Y10" s="87"/>
    </row>
    <row r="11" spans="1:25" ht="15.75" customHeight="1" x14ac:dyDescent="0.25">
      <c r="A11" s="89" t="s">
        <v>77</v>
      </c>
      <c r="B11" s="5">
        <f>'Revenue Streams'!B17*0.02*0.5</f>
        <v>2.085</v>
      </c>
      <c r="C11" s="9">
        <f>'Revenue Streams'!C17*0.02*0.5</f>
        <v>3.1274999999999999</v>
      </c>
      <c r="D11" s="9">
        <f>'Revenue Streams'!D17*0.02*0.5</f>
        <v>3.4402499999999998</v>
      </c>
      <c r="E11" s="9">
        <f>'Revenue Streams'!E17*0.02*0.5</f>
        <v>5.1603750000000002</v>
      </c>
      <c r="F11" s="9">
        <f>'Revenue Streams'!F17*0.02*0.5</f>
        <v>5.6764125000000014</v>
      </c>
      <c r="G11" s="9">
        <f>'Revenue Streams'!G17*0.02*0.5</f>
        <v>8.5146187500000021</v>
      </c>
      <c r="H11" s="5">
        <f>'Revenue Streams'!H17*0.02*0.5</f>
        <v>9.3660806250000039</v>
      </c>
      <c r="I11" s="6">
        <f>'Revenue Streams'!I17*0.02*0.5</f>
        <v>14.049120937500007</v>
      </c>
      <c r="J11" s="5">
        <f>'Revenue Streams'!J17*0.02*0.5</f>
        <v>15.454033031250004</v>
      </c>
      <c r="K11" s="6">
        <f>'Revenue Streams'!K17*0.02*0.5</f>
        <v>23.181049546875013</v>
      </c>
      <c r="L11" s="5">
        <f>'Revenue Streams'!L17*0.02*0.5</f>
        <v>25.499154501562515</v>
      </c>
      <c r="M11" s="9">
        <f>'Revenue Streams'!M17*0.02*0.5</f>
        <v>38.248731752343772</v>
      </c>
      <c r="N11" s="5">
        <f>'Revenue Streams'!N17*0.02*0.5</f>
        <v>41.193058585078141</v>
      </c>
      <c r="O11" s="6">
        <f>'Revenue Streams'!O17*0.02*0.5</f>
        <v>44.387790783960973</v>
      </c>
      <c r="P11" s="5">
        <f>'Revenue Streams'!P17*0.02*0.5</f>
        <v>47.855767519750806</v>
      </c>
      <c r="Q11" s="6">
        <f>'Revenue Streams'!Q17*0.02*0.5</f>
        <v>51.622001811989328</v>
      </c>
      <c r="R11" s="5">
        <f>'Revenue Streams'!R17*0.02*0.5</f>
        <v>55.713892410464886</v>
      </c>
      <c r="S11" s="6">
        <f>'Revenue Streams'!S17*0.02*0.5</f>
        <v>60.161456589651806</v>
      </c>
      <c r="T11" s="5">
        <f>'Revenue Streams'!T17*0.02*0.5</f>
        <v>64.997585933664453</v>
      </c>
      <c r="U11" s="6">
        <f>'Revenue Streams'!U17*0.02*0.5</f>
        <v>70.258327396330742</v>
      </c>
      <c r="V11" s="5">
        <f>'Revenue Streams'!V17*0.02*0.5</f>
        <v>75.983192148728634</v>
      </c>
      <c r="W11" s="6">
        <f>'Revenue Streams'!W17*0.02*0.5</f>
        <v>82.215494977004582</v>
      </c>
      <c r="X11" s="5">
        <f>'Revenue Streams'!X17*0.02*0.5</f>
        <v>89.002727268778258</v>
      </c>
      <c r="Y11" s="9">
        <f>'Revenue Streams'!Y17*0.02*0.5</f>
        <v>96.396966929432992</v>
      </c>
    </row>
    <row r="12" spans="1:25" ht="15.75" customHeight="1" x14ac:dyDescent="0.25">
      <c r="A12" s="90" t="s">
        <v>78</v>
      </c>
      <c r="B12" s="63">
        <f>'Revenue Streams'!B17*0.03*0.5</f>
        <v>3.1274999999999999</v>
      </c>
      <c r="C12" s="91">
        <f>'Revenue Streams'!C17*0.03*0.5</f>
        <v>4.6912500000000001</v>
      </c>
      <c r="D12" s="91">
        <f>'Revenue Streams'!D17*0.03*0.5</f>
        <v>5.1603749999999993</v>
      </c>
      <c r="E12" s="91">
        <f>'Revenue Streams'!E17*0.03*0.5</f>
        <v>7.7405625000000002</v>
      </c>
      <c r="F12" s="91">
        <f>'Revenue Streams'!F17*0.03*0.5</f>
        <v>8.5146187500000021</v>
      </c>
      <c r="G12" s="91">
        <f>'Revenue Streams'!G17*0.03*0.5</f>
        <v>12.771928125000002</v>
      </c>
      <c r="H12" s="63">
        <f>'Revenue Streams'!H17*0.03*0.5</f>
        <v>14.049120937500003</v>
      </c>
      <c r="I12" s="92">
        <f>'Revenue Streams'!I17*0.03*0.5</f>
        <v>21.07368140625001</v>
      </c>
      <c r="J12" s="63">
        <f>'Revenue Streams'!J17*0.03*0.5</f>
        <v>23.181049546875006</v>
      </c>
      <c r="K12" s="92">
        <f>'Revenue Streams'!K17*0.03*0.5</f>
        <v>34.771574320312517</v>
      </c>
      <c r="L12" s="63">
        <f>'Revenue Streams'!L17*0.03*0.5</f>
        <v>38.248731752343772</v>
      </c>
      <c r="M12" s="91">
        <f>'Revenue Streams'!M17*0.03*0.5</f>
        <v>57.373097628515659</v>
      </c>
      <c r="N12" s="63">
        <f>'Revenue Streams'!N17*0.03*0.5</f>
        <v>61.789587877617208</v>
      </c>
      <c r="O12" s="92">
        <f>'Revenue Streams'!O17*0.03*0.5</f>
        <v>66.581686175941456</v>
      </c>
      <c r="P12" s="63">
        <f>'Revenue Streams'!P17*0.03*0.5</f>
        <v>71.783651279626213</v>
      </c>
      <c r="Q12" s="92">
        <f>'Revenue Streams'!Q17*0.03*0.5</f>
        <v>77.433002717983996</v>
      </c>
      <c r="R12" s="63">
        <f>'Revenue Streams'!R17*0.03*0.5</f>
        <v>83.570838615697326</v>
      </c>
      <c r="S12" s="92">
        <f>'Revenue Streams'!S17*0.03*0.5</f>
        <v>90.242184884477709</v>
      </c>
      <c r="T12" s="63">
        <f>'Revenue Streams'!T17*0.03*0.5</f>
        <v>97.496378900496666</v>
      </c>
      <c r="U12" s="92">
        <f>'Revenue Streams'!U17*0.03*0.5</f>
        <v>105.38749109449611</v>
      </c>
      <c r="V12" s="63">
        <f>'Revenue Streams'!V17*0.03*0.5</f>
        <v>113.97478822309294</v>
      </c>
      <c r="W12" s="92">
        <f>'Revenue Streams'!W17*0.03*0.5</f>
        <v>123.32324246550687</v>
      </c>
      <c r="X12" s="63">
        <f>'Revenue Streams'!X17*0.03*0.5</f>
        <v>133.50409090316737</v>
      </c>
      <c r="Y12" s="91">
        <f>'Revenue Streams'!Y17*0.03*0.5</f>
        <v>144.59545039414948</v>
      </c>
    </row>
    <row r="13" spans="1:25" ht="15.75" customHeight="1" x14ac:dyDescent="0.25">
      <c r="A13" s="56" t="s">
        <v>79</v>
      </c>
      <c r="B13" s="86"/>
      <c r="C13" s="87"/>
      <c r="D13" s="87"/>
      <c r="E13" s="87"/>
      <c r="F13" s="87"/>
      <c r="G13" s="87"/>
      <c r="H13" s="86"/>
      <c r="I13" s="88"/>
      <c r="J13" s="86"/>
      <c r="K13" s="88"/>
      <c r="L13" s="86"/>
      <c r="M13" s="87"/>
      <c r="N13" s="86"/>
      <c r="O13" s="88"/>
      <c r="P13" s="86"/>
      <c r="Q13" s="88"/>
      <c r="R13" s="86"/>
      <c r="S13" s="88"/>
      <c r="T13" s="86"/>
      <c r="U13" s="88"/>
      <c r="V13" s="86"/>
      <c r="W13" s="88"/>
      <c r="X13" s="86"/>
      <c r="Y13" s="87"/>
    </row>
    <row r="14" spans="1:25" ht="15.75" customHeight="1" x14ac:dyDescent="0.25">
      <c r="A14" s="89" t="s">
        <v>80</v>
      </c>
      <c r="B14" s="5">
        <v>100</v>
      </c>
      <c r="C14" s="9">
        <v>100</v>
      </c>
      <c r="D14" s="9">
        <v>100</v>
      </c>
      <c r="E14" s="9">
        <v>100</v>
      </c>
      <c r="F14" s="9">
        <v>100</v>
      </c>
      <c r="G14" s="9">
        <v>100</v>
      </c>
      <c r="H14" s="5">
        <v>100</v>
      </c>
      <c r="I14" s="6">
        <v>100</v>
      </c>
      <c r="J14" s="5">
        <v>100</v>
      </c>
      <c r="K14" s="6">
        <v>100</v>
      </c>
      <c r="L14" s="5">
        <v>100</v>
      </c>
      <c r="M14" s="9">
        <v>100</v>
      </c>
      <c r="N14" s="5">
        <v>100</v>
      </c>
      <c r="O14" s="6">
        <v>100</v>
      </c>
      <c r="P14" s="5">
        <v>100</v>
      </c>
      <c r="Q14" s="6">
        <v>100</v>
      </c>
      <c r="R14" s="5">
        <v>100</v>
      </c>
      <c r="S14" s="6">
        <v>100</v>
      </c>
      <c r="T14" s="5">
        <v>100</v>
      </c>
      <c r="U14" s="6">
        <v>100</v>
      </c>
      <c r="V14" s="5">
        <v>100</v>
      </c>
      <c r="W14" s="6">
        <v>100</v>
      </c>
      <c r="X14" s="5">
        <v>100</v>
      </c>
      <c r="Y14" s="9">
        <v>100</v>
      </c>
    </row>
    <row r="15" spans="1:25" ht="15.75" customHeight="1" x14ac:dyDescent="0.25">
      <c r="A15" s="90" t="s">
        <v>81</v>
      </c>
      <c r="B15" s="63">
        <v>5000</v>
      </c>
      <c r="C15" s="91">
        <v>1000</v>
      </c>
      <c r="D15" s="93"/>
      <c r="E15" s="93"/>
      <c r="F15" s="93"/>
      <c r="G15" s="93"/>
      <c r="H15" s="78"/>
      <c r="I15" s="94"/>
      <c r="J15" s="78"/>
      <c r="K15" s="94"/>
      <c r="L15" s="78"/>
      <c r="M15" s="93"/>
      <c r="N15" s="78"/>
      <c r="O15" s="94"/>
      <c r="P15" s="78"/>
      <c r="Q15" s="94"/>
      <c r="R15" s="78"/>
      <c r="S15" s="94"/>
      <c r="T15" s="78"/>
      <c r="U15" s="94"/>
      <c r="V15" s="78"/>
      <c r="W15" s="94"/>
      <c r="X15" s="78"/>
      <c r="Y15" s="93"/>
    </row>
    <row r="16" spans="1:25" ht="15.75" customHeight="1" x14ac:dyDescent="0.25">
      <c r="A16" s="98" t="s">
        <v>82</v>
      </c>
      <c r="B16" s="37">
        <f>B3+B4+B6+B7+B8+B11+B12+B14+B15</f>
        <v>16015.2125</v>
      </c>
      <c r="C16" s="37">
        <f t="shared" ref="C16:Y16" si="1">C3+C4+C6+C7+C8+C11+C12+C14+C15+C9</f>
        <v>2578.6687500000003</v>
      </c>
      <c r="D16" s="37">
        <f t="shared" si="1"/>
        <v>1024.8556250000001</v>
      </c>
      <c r="E16" s="37">
        <f t="shared" si="1"/>
        <v>1597.3034374999997</v>
      </c>
      <c r="F16" s="37">
        <f t="shared" si="1"/>
        <v>1034.51178125</v>
      </c>
      <c r="G16" s="37">
        <f t="shared" si="1"/>
        <v>1628.0506718749998</v>
      </c>
      <c r="H16" s="37">
        <f t="shared" si="1"/>
        <v>1050.4444390625001</v>
      </c>
      <c r="I16" s="37">
        <f t="shared" si="1"/>
        <v>1678.7836085937502</v>
      </c>
      <c r="J16" s="37">
        <f t="shared" si="1"/>
        <v>1076.7333244531251</v>
      </c>
      <c r="K16" s="37">
        <f t="shared" si="1"/>
        <v>1762.4929541796878</v>
      </c>
      <c r="L16" s="37">
        <f t="shared" si="1"/>
        <v>1120.1099853476564</v>
      </c>
      <c r="M16" s="37">
        <f t="shared" si="1"/>
        <v>1900.6133743964845</v>
      </c>
      <c r="N16" s="37">
        <f t="shared" si="1"/>
        <v>1161.4450683274931</v>
      </c>
      <c r="O16" s="37">
        <f t="shared" si="1"/>
        <v>1173.5371981982405</v>
      </c>
      <c r="P16" s="37">
        <f t="shared" si="1"/>
        <v>1186.6962548888614</v>
      </c>
      <c r="Q16" s="37">
        <f t="shared" si="1"/>
        <v>1201.0229469374026</v>
      </c>
      <c r="R16" s="37">
        <f t="shared" si="1"/>
        <v>1216.6278616200093</v>
      </c>
      <c r="S16" s="37">
        <f t="shared" si="1"/>
        <v>1233.6324510148756</v>
      </c>
      <c r="T16" s="37">
        <f t="shared" si="1"/>
        <v>1252.1701168377176</v>
      </c>
      <c r="U16" s="37">
        <f t="shared" si="1"/>
        <v>1272.3874039016666</v>
      </c>
      <c r="V16" s="37">
        <f t="shared" si="1"/>
        <v>1294.4453130329059</v>
      </c>
      <c r="W16" s="37">
        <f t="shared" si="1"/>
        <v>1318.5207453492669</v>
      </c>
      <c r="X16" s="37">
        <f t="shared" si="1"/>
        <v>1344.8080909921266</v>
      </c>
      <c r="Y16" s="37">
        <f t="shared" si="1"/>
        <v>1373.5209767032241</v>
      </c>
    </row>
    <row r="17" spans="1:3" ht="15.75" customHeight="1" x14ac:dyDescent="0.25">
      <c r="A17" s="45" t="s">
        <v>1</v>
      </c>
      <c r="B17" s="14">
        <f>SUM(B16:M16)</f>
        <v>32467.7804516582</v>
      </c>
    </row>
    <row r="18" spans="1:3" ht="15.75" customHeight="1" x14ac:dyDescent="0.25">
      <c r="A18" s="45" t="s">
        <v>2</v>
      </c>
      <c r="B18" s="14">
        <f>SUM(N16:Y16)</f>
        <v>15028.814427803789</v>
      </c>
    </row>
    <row r="20" spans="1:3" ht="15.75" customHeight="1" x14ac:dyDescent="0.25">
      <c r="A20" s="46" t="s">
        <v>83</v>
      </c>
    </row>
    <row r="22" spans="1:3" ht="15.75" customHeight="1" x14ac:dyDescent="0.25">
      <c r="A22" s="81" t="s">
        <v>62</v>
      </c>
      <c r="B22" s="82" t="s">
        <v>1</v>
      </c>
      <c r="C22" s="83" t="s">
        <v>2</v>
      </c>
    </row>
    <row r="23" spans="1:3" ht="15.75" customHeight="1" x14ac:dyDescent="0.25">
      <c r="A23" s="85" t="s">
        <v>68</v>
      </c>
      <c r="B23" s="86"/>
      <c r="C23" s="87"/>
    </row>
    <row r="24" spans="1:3" ht="15.75" customHeight="1" x14ac:dyDescent="0.25">
      <c r="A24" s="89" t="s">
        <v>69</v>
      </c>
      <c r="B24" s="5">
        <v>10000</v>
      </c>
      <c r="C24" s="9"/>
    </row>
    <row r="25" spans="1:3" ht="15.75" customHeight="1" x14ac:dyDescent="0.25">
      <c r="A25" s="90" t="s">
        <v>70</v>
      </c>
      <c r="B25" s="63">
        <f t="shared" ref="B25:C25" si="2">750*12</f>
        <v>9000</v>
      </c>
      <c r="C25" s="91">
        <f t="shared" si="2"/>
        <v>9000</v>
      </c>
    </row>
    <row r="26" spans="1:3" ht="15.75" customHeight="1" x14ac:dyDescent="0.25">
      <c r="A26" s="56" t="s">
        <v>71</v>
      </c>
      <c r="B26" s="86"/>
      <c r="C26" s="87"/>
    </row>
    <row r="27" spans="1:3" ht="15.75" customHeight="1" x14ac:dyDescent="0.25">
      <c r="A27" s="89" t="s">
        <v>72</v>
      </c>
      <c r="B27" s="5">
        <f>SUM(B6:M6)</f>
        <v>360</v>
      </c>
      <c r="C27" s="9">
        <f>SUM(N6:Y6)</f>
        <v>120</v>
      </c>
    </row>
    <row r="28" spans="1:3" ht="13.2" x14ac:dyDescent="0.25">
      <c r="A28" s="89" t="s">
        <v>73</v>
      </c>
      <c r="B28" s="5">
        <f>150*12</f>
        <v>1800</v>
      </c>
      <c r="C28" s="5">
        <f>B28</f>
        <v>1800</v>
      </c>
    </row>
    <row r="29" spans="1:3" ht="13.2" x14ac:dyDescent="0.25">
      <c r="A29" s="90" t="s">
        <v>74</v>
      </c>
      <c r="B29" s="63">
        <f>SUM(C8:M8)</f>
        <v>3000</v>
      </c>
      <c r="C29" s="91">
        <f>SUM(N8:Y8)</f>
        <v>0</v>
      </c>
    </row>
    <row r="30" spans="1:3" ht="13.2" x14ac:dyDescent="0.25">
      <c r="A30" s="95" t="s">
        <v>75</v>
      </c>
      <c r="B30" s="99">
        <f>SUM(B9:M9)</f>
        <v>723.27463504687546</v>
      </c>
      <c r="C30" s="100">
        <f>SUM(N9:Y9)</f>
        <v>959.34377191670137</v>
      </c>
    </row>
    <row r="31" spans="1:3" ht="13.2" x14ac:dyDescent="0.25">
      <c r="A31" s="56" t="s">
        <v>76</v>
      </c>
      <c r="B31" s="86"/>
      <c r="C31" s="87"/>
    </row>
    <row r="32" spans="1:3" ht="13.2" x14ac:dyDescent="0.25">
      <c r="A32" s="89" t="s">
        <v>77</v>
      </c>
      <c r="B32" s="5">
        <f t="shared" ref="B32:B33" si="3">SUM(B11:M11)</f>
        <v>153.80232664453132</v>
      </c>
      <c r="C32" s="9">
        <f t="shared" ref="C32:C33" si="4">SUM(N11:Y11)</f>
        <v>779.78826235483564</v>
      </c>
    </row>
    <row r="33" spans="1:3" ht="13.2" x14ac:dyDescent="0.25">
      <c r="A33" s="90" t="s">
        <v>78</v>
      </c>
      <c r="B33" s="63">
        <f t="shared" si="3"/>
        <v>230.70348996679701</v>
      </c>
      <c r="C33" s="91">
        <f t="shared" si="4"/>
        <v>1169.6823935322534</v>
      </c>
    </row>
    <row r="34" spans="1:3" ht="13.2" x14ac:dyDescent="0.25">
      <c r="A34" s="56" t="s">
        <v>79</v>
      </c>
      <c r="B34" s="86"/>
      <c r="C34" s="87"/>
    </row>
    <row r="35" spans="1:3" ht="13.2" x14ac:dyDescent="0.25">
      <c r="A35" s="89" t="s">
        <v>80</v>
      </c>
      <c r="B35" s="5">
        <v>1200</v>
      </c>
      <c r="C35" s="9">
        <v>1200</v>
      </c>
    </row>
    <row r="36" spans="1:3" ht="13.2" x14ac:dyDescent="0.25">
      <c r="A36" s="90" t="s">
        <v>81</v>
      </c>
      <c r="B36" s="63">
        <v>6000</v>
      </c>
      <c r="C36" s="91">
        <v>0</v>
      </c>
    </row>
    <row r="37" spans="1:3" ht="13.2" x14ac:dyDescent="0.25">
      <c r="A37" s="98" t="s">
        <v>82</v>
      </c>
      <c r="B37" s="37">
        <f t="shared" ref="B37:C37" si="5">SUM(B24:B36)</f>
        <v>32467.780451658204</v>
      </c>
      <c r="C37" s="37">
        <f t="shared" si="5"/>
        <v>15028.814427803791</v>
      </c>
    </row>
    <row r="38" spans="1:3" ht="13.2" x14ac:dyDescent="0.25">
      <c r="A38" s="45"/>
      <c r="B38" s="101"/>
    </row>
    <row r="39" spans="1:3" ht="13.2" x14ac:dyDescent="0.25">
      <c r="A39" s="45"/>
      <c r="B39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workbookViewId="0"/>
  </sheetViews>
  <sheetFormatPr defaultColWidth="14.44140625" defaultRowHeight="15.75" customHeight="1" x14ac:dyDescent="0.25"/>
  <cols>
    <col min="1" max="1" width="26.44140625" customWidth="1"/>
  </cols>
  <sheetData>
    <row r="1" spans="1:25" ht="15.75" customHeight="1" x14ac:dyDescent="0.25">
      <c r="A1" s="47"/>
      <c r="B1" s="47" t="s">
        <v>18</v>
      </c>
      <c r="C1" s="47" t="s">
        <v>19</v>
      </c>
      <c r="D1" s="47" t="s">
        <v>20</v>
      </c>
      <c r="E1" s="47" t="s">
        <v>21</v>
      </c>
      <c r="F1" s="47" t="s">
        <v>22</v>
      </c>
      <c r="G1" s="47" t="s">
        <v>23</v>
      </c>
      <c r="H1" s="47" t="s">
        <v>24</v>
      </c>
      <c r="I1" s="47" t="s">
        <v>25</v>
      </c>
      <c r="J1" s="47" t="s">
        <v>26</v>
      </c>
      <c r="K1" s="47" t="s">
        <v>27</v>
      </c>
      <c r="L1" s="47" t="s">
        <v>28</v>
      </c>
      <c r="M1" s="47" t="s">
        <v>29</v>
      </c>
      <c r="N1" s="47" t="s">
        <v>30</v>
      </c>
      <c r="O1" s="47" t="s">
        <v>31</v>
      </c>
      <c r="P1" s="47" t="s">
        <v>32</v>
      </c>
      <c r="Q1" s="47" t="s">
        <v>33</v>
      </c>
      <c r="R1" s="47" t="s">
        <v>34</v>
      </c>
      <c r="S1" s="47" t="s">
        <v>35</v>
      </c>
      <c r="T1" s="47" t="s">
        <v>36</v>
      </c>
      <c r="U1" s="47" t="s">
        <v>37</v>
      </c>
      <c r="V1" s="47" t="s">
        <v>38</v>
      </c>
      <c r="W1" s="47" t="s">
        <v>39</v>
      </c>
      <c r="X1" s="47" t="s">
        <v>40</v>
      </c>
      <c r="Y1" s="47" t="s">
        <v>41</v>
      </c>
    </row>
    <row r="2" spans="1:25" ht="15.75" customHeight="1" x14ac:dyDescent="0.25">
      <c r="A2" s="102" t="s">
        <v>84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</row>
    <row r="3" spans="1:25" ht="15.75" customHeight="1" x14ac:dyDescent="0.25">
      <c r="A3" s="45" t="s">
        <v>71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</row>
    <row r="4" spans="1:25" ht="15.75" customHeight="1" x14ac:dyDescent="0.25">
      <c r="A4" s="104" t="s">
        <v>72</v>
      </c>
      <c r="B4" s="6">
        <v>10</v>
      </c>
      <c r="C4" s="6">
        <v>50</v>
      </c>
      <c r="D4" s="6">
        <v>10</v>
      </c>
      <c r="E4" s="6">
        <v>50</v>
      </c>
      <c r="F4" s="6">
        <v>10</v>
      </c>
      <c r="G4" s="6">
        <v>50</v>
      </c>
      <c r="H4" s="6">
        <v>10</v>
      </c>
      <c r="I4" s="6">
        <v>50</v>
      </c>
      <c r="J4" s="6">
        <v>10</v>
      </c>
      <c r="K4" s="6">
        <v>50</v>
      </c>
      <c r="L4" s="6">
        <v>10</v>
      </c>
      <c r="M4" s="6">
        <v>50</v>
      </c>
      <c r="N4" s="6">
        <v>10</v>
      </c>
      <c r="O4" s="6">
        <v>10</v>
      </c>
      <c r="P4" s="6">
        <v>10</v>
      </c>
      <c r="Q4" s="6">
        <v>10</v>
      </c>
      <c r="R4" s="6">
        <v>10</v>
      </c>
      <c r="S4" s="6">
        <v>10</v>
      </c>
      <c r="T4" s="6">
        <v>10</v>
      </c>
      <c r="U4" s="6">
        <v>10</v>
      </c>
      <c r="V4" s="6">
        <v>10</v>
      </c>
      <c r="W4" s="6">
        <v>10</v>
      </c>
      <c r="X4" s="6">
        <v>10</v>
      </c>
      <c r="Y4" s="6">
        <v>10</v>
      </c>
    </row>
    <row r="5" spans="1:25" ht="15.75" customHeight="1" x14ac:dyDescent="0.25">
      <c r="A5" s="104" t="s">
        <v>73</v>
      </c>
      <c r="B5" s="6">
        <f>Costs!B7</f>
        <v>150</v>
      </c>
      <c r="C5" s="6">
        <f>Costs!C7</f>
        <v>150</v>
      </c>
      <c r="D5" s="6">
        <f>Costs!D7</f>
        <v>150</v>
      </c>
      <c r="E5" s="6">
        <f>Costs!E7</f>
        <v>150</v>
      </c>
      <c r="F5" s="6">
        <f>Costs!F7</f>
        <v>150</v>
      </c>
      <c r="G5" s="6">
        <f>Costs!G7</f>
        <v>150</v>
      </c>
      <c r="H5" s="6">
        <f>Costs!H7</f>
        <v>150</v>
      </c>
      <c r="I5" s="6">
        <f>Costs!I7</f>
        <v>150</v>
      </c>
      <c r="J5" s="6">
        <f>Costs!J7</f>
        <v>150</v>
      </c>
      <c r="K5" s="6">
        <f>Costs!K7</f>
        <v>150</v>
      </c>
      <c r="L5" s="6">
        <f>Costs!L7</f>
        <v>150</v>
      </c>
      <c r="M5" s="6">
        <f>Costs!M7</f>
        <v>150</v>
      </c>
      <c r="N5" s="6">
        <f>Costs!N7</f>
        <v>150</v>
      </c>
      <c r="O5" s="6">
        <f>Costs!O7</f>
        <v>150</v>
      </c>
      <c r="P5" s="6">
        <f>Costs!P7</f>
        <v>150</v>
      </c>
      <c r="Q5" s="6">
        <f>Costs!Q7</f>
        <v>150</v>
      </c>
      <c r="R5" s="6">
        <f>Costs!R7</f>
        <v>150</v>
      </c>
      <c r="S5" s="6">
        <f>Costs!S7</f>
        <v>150</v>
      </c>
      <c r="T5" s="6">
        <f>Costs!T7</f>
        <v>150</v>
      </c>
      <c r="U5" s="6">
        <f>Costs!U7</f>
        <v>150</v>
      </c>
      <c r="V5" s="6">
        <f>Costs!V7</f>
        <v>150</v>
      </c>
      <c r="W5" s="6">
        <f>Costs!W7</f>
        <v>150</v>
      </c>
      <c r="X5" s="6">
        <f>Costs!X7</f>
        <v>150</v>
      </c>
      <c r="Y5" s="6">
        <f>Costs!Y7</f>
        <v>150</v>
      </c>
    </row>
    <row r="6" spans="1:25" ht="15.75" customHeight="1" x14ac:dyDescent="0.25">
      <c r="A6" s="104" t="s">
        <v>74</v>
      </c>
      <c r="B6" s="6"/>
      <c r="C6" s="6">
        <v>500</v>
      </c>
      <c r="D6" s="10"/>
      <c r="E6" s="6">
        <v>500</v>
      </c>
      <c r="F6" s="6"/>
      <c r="G6" s="6">
        <v>500</v>
      </c>
      <c r="H6" s="10"/>
      <c r="I6" s="6">
        <v>500</v>
      </c>
      <c r="J6" s="6"/>
      <c r="K6" s="6">
        <v>500</v>
      </c>
      <c r="L6" s="10"/>
      <c r="M6" s="6">
        <v>500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5.75" customHeight="1" x14ac:dyDescent="0.25">
      <c r="A7" s="45" t="s">
        <v>85</v>
      </c>
      <c r="B7" s="6"/>
      <c r="C7" s="6">
        <f t="shared" ref="C7:Y7" si="0">C11*C18*0.1*2</f>
        <v>20.85</v>
      </c>
      <c r="D7" s="6">
        <f t="shared" si="0"/>
        <v>6.2549999999999999</v>
      </c>
      <c r="E7" s="6">
        <f t="shared" si="0"/>
        <v>34.402500000000011</v>
      </c>
      <c r="F7" s="6">
        <f t="shared" si="0"/>
        <v>10.32075000000002</v>
      </c>
      <c r="G7" s="6">
        <f t="shared" si="0"/>
        <v>56.764125000000014</v>
      </c>
      <c r="H7" s="6">
        <f t="shared" si="0"/>
        <v>17.029237500000036</v>
      </c>
      <c r="I7" s="6">
        <f t="shared" si="0"/>
        <v>93.660806250000064</v>
      </c>
      <c r="J7" s="6">
        <f t="shared" si="0"/>
        <v>28.098241875000028</v>
      </c>
      <c r="K7" s="6">
        <f t="shared" si="0"/>
        <v>154.54033031250003</v>
      </c>
      <c r="L7" s="6">
        <f t="shared" si="0"/>
        <v>46.362099093750061</v>
      </c>
      <c r="M7" s="6">
        <f t="shared" si="0"/>
        <v>254.99154501562518</v>
      </c>
      <c r="N7" s="6">
        <f t="shared" si="0"/>
        <v>48.46242186479784</v>
      </c>
      <c r="O7" s="6">
        <f t="shared" si="0"/>
        <v>52.567721238337974</v>
      </c>
      <c r="P7" s="6">
        <f t="shared" si="0"/>
        <v>57.056836089484513</v>
      </c>
      <c r="Q7" s="6">
        <f t="shared" si="0"/>
        <v>61.967942407429234</v>
      </c>
      <c r="R7" s="6">
        <f t="shared" si="0"/>
        <v>67.343130593847079</v>
      </c>
      <c r="S7" s="6">
        <f t="shared" si="0"/>
        <v>73.228809540746212</v>
      </c>
      <c r="T7" s="6">
        <f t="shared" si="0"/>
        <v>79.676152003556581</v>
      </c>
      <c r="U7" s="6">
        <f t="shared" si="0"/>
        <v>86.741585410839576</v>
      </c>
      <c r="V7" s="6">
        <f t="shared" si="0"/>
        <v>94.487332661084309</v>
      </c>
      <c r="W7" s="6">
        <f t="shared" si="0"/>
        <v>102.9820079067554</v>
      </c>
      <c r="X7" s="6">
        <f t="shared" si="0"/>
        <v>112.30127282018094</v>
      </c>
      <c r="Y7" s="6">
        <f t="shared" si="0"/>
        <v>122.52855937964159</v>
      </c>
    </row>
    <row r="8" spans="1:25" ht="15.75" customHeight="1" x14ac:dyDescent="0.25">
      <c r="A8" s="105" t="s">
        <v>86</v>
      </c>
      <c r="B8" s="106">
        <f>B4+B6</f>
        <v>10</v>
      </c>
      <c r="C8" s="106">
        <f t="shared" ref="C8:Y8" si="1">C4+C6+C7</f>
        <v>570.85</v>
      </c>
      <c r="D8" s="106">
        <f t="shared" si="1"/>
        <v>16.254999999999999</v>
      </c>
      <c r="E8" s="106">
        <f t="shared" si="1"/>
        <v>584.40250000000003</v>
      </c>
      <c r="F8" s="106">
        <f t="shared" si="1"/>
        <v>20.320750000000018</v>
      </c>
      <c r="G8" s="106">
        <f t="shared" si="1"/>
        <v>606.76412500000004</v>
      </c>
      <c r="H8" s="106">
        <f t="shared" si="1"/>
        <v>27.029237500000036</v>
      </c>
      <c r="I8" s="106">
        <f t="shared" si="1"/>
        <v>643.66080625000006</v>
      </c>
      <c r="J8" s="106">
        <f t="shared" si="1"/>
        <v>38.098241875000028</v>
      </c>
      <c r="K8" s="106">
        <f t="shared" si="1"/>
        <v>704.54033031250003</v>
      </c>
      <c r="L8" s="106">
        <f t="shared" si="1"/>
        <v>56.362099093750061</v>
      </c>
      <c r="M8" s="106">
        <f t="shared" si="1"/>
        <v>804.99154501562521</v>
      </c>
      <c r="N8" s="106">
        <f t="shared" si="1"/>
        <v>58.46242186479784</v>
      </c>
      <c r="O8" s="106">
        <f t="shared" si="1"/>
        <v>62.567721238337974</v>
      </c>
      <c r="P8" s="106">
        <f t="shared" si="1"/>
        <v>67.056836089484506</v>
      </c>
      <c r="Q8" s="106">
        <f t="shared" si="1"/>
        <v>71.967942407429234</v>
      </c>
      <c r="R8" s="106">
        <f t="shared" si="1"/>
        <v>77.343130593847079</v>
      </c>
      <c r="S8" s="106">
        <f t="shared" si="1"/>
        <v>83.228809540746212</v>
      </c>
      <c r="T8" s="106">
        <f t="shared" si="1"/>
        <v>89.676152003556581</v>
      </c>
      <c r="U8" s="106">
        <f t="shared" si="1"/>
        <v>96.741585410839576</v>
      </c>
      <c r="V8" s="106">
        <f t="shared" si="1"/>
        <v>104.48733266108431</v>
      </c>
      <c r="W8" s="106">
        <f t="shared" si="1"/>
        <v>112.9820079067554</v>
      </c>
      <c r="X8" s="106">
        <f t="shared" si="1"/>
        <v>122.30127282018094</v>
      </c>
      <c r="Y8" s="106">
        <f t="shared" si="1"/>
        <v>132.52855937964159</v>
      </c>
    </row>
    <row r="9" spans="1:25" ht="15.75" customHeight="1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ht="15.75" customHeight="1" x14ac:dyDescent="0.25">
      <c r="A10" s="47" t="s">
        <v>87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</row>
    <row r="11" spans="1:25" ht="15.75" customHeight="1" x14ac:dyDescent="0.25">
      <c r="A11" s="46" t="s">
        <v>88</v>
      </c>
      <c r="B11" s="46"/>
      <c r="C11" s="107">
        <f t="shared" ref="C11:Y11" si="2">C13-B13</f>
        <v>10</v>
      </c>
      <c r="D11" s="107">
        <f t="shared" si="2"/>
        <v>3</v>
      </c>
      <c r="E11" s="107">
        <f t="shared" si="2"/>
        <v>16.500000000000007</v>
      </c>
      <c r="F11" s="107">
        <f t="shared" si="2"/>
        <v>4.9500000000000099</v>
      </c>
      <c r="G11" s="107">
        <f t="shared" si="2"/>
        <v>27.225000000000009</v>
      </c>
      <c r="H11" s="107">
        <f t="shared" si="2"/>
        <v>8.1675000000000182</v>
      </c>
      <c r="I11" s="107">
        <f t="shared" si="2"/>
        <v>44.921250000000029</v>
      </c>
      <c r="J11" s="107">
        <f t="shared" si="2"/>
        <v>13.476375000000019</v>
      </c>
      <c r="K11" s="107">
        <f t="shared" si="2"/>
        <v>74.120062500000017</v>
      </c>
      <c r="L11" s="107">
        <f t="shared" si="2"/>
        <v>22.236018750000028</v>
      </c>
      <c r="M11" s="107">
        <f t="shared" si="2"/>
        <v>122.29810312500007</v>
      </c>
      <c r="N11" s="107">
        <f t="shared" si="2"/>
        <v>22.930894335937523</v>
      </c>
      <c r="O11" s="107">
        <f t="shared" si="2"/>
        <v>24.536056939453204</v>
      </c>
      <c r="P11" s="107">
        <f t="shared" si="2"/>
        <v>26.267339461816391</v>
      </c>
      <c r="Q11" s="107">
        <f t="shared" si="2"/>
        <v>28.135634077836926</v>
      </c>
      <c r="R11" s="107">
        <f t="shared" si="2"/>
        <v>30.152836188951483</v>
      </c>
      <c r="S11" s="107">
        <f t="shared" si="2"/>
        <v>32.331940446343992</v>
      </c>
      <c r="T11" s="107">
        <f t="shared" si="2"/>
        <v>34.687146161400506</v>
      </c>
      <c r="U11" s="107">
        <f t="shared" si="2"/>
        <v>37.23397303148397</v>
      </c>
      <c r="V11" s="107">
        <f t="shared" si="2"/>
        <v>39.989388201272845</v>
      </c>
      <c r="W11" s="107">
        <f t="shared" si="2"/>
        <v>42.97194578137271</v>
      </c>
      <c r="X11" s="107">
        <f t="shared" si="2"/>
        <v>46.201940057481124</v>
      </c>
      <c r="Y11" s="107">
        <f t="shared" si="2"/>
        <v>49.701573746098802</v>
      </c>
    </row>
    <row r="12" spans="1:25" ht="15.75" customHeight="1" x14ac:dyDescent="0.25">
      <c r="A12" s="46" t="s">
        <v>89</v>
      </c>
      <c r="B12" s="108"/>
      <c r="C12" s="109">
        <f t="shared" ref="C12:Y12" si="3">C11/B13</f>
        <v>0.5</v>
      </c>
      <c r="D12" s="109">
        <f t="shared" si="3"/>
        <v>0.1</v>
      </c>
      <c r="E12" s="109">
        <f t="shared" si="3"/>
        <v>0.50000000000000022</v>
      </c>
      <c r="F12" s="109">
        <f t="shared" si="3"/>
        <v>0.10000000000000019</v>
      </c>
      <c r="G12" s="109">
        <f t="shared" si="3"/>
        <v>0.5</v>
      </c>
      <c r="H12" s="109">
        <f t="shared" si="3"/>
        <v>0.10000000000000019</v>
      </c>
      <c r="I12" s="109">
        <f t="shared" si="3"/>
        <v>0.50000000000000011</v>
      </c>
      <c r="J12" s="109">
        <f t="shared" si="3"/>
        <v>0.10000000000000009</v>
      </c>
      <c r="K12" s="109">
        <f t="shared" si="3"/>
        <v>0.49999999999999983</v>
      </c>
      <c r="L12" s="109">
        <f t="shared" si="3"/>
        <v>0.10000000000000007</v>
      </c>
      <c r="M12" s="109">
        <f t="shared" si="3"/>
        <v>0.5</v>
      </c>
      <c r="N12" s="109">
        <f t="shared" si="3"/>
        <v>6.2500000000000028E-2</v>
      </c>
      <c r="O12" s="109">
        <f t="shared" si="3"/>
        <v>6.2941176470588403E-2</v>
      </c>
      <c r="P12" s="109">
        <f t="shared" si="3"/>
        <v>6.3392363032650723E-2</v>
      </c>
      <c r="Q12" s="109">
        <f t="shared" si="3"/>
        <v>6.385339959928181E-2</v>
      </c>
      <c r="R12" s="109">
        <f t="shared" si="3"/>
        <v>6.4324097253390403E-2</v>
      </c>
      <c r="S12" s="109">
        <f t="shared" si="3"/>
        <v>6.4804237749940014E-2</v>
      </c>
      <c r="T12" s="109">
        <f t="shared" si="3"/>
        <v>6.5293573172985536E-2</v>
      </c>
      <c r="U12" s="109">
        <f t="shared" si="3"/>
        <v>6.5791825759520001E-2</v>
      </c>
      <c r="V12" s="109">
        <f t="shared" si="3"/>
        <v>6.629868790098177E-2</v>
      </c>
      <c r="W12" s="109">
        <f t="shared" si="3"/>
        <v>6.6813822331876424E-2</v>
      </c>
      <c r="X12" s="109">
        <f t="shared" si="3"/>
        <v>6.7336862513307741E-2</v>
      </c>
      <c r="Y12" s="109">
        <f t="shared" si="3"/>
        <v>6.7867413217352957E-2</v>
      </c>
    </row>
    <row r="13" spans="1:25" ht="15.75" customHeight="1" x14ac:dyDescent="0.25">
      <c r="A13" s="46" t="s">
        <v>90</v>
      </c>
      <c r="B13" s="107">
        <f>'Revenue Streams'!B6+'Revenue Streams'!B3</f>
        <v>20</v>
      </c>
      <c r="C13" s="107">
        <f>'Revenue Streams'!C6+'Revenue Streams'!C3</f>
        <v>30</v>
      </c>
      <c r="D13" s="107">
        <f>'Revenue Streams'!D6+'Revenue Streams'!D3</f>
        <v>33</v>
      </c>
      <c r="E13" s="107">
        <f>'Revenue Streams'!E6+'Revenue Streams'!E3</f>
        <v>49.500000000000007</v>
      </c>
      <c r="F13" s="107">
        <f>'Revenue Streams'!F6+'Revenue Streams'!F3</f>
        <v>54.450000000000017</v>
      </c>
      <c r="G13" s="107">
        <f>'Revenue Streams'!G6+'Revenue Streams'!G3</f>
        <v>81.675000000000026</v>
      </c>
      <c r="H13" s="107">
        <f>'Revenue Streams'!H6+'Revenue Streams'!H3</f>
        <v>89.842500000000044</v>
      </c>
      <c r="I13" s="107">
        <f>'Revenue Streams'!I6+'Revenue Streams'!I3</f>
        <v>134.76375000000007</v>
      </c>
      <c r="J13" s="107">
        <f>'Revenue Streams'!J6+'Revenue Streams'!J3</f>
        <v>148.24012500000009</v>
      </c>
      <c r="K13" s="107">
        <f>'Revenue Streams'!K6+'Revenue Streams'!K3</f>
        <v>222.36018750000011</v>
      </c>
      <c r="L13" s="107">
        <f>'Revenue Streams'!L6+'Revenue Streams'!L3</f>
        <v>244.59620625000014</v>
      </c>
      <c r="M13" s="107">
        <f>'Revenue Streams'!M6+'Revenue Streams'!M3</f>
        <v>366.8943093750002</v>
      </c>
      <c r="N13" s="107">
        <f>'Revenue Streams'!N6+'Revenue Streams'!N3</f>
        <v>389.82520371093773</v>
      </c>
      <c r="O13" s="107">
        <f>'Revenue Streams'!O6+'Revenue Streams'!O3</f>
        <v>414.36126065039093</v>
      </c>
      <c r="P13" s="107">
        <f>'Revenue Streams'!P6+'Revenue Streams'!P3</f>
        <v>440.62860011220732</v>
      </c>
      <c r="Q13" s="107">
        <f>'Revenue Streams'!Q6+'Revenue Streams'!Q3</f>
        <v>468.76423419004425</v>
      </c>
      <c r="R13" s="107">
        <f>'Revenue Streams'!R6+'Revenue Streams'!R3</f>
        <v>498.91707037899573</v>
      </c>
      <c r="S13" s="107">
        <f>'Revenue Streams'!S6+'Revenue Streams'!S3</f>
        <v>531.24901082533972</v>
      </c>
      <c r="T13" s="107">
        <f>'Revenue Streams'!T6+'Revenue Streams'!T3</f>
        <v>565.93615698674023</v>
      </c>
      <c r="U13" s="107">
        <f>'Revenue Streams'!U6+'Revenue Streams'!U3</f>
        <v>603.1701300182242</v>
      </c>
      <c r="V13" s="107">
        <f>'Revenue Streams'!V6+'Revenue Streams'!V3</f>
        <v>643.15951821949704</v>
      </c>
      <c r="W13" s="107">
        <f>'Revenue Streams'!W6+'Revenue Streams'!W3</f>
        <v>686.13146400086976</v>
      </c>
      <c r="X13" s="107">
        <f>'Revenue Streams'!X6+'Revenue Streams'!X3</f>
        <v>732.33340405835088</v>
      </c>
      <c r="Y13" s="107">
        <f>'Revenue Streams'!Y6+'Revenue Streams'!Y3</f>
        <v>782.03497780444968</v>
      </c>
    </row>
    <row r="14" spans="1:25" ht="15.75" customHeight="1" x14ac:dyDescent="0.25">
      <c r="A14" s="47"/>
    </row>
    <row r="15" spans="1:25" ht="15.75" customHeight="1" x14ac:dyDescent="0.25">
      <c r="A15" s="110" t="s">
        <v>91</v>
      </c>
      <c r="B15" s="111"/>
      <c r="C15" s="10">
        <f t="shared" ref="C15:Y15" si="4">C8/C11</f>
        <v>57.085000000000001</v>
      </c>
      <c r="D15" s="10">
        <f t="shared" si="4"/>
        <v>5.418333333333333</v>
      </c>
      <c r="E15" s="10">
        <f t="shared" si="4"/>
        <v>35.418333333333322</v>
      </c>
      <c r="F15" s="10">
        <f t="shared" si="4"/>
        <v>4.1052020202020154</v>
      </c>
      <c r="G15" s="10">
        <f t="shared" si="4"/>
        <v>22.287020202020198</v>
      </c>
      <c r="H15" s="10">
        <f t="shared" si="4"/>
        <v>3.3093648607284942</v>
      </c>
      <c r="I15" s="10">
        <f t="shared" si="4"/>
        <v>14.328648607284963</v>
      </c>
      <c r="J15" s="10">
        <f t="shared" si="4"/>
        <v>2.8270393095324207</v>
      </c>
      <c r="K15" s="10">
        <f t="shared" si="4"/>
        <v>9.5053930953242229</v>
      </c>
      <c r="L15" s="10">
        <f t="shared" si="4"/>
        <v>2.534720793656013</v>
      </c>
      <c r="M15" s="10">
        <f t="shared" si="4"/>
        <v>6.5822079365601347</v>
      </c>
      <c r="N15" s="10">
        <f t="shared" si="4"/>
        <v>2.5495046555238345</v>
      </c>
      <c r="O15" s="10">
        <f t="shared" si="4"/>
        <v>2.5500316286652831</v>
      </c>
      <c r="P15" s="10">
        <f t="shared" si="4"/>
        <v>2.5528598428082869</v>
      </c>
      <c r="Q15" s="10">
        <f t="shared" si="4"/>
        <v>2.5578930337354651</v>
      </c>
      <c r="R15" s="10">
        <f t="shared" si="4"/>
        <v>2.5650366721451872</v>
      </c>
      <c r="S15" s="10">
        <f t="shared" si="4"/>
        <v>2.5741977868253034</v>
      </c>
      <c r="T15" s="10">
        <f t="shared" si="4"/>
        <v>2.585284807988824</v>
      </c>
      <c r="U15" s="10">
        <f t="shared" si="4"/>
        <v>2.5982074308599219</v>
      </c>
      <c r="V15" s="10">
        <f t="shared" si="4"/>
        <v>2.6128764995149019</v>
      </c>
      <c r="W15" s="10">
        <f t="shared" si="4"/>
        <v>2.6292039108857468</v>
      </c>
      <c r="X15" s="10">
        <f t="shared" si="4"/>
        <v>2.6471025387250515</v>
      </c>
      <c r="Y15" s="10">
        <f t="shared" si="4"/>
        <v>2.6664861772117243</v>
      </c>
    </row>
    <row r="16" spans="1:25" ht="15.75" customHeight="1" x14ac:dyDescent="0.25">
      <c r="A16" s="47"/>
    </row>
    <row r="17" spans="1:25" ht="15.75" customHeight="1" x14ac:dyDescent="0.25">
      <c r="A17" s="102" t="s">
        <v>92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</row>
    <row r="18" spans="1:25" ht="15.75" customHeight="1" x14ac:dyDescent="0.25">
      <c r="A18" s="46" t="s">
        <v>93</v>
      </c>
      <c r="B18" s="10">
        <f>'Revenue Streams'!B21</f>
        <v>10.425000000000001</v>
      </c>
      <c r="C18" s="10">
        <f>'Revenue Streams'!C21</f>
        <v>10.425000000000001</v>
      </c>
      <c r="D18" s="10">
        <f>'Revenue Streams'!D21</f>
        <v>10.424999999999999</v>
      </c>
      <c r="E18" s="10">
        <f>'Revenue Streams'!E21</f>
        <v>10.424999999999999</v>
      </c>
      <c r="F18" s="10">
        <f>'Revenue Streams'!F21</f>
        <v>10.424999999999999</v>
      </c>
      <c r="G18" s="10">
        <f>'Revenue Streams'!G21</f>
        <v>10.424999999999999</v>
      </c>
      <c r="H18" s="10">
        <f>'Revenue Streams'!H21</f>
        <v>10.424999999999999</v>
      </c>
      <c r="I18" s="10">
        <f>'Revenue Streams'!I21</f>
        <v>10.424999999999999</v>
      </c>
      <c r="J18" s="10">
        <f>'Revenue Streams'!J21</f>
        <v>10.424999999999995</v>
      </c>
      <c r="K18" s="10">
        <f>'Revenue Streams'!K21</f>
        <v>10.424999999999999</v>
      </c>
      <c r="L18" s="10">
        <f>'Revenue Streams'!L21</f>
        <v>10.425000000000001</v>
      </c>
      <c r="M18" s="10">
        <f>'Revenue Streams'!M21</f>
        <v>10.425000000000001</v>
      </c>
      <c r="N18" s="10">
        <f>'Revenue Streams'!N21</f>
        <v>10.567058823529409</v>
      </c>
      <c r="O18" s="10">
        <f>'Revenue Streams'!O21</f>
        <v>10.71234089651356</v>
      </c>
      <c r="P18" s="10">
        <f>'Revenue Streams'!P21</f>
        <v>10.860794670968748</v>
      </c>
      <c r="Q18" s="10">
        <f>'Revenue Streams'!Q21</f>
        <v>11.012359315591679</v>
      </c>
      <c r="R18" s="10">
        <f>'Revenue Streams'!R21</f>
        <v>11.166964555480646</v>
      </c>
      <c r="S18" s="10">
        <f>'Revenue Streams'!S21</f>
        <v>11.324530561701367</v>
      </c>
      <c r="T18" s="10">
        <f>'Revenue Streams'!T21</f>
        <v>11.484967894565417</v>
      </c>
      <c r="U18" s="10">
        <f>'Revenue Streams'!U21</f>
        <v>11.64817750411612</v>
      </c>
      <c r="V18" s="10">
        <f>'Revenue Streams'!V21</f>
        <v>11.814050790864163</v>
      </c>
      <c r="W18" s="10">
        <f>'Revenue Streams'!W21</f>
        <v>11.982469729285052</v>
      </c>
      <c r="X18" s="10">
        <f>'Revenue Streams'!X21</f>
        <v>12.153307055987669</v>
      </c>
      <c r="Y18" s="10">
        <f>'Revenue Streams'!Y21</f>
        <v>12.326426523793844</v>
      </c>
    </row>
    <row r="22" spans="1:25" ht="15.75" customHeight="1" x14ac:dyDescent="0.25">
      <c r="A22" s="112"/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ColWidth="14.44140625" defaultRowHeight="15.75" customHeight="1" x14ac:dyDescent="0.25"/>
  <cols>
    <col min="1" max="1" width="33.44140625" customWidth="1"/>
  </cols>
  <sheetData>
    <row r="1" spans="1:3" ht="15.75" customHeight="1" x14ac:dyDescent="0.25">
      <c r="A1" s="113" t="s">
        <v>94</v>
      </c>
      <c r="B1" s="82" t="s">
        <v>95</v>
      </c>
      <c r="C1" s="83" t="s">
        <v>96</v>
      </c>
    </row>
    <row r="2" spans="1:3" ht="15.75" customHeight="1" x14ac:dyDescent="0.25">
      <c r="A2" s="114" t="s">
        <v>97</v>
      </c>
      <c r="B2" s="115"/>
      <c r="C2" s="116"/>
    </row>
    <row r="3" spans="1:3" ht="15.75" customHeight="1" x14ac:dyDescent="0.25">
      <c r="A3" s="89" t="s">
        <v>98</v>
      </c>
      <c r="B3" s="5">
        <v>150</v>
      </c>
      <c r="C3" s="9">
        <f>B3*0.1</f>
        <v>15</v>
      </c>
    </row>
    <row r="4" spans="1:3" ht="15.75" customHeight="1" x14ac:dyDescent="0.25">
      <c r="A4" s="90" t="s">
        <v>99</v>
      </c>
      <c r="B4" s="117">
        <v>0.15</v>
      </c>
      <c r="C4" s="118">
        <v>0.15</v>
      </c>
    </row>
    <row r="5" spans="1:3" ht="15.75" customHeight="1" x14ac:dyDescent="0.25">
      <c r="A5" s="119" t="s">
        <v>100</v>
      </c>
      <c r="B5" s="120"/>
      <c r="C5" s="121"/>
    </row>
    <row r="6" spans="1:3" ht="15.75" customHeight="1" x14ac:dyDescent="0.25">
      <c r="A6" s="89" t="s">
        <v>98</v>
      </c>
      <c r="B6" s="5">
        <v>200</v>
      </c>
      <c r="C6" s="9">
        <f>B6*0.1</f>
        <v>20</v>
      </c>
    </row>
    <row r="7" spans="1:3" ht="15.75" customHeight="1" x14ac:dyDescent="0.25">
      <c r="A7" s="89" t="s">
        <v>99</v>
      </c>
      <c r="B7" s="65">
        <v>0.2</v>
      </c>
      <c r="C7" s="122">
        <v>0.2</v>
      </c>
    </row>
    <row r="8" spans="1:3" ht="15.75" customHeight="1" x14ac:dyDescent="0.25">
      <c r="A8" s="114" t="s">
        <v>101</v>
      </c>
      <c r="B8" s="123"/>
      <c r="C8" s="116"/>
    </row>
    <row r="9" spans="1:3" ht="15.75" customHeight="1" x14ac:dyDescent="0.25">
      <c r="A9" s="89" t="s">
        <v>98</v>
      </c>
      <c r="B9" s="5">
        <v>400</v>
      </c>
      <c r="C9" s="9">
        <f>B9*0.1</f>
        <v>40</v>
      </c>
    </row>
    <row r="10" spans="1:3" ht="15.75" customHeight="1" x14ac:dyDescent="0.25">
      <c r="A10" s="90" t="s">
        <v>99</v>
      </c>
      <c r="B10" s="117">
        <v>0.15</v>
      </c>
      <c r="C10" s="118">
        <v>0.15</v>
      </c>
    </row>
    <row r="11" spans="1:3" ht="15.75" customHeight="1" x14ac:dyDescent="0.25">
      <c r="A11" s="119" t="s">
        <v>102</v>
      </c>
      <c r="B11" s="120"/>
      <c r="C11" s="121"/>
    </row>
    <row r="12" spans="1:3" ht="15.75" customHeight="1" x14ac:dyDescent="0.25">
      <c r="A12" s="89" t="s">
        <v>98</v>
      </c>
      <c r="B12" s="124">
        <v>300</v>
      </c>
      <c r="C12" s="125">
        <f>B12*0.1</f>
        <v>30</v>
      </c>
    </row>
    <row r="13" spans="1:3" ht="15.75" customHeight="1" x14ac:dyDescent="0.25">
      <c r="A13" s="89" t="s">
        <v>99</v>
      </c>
      <c r="B13" s="65">
        <v>0.15</v>
      </c>
      <c r="C13" s="122">
        <v>0.15</v>
      </c>
    </row>
    <row r="14" spans="1:3" ht="15.75" customHeight="1" x14ac:dyDescent="0.25">
      <c r="A14" s="114" t="s">
        <v>103</v>
      </c>
      <c r="B14" s="123"/>
      <c r="C14" s="116"/>
    </row>
    <row r="15" spans="1:3" ht="15.75" customHeight="1" x14ac:dyDescent="0.25">
      <c r="A15" s="89" t="s">
        <v>98</v>
      </c>
      <c r="B15" s="5">
        <v>150</v>
      </c>
      <c r="C15" s="8">
        <f>B15*0.1</f>
        <v>15</v>
      </c>
    </row>
    <row r="16" spans="1:3" ht="15.75" customHeight="1" x14ac:dyDescent="0.25">
      <c r="A16" s="90" t="s">
        <v>99</v>
      </c>
      <c r="B16" s="117">
        <v>0.1</v>
      </c>
      <c r="C16" s="118">
        <v>0.1</v>
      </c>
    </row>
    <row r="17" spans="1:3" ht="15.75" customHeight="1" x14ac:dyDescent="0.25">
      <c r="A17" s="119" t="s">
        <v>104</v>
      </c>
      <c r="B17" s="126"/>
      <c r="C17" s="121"/>
    </row>
    <row r="18" spans="1:3" ht="15.75" customHeight="1" x14ac:dyDescent="0.25">
      <c r="A18" s="89" t="s">
        <v>98</v>
      </c>
      <c r="B18" s="5">
        <v>300</v>
      </c>
      <c r="C18" s="8">
        <f>B18*0.1</f>
        <v>30</v>
      </c>
    </row>
    <row r="19" spans="1:3" ht="15.75" customHeight="1" x14ac:dyDescent="0.25">
      <c r="A19" s="89" t="s">
        <v>99</v>
      </c>
      <c r="B19" s="65">
        <v>0.05</v>
      </c>
      <c r="C19" s="122">
        <v>0.05</v>
      </c>
    </row>
    <row r="20" spans="1:3" ht="15.75" customHeight="1" x14ac:dyDescent="0.25">
      <c r="A20" s="114" t="s">
        <v>105</v>
      </c>
      <c r="B20" s="115"/>
      <c r="C20" s="116"/>
    </row>
    <row r="21" spans="1:3" ht="15.75" customHeight="1" x14ac:dyDescent="0.25">
      <c r="A21" s="89" t="s">
        <v>98</v>
      </c>
      <c r="B21" s="5">
        <v>200</v>
      </c>
      <c r="C21" s="8">
        <f>B21*0.1</f>
        <v>20</v>
      </c>
    </row>
    <row r="22" spans="1:3" ht="15.75" customHeight="1" x14ac:dyDescent="0.25">
      <c r="A22" s="90" t="s">
        <v>99</v>
      </c>
      <c r="B22" s="117">
        <v>0.1</v>
      </c>
      <c r="C22" s="118">
        <v>0.1</v>
      </c>
    </row>
    <row r="23" spans="1:3" ht="15.75" customHeight="1" x14ac:dyDescent="0.25">
      <c r="A23" s="119" t="s">
        <v>106</v>
      </c>
      <c r="B23" s="120"/>
      <c r="C23" s="121"/>
    </row>
    <row r="24" spans="1:3" ht="15.75" customHeight="1" x14ac:dyDescent="0.25">
      <c r="A24" s="89" t="s">
        <v>98</v>
      </c>
      <c r="B24" s="5">
        <v>400</v>
      </c>
      <c r="C24" s="8">
        <f>B24*0.1</f>
        <v>40</v>
      </c>
    </row>
    <row r="25" spans="1:3" ht="15.75" customHeight="1" x14ac:dyDescent="0.25">
      <c r="A25" s="89" t="s">
        <v>99</v>
      </c>
      <c r="B25" s="65">
        <v>0.05</v>
      </c>
      <c r="C25" s="122">
        <v>0.05</v>
      </c>
    </row>
    <row r="26" spans="1:3" ht="15.75" customHeight="1" x14ac:dyDescent="0.25">
      <c r="A26" s="114" t="s">
        <v>107</v>
      </c>
      <c r="B26" s="115"/>
      <c r="C26" s="116"/>
    </row>
    <row r="27" spans="1:3" ht="15.75" customHeight="1" x14ac:dyDescent="0.25">
      <c r="A27" s="89" t="s">
        <v>98</v>
      </c>
      <c r="B27" s="5">
        <v>100</v>
      </c>
      <c r="C27" s="8">
        <f>B27*0.1</f>
        <v>10</v>
      </c>
    </row>
    <row r="28" spans="1:3" ht="13.2" x14ac:dyDescent="0.25">
      <c r="A28" s="90" t="s">
        <v>99</v>
      </c>
      <c r="B28" s="117">
        <v>0.05</v>
      </c>
      <c r="C28" s="118">
        <v>0.05</v>
      </c>
    </row>
    <row r="29" spans="1:3" ht="13.2" x14ac:dyDescent="0.25">
      <c r="A29" s="127" t="s">
        <v>108</v>
      </c>
      <c r="B29" s="37">
        <f t="shared" ref="B29:C29" si="0">(B3*B4)+(B6*B7)+(B9*B10)+(B12*B13)+(B15*B16)+(B18*B19)+(B21*B22)+(B24*B25)+(B27*B28)</f>
        <v>242.5</v>
      </c>
      <c r="C29" s="128">
        <f t="shared" si="0"/>
        <v>24.25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Annual Income Statement</vt:lpstr>
      <vt:lpstr>Monthly Income Statement</vt:lpstr>
      <vt:lpstr>Break Even Analysis</vt:lpstr>
      <vt:lpstr>Revenue Streams</vt:lpstr>
      <vt:lpstr>Costs</vt:lpstr>
      <vt:lpstr>CAC vs LTV</vt:lpstr>
      <vt:lpstr>Selling and Renting Average Pri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Marton, Peter</cp:lastModifiedBy>
  <dcterms:modified xsi:type="dcterms:W3CDTF">2016-03-26T19:34:30Z</dcterms:modified>
</cp:coreProperties>
</file>