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" sheetId="1" r:id="rId4"/>
    <sheet state="visible" name="Annual" sheetId="2" r:id="rId5"/>
    <sheet state="visible" name="Start Up" sheetId="3" r:id="rId6"/>
    <sheet state="visible" name="Initial Marketing Expense" sheetId="4" r:id="rId7"/>
    <sheet state="visible" name="Break Even Analysis" sheetId="5" r:id="rId8"/>
    <sheet state="visible" name="Net Present Value" sheetId="6" r:id="rId9"/>
    <sheet state="visible" name="Amortization" sheetId="7" r:id="rId10"/>
    <sheet state="visible" name="Sources " sheetId="8" r:id="rId11"/>
  </sheets>
  <definedNames>
    <definedName name="TableFin1">#REF!</definedName>
    <definedName name="Results">#REF!</definedName>
    <definedName name="BusSys2">#REF!</definedName>
    <definedName name="AR">#REF!</definedName>
    <definedName name="Assump0">#REF!</definedName>
    <definedName name="Assump1">#REF!</definedName>
    <definedName name="Chart">#REF!</definedName>
    <definedName name="TableDP">#REF!</definedName>
    <definedName name="GraphCF">#REF!</definedName>
    <definedName name="Assump2">#REF!</definedName>
    <definedName name="Graph0">#REF!</definedName>
    <definedName name="Inven">#REF!</definedName>
    <definedName name="TableRes1">#REF!</definedName>
    <definedName name="TablePAT">#REF!</definedName>
    <definedName name="TablePAT1">#REF!</definedName>
    <definedName name="TableCS">#REF!</definedName>
    <definedName name="PandL">#REF!</definedName>
    <definedName name="StateBS">#REF!</definedName>
    <definedName name="BusSys0">#REF!</definedName>
    <definedName name="Diagram">#REF!</definedName>
    <definedName name="TableCF">#REF!</definedName>
    <definedName name="StateCF">#REF!</definedName>
    <definedName name="TablePV">#REF!</definedName>
    <definedName name="TableB">#REF!</definedName>
    <definedName name="TableCS1">#REF!</definedName>
    <definedName name="ALiab">#REF!</definedName>
    <definedName name="TableCF1">#REF!</definedName>
    <definedName name="StateIS">#REF!</definedName>
    <definedName name="CashFlow">#REF!</definedName>
    <definedName name="TableBS">#REF!</definedName>
    <definedName name="TableFin">#REF!</definedName>
    <definedName name="GraphSust">#REF!</definedName>
    <definedName name="TablePref">#REF!</definedName>
    <definedName name="Budget">#REF!</definedName>
    <definedName name="GraphBE">#REF!</definedName>
    <definedName name="TableRes">#REF!</definedName>
    <definedName name="Graph">#REF!</definedName>
    <definedName name="IS">#REF!</definedName>
    <definedName name="ProBS">#REF!</definedName>
    <definedName name="TableZero">#REF!</definedName>
    <definedName name="Sample">#REF!</definedName>
    <definedName name="GraphPV">#REF!</definedName>
    <definedName name="BusSys">#REF!</definedName>
    <definedName name="TableOrig">#REF!</definedName>
    <definedName name="Collect">#REF!</definedName>
    <definedName name="Assump">#REF!</definedName>
    <definedName name="Graph11">#REF!</definedName>
    <definedName name="TableAssump">#REF!</definedName>
    <definedName name="TableEPS">#REF!</definedName>
    <definedName name="Tips">#REF!</definedName>
    <definedName name="TableDP1">#REF!</definedName>
    <definedName name="ProIS">#REF!</definedName>
    <definedName name="GraphRead">#REF!</definedName>
    <definedName name="Tablec">#REF!</definedName>
  </definedNames>
  <calcPr/>
  <extLst>
    <ext uri="GoogleSheetsCustomDataVersion1">
      <go:sheetsCustomData xmlns:go="http://customooxmlschemas.google.com/" r:id="rId12" roundtripDataSignature="AMtx7mgpWGxRkXDYSvnb3kx2wVn+r51Bz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3">
      <text>
        <t xml:space="preserve">======
ID#AAAAKoPDqVU
    (2020-11-04 16:24:04)
Enter annual depreciation here on a pretax basis; example assumes constant for all years.  
User should feel free to override depreciation figures to reflect alternative method (e.g. accelerated).</t>
      </text>
    </comment>
    <comment authorId="0" ref="C25">
      <text>
        <t xml:space="preserve">======
ID#AAAAKoPDqVY
    (2020-11-04 16:24:04)
Enter present value rate here as decimal.</t>
      </text>
    </comment>
    <comment authorId="0" ref="G22">
      <text>
        <t xml:space="preserve">======
ID#AAAAKoPDqVQ
    (2020-11-04 16:24:04)
before tax basis</t>
      </text>
    </comment>
    <comment authorId="0" ref="H22">
      <text>
        <t xml:space="preserve">======
ID#AAAAKoPDqVA
    (2020-11-04 16:24:04)
before tax basis</t>
      </text>
    </comment>
    <comment authorId="0" ref="B16">
      <text>
        <t xml:space="preserve">======
ID#AAAAKoPDqU8
Erik Molander    (2020-11-04 16:24:04)
Use the alternative method of calcualting DIO and DPO by using Revenue and not Cost of Goods Sold</t>
      </text>
    </comment>
    <comment authorId="0" ref="I23">
      <text>
        <t xml:space="preserve">======
ID#AAAAKoPDqU0
    (2020-11-04 16:24:04)
Enter annual depreciation here on a pretax basis; example assumes constant for all years.  
User should feel free to override depreciation figures to reflect alternative method (e.g. accelerated).</t>
      </text>
    </comment>
    <comment authorId="0" ref="E30">
      <text>
        <t xml:space="preserve">======
ID#AAAAKoPDqUw
    (2020-11-04 16:24:04)
Depreciation shield = Aftertax benefits from depreciation = (Annual depreciation x tax rate).</t>
      </text>
    </comment>
    <comment authorId="0" ref="H23">
      <text>
        <t xml:space="preserve">======
ID#AAAAKoPDqUs
    (2020-11-04 16:24:04)
Enter annual depreciation here on a pretax basis; example assumes constant for all years.  
User should feel free to override depreciation figures to reflect alternative method (e.g. accelerated).</t>
      </text>
    </comment>
    <comment authorId="0" ref="E23">
      <text>
        <t xml:space="preserve">======
ID#AAAAKoPDqUo
    (2020-11-04 16:24:04)
Enter annual depreciation here on a pretax basis; example assumes constant for all years.  
User should feel free to override depreciation figures to reflect alternative method (e.g. accelerated).</t>
      </text>
    </comment>
    <comment authorId="0" ref="E22">
      <text>
        <t xml:space="preserve">======
ID#AAAAKoPDqUk
    (2020-11-04 16:24:04)
before tax basis</t>
      </text>
    </comment>
    <comment authorId="0" ref="I22">
      <text>
        <t xml:space="preserve">======
ID#AAAAKoPDqUc
    (2020-11-04 16:24:04)
before tax basis</t>
      </text>
    </comment>
    <comment authorId="0" ref="K13">
      <text>
        <t xml:space="preserve">======
ID#AAAAKoPDqUY
    (2020-11-04 16:24:04)
Example has a project life of only 7 years.  Template provides for data entry for project life up to 15 years.</t>
      </text>
    </comment>
    <comment authorId="0" ref="D13">
      <text>
        <t xml:space="preserve">======
ID#AAAAKoPDqUU
    (2020-11-04 16:24:04)
Time of initial outlay.</t>
      </text>
    </comment>
    <comment authorId="0" ref="G23">
      <text>
        <t xml:space="preserve">======
ID#AAAAKoPDqUQ
    (2020-11-04 16:24:04)
Enter annual depreciation here on a pretax basis; example assumes constant for all years.  
User should feel free to override depreciation figures to reflect alternative method (e.g. accelerated).</t>
      </text>
    </comment>
    <comment authorId="0" ref="B22">
      <text>
        <t xml:space="preserve">======
ID#AAAAKoPDqUI
    (2020-11-04 16:24:04)
before tax basis</t>
      </text>
    </comment>
    <comment authorId="0" ref="F22">
      <text>
        <t xml:space="preserve">======
ID#AAAAKoPDqUM
    (2020-11-04 16:24:04)
before tax basis</t>
      </text>
    </comment>
  </commentList>
  <extLst>
    <ext uri="GoogleSheetsCustomDataVersion1">
      <go:sheetsCustomData xmlns:go="http://customooxmlschemas.google.com/" r:id="rId1" roundtripDataSignature="AMtx7mhIaKYZYJJcdHJU1uqsQp1MafF8z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======
ID#AAAAKoPDqVM
    (2020-11-04 16:24:04)
Use these fields to simulate paying additional principal for any particular month.</t>
      </text>
    </comment>
    <comment authorId="0" ref="A7">
      <text>
        <t xml:space="preserve">======
ID#AAAAKoPDqVE
    (2020-11-04 16:24:04)
What you'll pay on a normal month, figuring in the constant extra principal (if any)</t>
      </text>
    </comment>
    <comment authorId="0" ref="A6">
      <text>
        <t xml:space="preserve">======
ID#AAAAKoPDqVI
    (2020-11-04 16:24:04)
What the lender bills you every month</t>
      </text>
    </comment>
    <comment authorId="0" ref="A8">
      <text>
        <t xml:space="preserve">======
ID#AAAAKoPDqU4
    (2020-11-04 16:24:04)
The total amount of interest you'll pay over the life of the loan</t>
      </text>
    </comment>
    <comment authorId="0" ref="A3">
      <text>
        <t xml:space="preserve">======
ID#AAAAKoPDqUg
    (2020-11-04 16:24:04)
The amount of money borrowed</t>
      </text>
    </comment>
    <comment authorId="0" ref="A4">
      <text>
        <t xml:space="preserve">======
ID#AAAAKoPDqUE
    (2020-11-04 16:24:04)
Use this field to simulate paying a constant amount of additional principal every month.</t>
      </text>
    </comment>
  </commentList>
  <extLst>
    <ext uri="GoogleSheetsCustomDataVersion1">
      <go:sheetsCustomData xmlns:go="http://customooxmlschemas.google.com/" r:id="rId1" roundtripDataSignature="AMtx7mhhFwxHB7NquxgTzO1zrUHHK2XeRw=="/>
    </ext>
  </extLst>
</comments>
</file>

<file path=xl/sharedStrings.xml><?xml version="1.0" encoding="utf-8"?>
<sst xmlns="http://schemas.openxmlformats.org/spreadsheetml/2006/main" count="557" uniqueCount="361">
  <si>
    <t>Blue numbers are simply sums of the numbers above them.</t>
  </si>
  <si>
    <t>Green numbers are calculated, based upon results elsewhere in the statements.</t>
  </si>
  <si>
    <t>Fix Var</t>
  </si>
  <si>
    <t>Key Assumptions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</si>
  <si>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</si>
  <si>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</si>
  <si>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</si>
  <si>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</si>
  <si>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</si>
  <si>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</si>
  <si>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</si>
  <si>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</si>
  <si>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</si>
  <si>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</si>
  <si>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</si>
  <si>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</si>
  <si>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Year</t>
  </si>
  <si>
    <t>Units sold</t>
  </si>
  <si>
    <t>Avg Selling Price</t>
  </si>
  <si>
    <t>Material Cost per unit</t>
  </si>
  <si>
    <t>Direct Labor cost per unit</t>
  </si>
  <si>
    <t>Variable Overhead per unit</t>
  </si>
  <si>
    <t xml:space="preserve">Depreciation </t>
  </si>
  <si>
    <t>Other Fixed Overheads</t>
  </si>
  <si>
    <t>Days Sales Outstanding</t>
  </si>
  <si>
    <t>Inventory Days</t>
  </si>
  <si>
    <t>Days Payable Outstanding</t>
  </si>
  <si>
    <t>Taxes Payable</t>
  </si>
  <si>
    <t>Depreciation Period (years)</t>
  </si>
  <si>
    <t>Tax Rate</t>
  </si>
  <si>
    <t>Interest Rate</t>
  </si>
  <si>
    <t>Employee Headcount</t>
  </si>
  <si>
    <t>Income Statement:</t>
  </si>
  <si>
    <t>Sales</t>
  </si>
  <si>
    <t>v</t>
  </si>
  <si>
    <t>CGS:</t>
  </si>
  <si>
    <t>Material</t>
  </si>
  <si>
    <t>Direct Labor</t>
  </si>
  <si>
    <t>V</t>
  </si>
  <si>
    <t>Variable Overhead</t>
  </si>
  <si>
    <t>Fixed Overhead</t>
  </si>
  <si>
    <t>F</t>
  </si>
  <si>
    <t>Total CGS</t>
  </si>
  <si>
    <t>Gross Profit</t>
  </si>
  <si>
    <t>Gross Profit Margin</t>
  </si>
  <si>
    <t>Sales &amp; Marketing</t>
  </si>
  <si>
    <t>G&amp;A</t>
  </si>
  <si>
    <t>(EBIT) Operating Profit</t>
  </si>
  <si>
    <t>Interest Expense</t>
  </si>
  <si>
    <t>Pretax Income</t>
  </si>
  <si>
    <t>Cumulative Earnings</t>
  </si>
  <si>
    <t>Taxable Earnings</t>
  </si>
  <si>
    <t>Tax Provision</t>
  </si>
  <si>
    <t>Net Income</t>
  </si>
  <si>
    <t>Balance Sheet</t>
  </si>
  <si>
    <t>Cash</t>
  </si>
  <si>
    <t>A/R</t>
  </si>
  <si>
    <t>Inventory</t>
  </si>
  <si>
    <t>Other C/A</t>
  </si>
  <si>
    <t>Total C/A</t>
  </si>
  <si>
    <t>Fixed Assets</t>
  </si>
  <si>
    <t>Acc Depreciation</t>
  </si>
  <si>
    <t>Net Fixed Assets</t>
  </si>
  <si>
    <t>Total Assets</t>
  </si>
  <si>
    <t>Liabilities &amp; Equity:</t>
  </si>
  <si>
    <t>Notes Payable</t>
  </si>
  <si>
    <t>Current Portion of LTD</t>
  </si>
  <si>
    <t>Accounts Payable</t>
  </si>
  <si>
    <t>Accrued Expenses</t>
  </si>
  <si>
    <t>Accrued Taxes</t>
  </si>
  <si>
    <t>Total C/L</t>
  </si>
  <si>
    <t>LTD</t>
  </si>
  <si>
    <t>S/E:</t>
  </si>
  <si>
    <t>Preferred Stock</t>
  </si>
  <si>
    <t>Capital Stock</t>
  </si>
  <si>
    <t>Current Year Dividends</t>
  </si>
  <si>
    <t>Retained Earnings</t>
  </si>
  <si>
    <t>Total S/E</t>
  </si>
  <si>
    <t>Total Liab &amp; S/E</t>
  </si>
  <si>
    <t>Cash Flow:</t>
  </si>
  <si>
    <t>Depreciation</t>
  </si>
  <si>
    <t>Change in W/C:</t>
  </si>
  <si>
    <t>Prepaid Exp</t>
  </si>
  <si>
    <t>A/P</t>
  </si>
  <si>
    <t>Accr Liabilities</t>
  </si>
  <si>
    <t>Accr Taxes</t>
  </si>
  <si>
    <t>Cash Flow from Oper</t>
  </si>
  <si>
    <t>Financing /Investing Act.</t>
  </si>
  <si>
    <t>Fixed Asset Purchases</t>
  </si>
  <si>
    <t>Sale of Preferred Stock</t>
  </si>
  <si>
    <t>Sale of Stock</t>
  </si>
  <si>
    <t>Dividends Paid</t>
  </si>
  <si>
    <t>Bank Borrow (Repay)</t>
  </si>
  <si>
    <t>Net Financing/Inv Act.</t>
  </si>
  <si>
    <t>Cash Flow</t>
  </si>
  <si>
    <t>Cash Beginning</t>
  </si>
  <si>
    <t>Cash Ending</t>
  </si>
  <si>
    <t>Notes:</t>
  </si>
  <si>
    <t>-Assume no units sold Jan-June, limited quantity launch date in July</t>
  </si>
  <si>
    <t>-Free units distributed to tech promoters, reviewers in March and April</t>
  </si>
  <si>
    <t>-Formlabs Kickstarter: Broke $100,000 target in 2.5 hours, hit $1,000,000 in 2.5 days</t>
  </si>
  <si>
    <t>-Maintenance includes: updating app, server and website maintenance</t>
  </si>
  <si>
    <t>-Marketing: Youtube = $10/day + other social media</t>
  </si>
  <si>
    <t>-Aggressive marketing before launch, and during holiday season</t>
  </si>
  <si>
    <t>-Kansas based company, management team starts off making state minimum wage ($7.25/hr)</t>
  </si>
  <si>
    <t>-Assume 25,000 warehouse acquired at $0.35/day for rent and utilities</t>
  </si>
  <si>
    <t>-Kansas 4% flat tax rate plus 3% surtax on income over $50,000</t>
  </si>
  <si>
    <t>-Each printer comes with 1kg of ABS Filament which usually costs $17/kg since we are selling a limited quantity we can buy exact number of filament for the first year</t>
  </si>
  <si>
    <t>-Filament refill subscription service not in effect first year</t>
  </si>
  <si>
    <t>-team of 3 R&amp;D/Engineering paid at $3000 per month</t>
  </si>
  <si>
    <t>- each printer costs $400 to manufacture</t>
  </si>
  <si>
    <t>-assume app takes 60k to develop (goes into R&amp;D), rule of thumb: about 20% of developing cost is spent on maintenance per year</t>
  </si>
  <si>
    <t>Assume it costs $30,000 to obtain everything necessary to manufacture our product, goes into R&amp;D</t>
  </si>
  <si>
    <t>SaniLamp</t>
  </si>
  <si>
    <t>Year 1</t>
  </si>
  <si>
    <t>Year 2</t>
  </si>
  <si>
    <t>Year 3</t>
  </si>
  <si>
    <t>Year 4</t>
  </si>
  <si>
    <t>Year 5</t>
  </si>
  <si>
    <t xml:space="preserve">Direct labor </t>
  </si>
  <si>
    <t xml:space="preserve">Variable Overhead </t>
  </si>
  <si>
    <t>Gross Margin</t>
  </si>
  <si>
    <t>Notes payable</t>
  </si>
  <si>
    <t>Current Portion LTD</t>
  </si>
  <si>
    <t>Total Equity</t>
  </si>
  <si>
    <t>Dividends</t>
  </si>
  <si>
    <t>Start-Up Capital Estimate</t>
  </si>
  <si>
    <t>[Company Name]</t>
  </si>
  <si>
    <t>[Date]</t>
  </si>
  <si>
    <t>Monthly</t>
  </si>
  <si>
    <t>Cash Needed</t>
  </si>
  <si>
    <t xml:space="preserve">% of </t>
  </si>
  <si>
    <t>Expenses</t>
  </si>
  <si>
    <t>to Start</t>
  </si>
  <si>
    <t>Total</t>
  </si>
  <si>
    <t>Source of Estimate</t>
  </si>
  <si>
    <t>MONTHLY COSTS</t>
  </si>
  <si>
    <t xml:space="preserve">Salaries of Provider(s) </t>
  </si>
  <si>
    <t>Benefits</t>
  </si>
  <si>
    <t>Salaries of Other Support</t>
  </si>
  <si>
    <t>Other Benefits</t>
  </si>
  <si>
    <t>Rent</t>
  </si>
  <si>
    <t>Advertising</t>
  </si>
  <si>
    <t>Delivery expense</t>
  </si>
  <si>
    <t>Supplies</t>
  </si>
  <si>
    <t>Telephone</t>
  </si>
  <si>
    <t>Other utilities</t>
  </si>
  <si>
    <t>Insurance</t>
  </si>
  <si>
    <t>Maintenance</t>
  </si>
  <si>
    <t>Legal and other professional fees</t>
  </si>
  <si>
    <t>Miscellaneous</t>
  </si>
  <si>
    <t xml:space="preserve">     Subtotal</t>
  </si>
  <si>
    <t>ONE-TIME COSTS</t>
  </si>
  <si>
    <t>Equipment</t>
  </si>
  <si>
    <t>Computer / IT</t>
  </si>
  <si>
    <t>Construction</t>
  </si>
  <si>
    <t>Installation charges</t>
  </si>
  <si>
    <t>New inventory</t>
  </si>
  <si>
    <t xml:space="preserve">Utility deposits </t>
  </si>
  <si>
    <t>First month's rent</t>
  </si>
  <si>
    <t>Licenses and permits</t>
  </si>
  <si>
    <t>Advertising and Awareness</t>
  </si>
  <si>
    <t>Public Relations</t>
  </si>
  <si>
    <t>Promotion expense</t>
  </si>
  <si>
    <t>Brochures / flyers</t>
  </si>
  <si>
    <t>Corporate image logo, letterhead etc.</t>
  </si>
  <si>
    <t>Contingency</t>
  </si>
  <si>
    <t>Other</t>
  </si>
  <si>
    <t>TOTAL ESTIMATED START-UP CAPITAL</t>
  </si>
  <si>
    <t>Start-Up Capital Sources</t>
  </si>
  <si>
    <t>Amount</t>
  </si>
  <si>
    <t>Available</t>
  </si>
  <si>
    <t>Source of Funding</t>
  </si>
  <si>
    <t>Founders</t>
  </si>
  <si>
    <t>Founders Savings</t>
  </si>
  <si>
    <t>Loans against Life Insurance</t>
  </si>
  <si>
    <t>Loans against 401K</t>
  </si>
  <si>
    <t>Second Mortgages</t>
  </si>
  <si>
    <t>Sale of Assets</t>
  </si>
  <si>
    <t>Trade Credit</t>
  </si>
  <si>
    <t>Suppliers</t>
  </si>
  <si>
    <t>Landlord</t>
  </si>
  <si>
    <t>Credit Guarantee</t>
  </si>
  <si>
    <t>In Kind Service Swaps</t>
  </si>
  <si>
    <t>Government</t>
  </si>
  <si>
    <t>SBA loans</t>
  </si>
  <si>
    <t>SBA 504 Loans</t>
  </si>
  <si>
    <t>SBIR grants</t>
  </si>
  <si>
    <t>Hub Zone Grants</t>
  </si>
  <si>
    <t>STTR</t>
  </si>
  <si>
    <t>Small Business set asides</t>
  </si>
  <si>
    <t>Customers</t>
  </si>
  <si>
    <t>Advances</t>
  </si>
  <si>
    <t>Joint R&amp;D</t>
  </si>
  <si>
    <t>Credit Guarantees</t>
  </si>
  <si>
    <t>Debt</t>
  </si>
  <si>
    <t>Leases / Equipment Loans</t>
  </si>
  <si>
    <t>Equity</t>
  </si>
  <si>
    <t>Convertible Preferred</t>
  </si>
  <si>
    <t>Equity in Lieu of Salary</t>
  </si>
  <si>
    <t>Common Stock</t>
  </si>
  <si>
    <t>Total Estimated Funding</t>
  </si>
  <si>
    <t xml:space="preserve">Customer Brand Journey </t>
  </si>
  <si>
    <t>Customers never bought a product they weren't aware existed.</t>
  </si>
  <si>
    <t>Stage</t>
  </si>
  <si>
    <t>Awareness</t>
  </si>
  <si>
    <t>Consideration</t>
  </si>
  <si>
    <t>Trial</t>
  </si>
  <si>
    <t>Purchase</t>
  </si>
  <si>
    <t>Ownership</t>
  </si>
  <si>
    <t>Customer's question</t>
  </si>
  <si>
    <t>Is there a problem?</t>
  </si>
  <si>
    <t>Is this my problem?</t>
  </si>
  <si>
    <t>Can I trust you?</t>
  </si>
  <si>
    <t>Did I do the right thing?</t>
  </si>
  <si>
    <t>What else do I need to enjoy this?</t>
  </si>
  <si>
    <t>Objective</t>
  </si>
  <si>
    <t>Build customer awareness of the problem</t>
  </si>
  <si>
    <t>Have the customer discern that it is his problem</t>
  </si>
  <si>
    <t>Minimize the risk that the customer feels in purchase</t>
  </si>
  <si>
    <t>Minimize the compromises the customer has to make</t>
  </si>
  <si>
    <t>Increase the customers re-purchase rate</t>
  </si>
  <si>
    <t>Make conscious the felt but unstated needs</t>
  </si>
  <si>
    <t>Have the customer project himself into your solution</t>
  </si>
  <si>
    <t>Reduce the level of buyer's remourse</t>
  </si>
  <si>
    <t>Build awareness of my company</t>
  </si>
  <si>
    <t>Tools</t>
  </si>
  <si>
    <t>Brochures</t>
  </si>
  <si>
    <t>Case Studies</t>
  </si>
  <si>
    <t>Free services</t>
  </si>
  <si>
    <t>e newsletters</t>
  </si>
  <si>
    <t>Signage</t>
  </si>
  <si>
    <t>3rd Party Endorsements</t>
  </si>
  <si>
    <t>Discounts</t>
  </si>
  <si>
    <t>After market offers</t>
  </si>
  <si>
    <t>Owner's clubs</t>
  </si>
  <si>
    <t>Business Cards</t>
  </si>
  <si>
    <t>Public Speaking</t>
  </si>
  <si>
    <t>Word of Mouth</t>
  </si>
  <si>
    <t>Exclusive offers</t>
  </si>
  <si>
    <t>References</t>
  </si>
  <si>
    <t>Web Site</t>
  </si>
  <si>
    <t>Measures</t>
  </si>
  <si>
    <t>Awareness %</t>
  </si>
  <si>
    <t>Inquiries Rate</t>
  </si>
  <si>
    <t>Proposal Rate</t>
  </si>
  <si>
    <t>Close Rate</t>
  </si>
  <si>
    <t>Repurchase Rate</t>
  </si>
  <si>
    <t>Costs</t>
  </si>
  <si>
    <t xml:space="preserve"> Newspaper Advertising</t>
  </si>
  <si>
    <t xml:space="preserve"> Magazines</t>
  </si>
  <si>
    <t xml:space="preserve"> Direct Mail</t>
  </si>
  <si>
    <t xml:space="preserve"> Public Relations</t>
  </si>
  <si>
    <t xml:space="preserve"> Web Key Words</t>
  </si>
  <si>
    <t xml:space="preserve"> Signage</t>
  </si>
  <si>
    <t xml:space="preserve"> Web Site</t>
  </si>
  <si>
    <t xml:space="preserve"> Web Advertising</t>
  </si>
  <si>
    <t xml:space="preserve"> Radio Spots</t>
  </si>
  <si>
    <t xml:space="preserve"> e-Newsletter</t>
  </si>
  <si>
    <t xml:space="preserve"> Discounts &amp; Rebates</t>
  </si>
  <si>
    <t xml:space="preserve"> Other media 1</t>
  </si>
  <si>
    <t xml:space="preserve"> Other media 2</t>
  </si>
  <si>
    <t>Break-Even Model: Key Variables</t>
  </si>
  <si>
    <t xml:space="preserve">     Key Assumptions</t>
  </si>
  <si>
    <t>Profit and Losses as a Function of Volume Changes</t>
  </si>
  <si>
    <t>Chart Data</t>
  </si>
  <si>
    <t>Operating Break-Even Chart</t>
  </si>
  <si>
    <t>Volume</t>
  </si>
  <si>
    <t>Revenue</t>
  </si>
  <si>
    <t>Variable Costs</t>
  </si>
  <si>
    <t>Fixed Costs</t>
  </si>
  <si>
    <t>Total Costs</t>
  </si>
  <si>
    <t>What IF?</t>
  </si>
  <si>
    <t>Contribution per unit</t>
  </si>
  <si>
    <t>Revenue per unit</t>
  </si>
  <si>
    <t>Variable costs</t>
  </si>
  <si>
    <t>Fixed costs</t>
  </si>
  <si>
    <t>Break-even volume</t>
  </si>
  <si>
    <t>Profits and losses as a function of volume changes of</t>
  </si>
  <si>
    <t>Profits and losses as a function of Selling Price</t>
  </si>
  <si>
    <t>Profits and Losses as a Function of Volume Changes of</t>
  </si>
  <si>
    <t>Profits and Losses as a Function of Price Changes of</t>
  </si>
  <si>
    <t xml:space="preserve">Increase </t>
  </si>
  <si>
    <t>Profits</t>
  </si>
  <si>
    <t>Increase</t>
  </si>
  <si>
    <t>Sales Price</t>
  </si>
  <si>
    <t>Decrease</t>
  </si>
  <si>
    <t>Losses</t>
  </si>
  <si>
    <t>Present Value Model: Calculating Cash Flows and Key Measures</t>
  </si>
  <si>
    <t>Operations:</t>
  </si>
  <si>
    <t>Price (per unit)</t>
  </si>
  <si>
    <t>Volume (units)</t>
  </si>
  <si>
    <t>Variable costs  per unit</t>
  </si>
  <si>
    <t>Cumulative Working Capital</t>
  </si>
  <si>
    <t>TOTALS</t>
  </si>
  <si>
    <t>Net investment outlay &amp; recovery</t>
  </si>
  <si>
    <t>Accounts Receivable DSO</t>
  </si>
  <si>
    <t>Inventory DIO</t>
  </si>
  <si>
    <t>Accounts Payable DPO</t>
  </si>
  <si>
    <t>Sales Volume</t>
  </si>
  <si>
    <t>Variable Cost</t>
  </si>
  <si>
    <t>Fixed Cost</t>
  </si>
  <si>
    <t>Annual benefits (EBITDA)</t>
  </si>
  <si>
    <t>Tax rate</t>
  </si>
  <si>
    <t>PV Factor</t>
  </si>
  <si>
    <t>After tax benefits</t>
  </si>
  <si>
    <t>Depreciation tax shield</t>
  </si>
  <si>
    <t>Change in Working Capital</t>
  </si>
  <si>
    <t>Total project cash flows (incl. recovery)</t>
  </si>
  <si>
    <t>Present value of investment cash flows</t>
  </si>
  <si>
    <t>Present value of operating cash flows</t>
  </si>
  <si>
    <t>Present value of total cash flows</t>
  </si>
  <si>
    <t>Cumulative present value</t>
  </si>
  <si>
    <t>Internal rate of return</t>
  </si>
  <si>
    <t>Year *</t>
  </si>
  <si>
    <t>Months</t>
  </si>
  <si>
    <t>(no more than 360)</t>
  </si>
  <si>
    <t>Annual Interest Rate</t>
  </si>
  <si>
    <t>Principal</t>
  </si>
  <si>
    <t>Extra Principal/Month</t>
  </si>
  <si>
    <t>Monthly Payment (Required)</t>
  </si>
  <si>
    <t>Monthly Payment (Actual)</t>
  </si>
  <si>
    <t>Year End Summary</t>
  </si>
  <si>
    <t>Monthly Spread of payments</t>
  </si>
  <si>
    <t>Total Interest</t>
  </si>
  <si>
    <t>Principal Balance</t>
  </si>
  <si>
    <t>Interest</t>
  </si>
  <si>
    <t>Month</t>
  </si>
  <si>
    <t>Extra Principal</t>
  </si>
  <si>
    <t>Year</t>
  </si>
  <si>
    <t>Current Portion</t>
  </si>
  <si>
    <t>Total Outstanding</t>
  </si>
  <si>
    <t xml:space="preserve">UNITS PRODUCED ASSUMPTIONS </t>
  </si>
  <si>
    <t>COMPETITION &amp; PARTNERSHIP INFO</t>
  </si>
  <si>
    <t>POSSIBLE CURRENT DRIVERS</t>
  </si>
  <si>
    <t>LYFT AND P&amp;G CLEANING PARTNERSHIP</t>
  </si>
  <si>
    <t>https://therideshareguy.com/how-many-uber-drivers-are-there/</t>
  </si>
  <si>
    <t>https://news.pg.com/news-releases/news-details/2020/PG-Professional-Partners-With-Lyft-to-Develop-New-Cleaning-Guide-for-Drivers/default.aspx#:~:text=P%26G%20Professional%20Partners%20With%20Lyft%20to%20Develop%20New%20Cleaning%20Guide%20for%20Drivers,-October%201%2C%202020&amp;text=CINCINNATI%2D%2D(BUSINESS%20WIRE)%2D%2D,of%20Lyft's%20Health%20Safety%20Program</t>
  </si>
  <si>
    <t>~4 Million Drivers World Wide, ~1 million in the US from Uber</t>
  </si>
  <si>
    <t>PROJECTED US DRIVERS</t>
  </si>
  <si>
    <t>UBER AND CLOROX PARTNERSHIP</t>
  </si>
  <si>
    <t>https://www.uber.com/newsroom/our-commitment-to-clean/#:~:text=Over%20the%20past%20few%20months,new%20partnerships%20focused%20on%20cleanliness.&amp;text=Starting%20in%20July%2C%20Uber%20is,Chicago%2C%20and%20New%20York%20City.</t>
  </si>
  <si>
    <t>People Concerned about COVID-19 Statistics</t>
  </si>
  <si>
    <t>Celing/Factory Installed Wellness POD - $NOT ON MKT, NO PRICING</t>
  </si>
  <si>
    <t>https://www.freep.com/story/money/cars/mark-phelan/2020/05/16/here-ways-your-next-car-could-virus-proof/5188959002/</t>
  </si>
  <si>
    <t>https://www.yfai.com/sites/yfai_corporate/files/20190904_yf_wellness_pod_en.pdf</t>
  </si>
  <si>
    <t>80% of drivers would pay for additinal cleaning</t>
  </si>
  <si>
    <t>Cup Holder Purifier - ~$100</t>
  </si>
  <si>
    <t>http://www.us.jvc.com/car/accessories/ks_ga100/</t>
  </si>
  <si>
    <t>LegalZoom</t>
  </si>
  <si>
    <t>https://www.legalzoom.com/attorneys/legal-plans/business.html</t>
  </si>
  <si>
    <t>Selection of State to incorporate in</t>
  </si>
  <si>
    <t>https://wallethub.com/edu/best-states-to-start-a-business/36934</t>
  </si>
  <si>
    <t>Projected Manufacturing Cost in India/ unit</t>
  </si>
  <si>
    <r>
      <t xml:space="preserve">Testimonial: from </t>
    </r>
    <r>
      <rPr>
        <color rgb="FF1155CC"/>
        <u/>
      </rPr>
      <t>Omkar Bhatt for a minimum of 10k unit in one production</t>
    </r>
  </si>
  <si>
    <t>Rs.(950-1000) (inr)</t>
  </si>
  <si>
    <t>https://www.forbes.com/sites/andrewdepietro/2019/11/13/best-worst-states-entrepreneurs-2020/?sh=10bb761446a6</t>
  </si>
  <si>
    <t>REGUS Office Cost/person in austin</t>
  </si>
  <si>
    <t>https://www.regus.com/en-us/united-states/texas/austin</t>
  </si>
  <si>
    <t>Legal Costs of LLC</t>
  </si>
  <si>
    <t>https://www.legalzoom.com/articles/cost-of-forming-an-llc-in-texas#:~:text=The%20basic%20total%20cost%20of,by%20between%20%2485%20and%20%24535.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</si>
</sst>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_(\$* #,##0.00_);_(\$* \(#,##0.00\);_(\$* \-??_);_(@_)"/>
    <numFmt numFmtId="165" formatCode="_(\$* #,##0_);_(\$* \(#,##0\);_(\$* \-??_);_(@_)"/>
    <numFmt numFmtId="166" formatCode="mm/dd/yy"/>
    <numFmt numFmtId="167" formatCode="0.0%"/>
    <numFmt numFmtId="168" formatCode="mmm\ d&quot;, &quot;yyyy"/>
    <numFmt numFmtId="169" formatCode="\$#,##0_);[Red]&quot;($&quot;#,##0\)"/>
    <numFmt numFmtId="170" formatCode="\$#,##0_);&quot;($&quot;#,##0\)"/>
    <numFmt numFmtId="171" formatCode="_(* #,##0_);_(* \(#,##0\);_(* \-??_);_(@_)"/>
    <numFmt numFmtId="172" formatCode="_-* #,##0_-;\-* #,##0_-;_-* \-??_-;_-@"/>
    <numFmt numFmtId="173" formatCode="[$$-409]#,##0.00;[Red]\-[$$-409]#,##0.00"/>
    <numFmt numFmtId="174" formatCode="#,##0_ ;\-#,##0\ "/>
    <numFmt numFmtId="175" formatCode="_(* #,##0.000_);_(* \(#,##0.000\);_(* \-??_);_(@_)"/>
    <numFmt numFmtId="176" formatCode="_(* #,##0.00_);_(* \(#,##0.00\);_(* \-??_);_(@_)"/>
    <numFmt numFmtId="177" formatCode="_-* #,##0\ _$_-;\-* #,##0\ _$_-;_-* \-??\ _$_-;_-@"/>
    <numFmt numFmtId="178" formatCode="[$$-409]#,##0;[Red]\-[$$-409]#,##0"/>
    <numFmt numFmtId="179" formatCode="[$$-409]#,##0;[Red][$$-409]#,##0"/>
    <numFmt numFmtId="180" formatCode="\$#,##0"/>
    <numFmt numFmtId="181" formatCode="&quot;$&quot;#,##0"/>
  </numFmts>
  <fonts count="55">
    <font>
      <sz val="10.0"/>
      <color rgb="FF000000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008000"/>
      <name val="Arial"/>
    </font>
    <font>
      <b/>
      <sz val="10.0"/>
      <color theme="1"/>
      <name val="Arial"/>
    </font>
    <font/>
    <font>
      <sz val="10.0"/>
      <color rgb="FF339966"/>
      <name val="Arial"/>
    </font>
    <font>
      <u/>
      <sz val="10.0"/>
      <color theme="1"/>
      <name val="Arial"/>
    </font>
    <font>
      <b/>
      <sz val="10.0"/>
      <color rgb="FF0000FF"/>
      <name val="Arial"/>
    </font>
    <font>
      <sz val="10.0"/>
      <color rgb="FFFF0000"/>
      <name val="Arial"/>
    </font>
    <font>
      <b/>
      <sz val="10.0"/>
      <color rgb="FF008000"/>
      <name val="Arial"/>
    </font>
    <font>
      <color theme="1"/>
      <name val="Calibri"/>
    </font>
    <font>
      <i/>
      <sz val="10.0"/>
      <color theme="1"/>
      <name val="Arial"/>
    </font>
    <font>
      <b/>
      <sz val="10.0"/>
      <color rgb="FFFF0000"/>
      <name val="Arial"/>
    </font>
    <font>
      <sz val="10.0"/>
      <color rgb="FF7DA647"/>
      <name val="Arial"/>
    </font>
    <font>
      <b/>
      <sz val="10.0"/>
      <color rgb="FF000000"/>
      <name val="Arial"/>
    </font>
    <font>
      <b/>
      <sz val="26.0"/>
      <color rgb="FF000080"/>
      <name val="Arial Black"/>
    </font>
    <font>
      <b/>
      <sz val="14.0"/>
      <color rgb="FF800080"/>
      <name val="Arial Black"/>
    </font>
    <font>
      <b/>
      <sz val="12.0"/>
      <color rgb="FF000080"/>
      <name val="Arial"/>
    </font>
    <font>
      <b/>
      <sz val="10.0"/>
      <color rgb="FFFFFFFF"/>
      <name val="Arial"/>
    </font>
    <font>
      <b/>
      <sz val="10.0"/>
      <color rgb="FF800080"/>
      <name val="Arial"/>
    </font>
    <font>
      <sz val="20.0"/>
      <color theme="1"/>
      <name val="Arial"/>
    </font>
    <font>
      <sz val="14.0"/>
      <color theme="1"/>
      <name val="Arial"/>
    </font>
    <font>
      <b/>
      <sz val="14.0"/>
      <color rgb="FFFFFFFF"/>
      <name val="Arial"/>
    </font>
    <font>
      <sz val="9.0"/>
      <color theme="1"/>
      <name val="Arial"/>
    </font>
    <font>
      <b/>
      <sz val="12.0"/>
      <color theme="1"/>
      <name val="Times New Roman"/>
    </font>
    <font>
      <b/>
      <sz val="9.0"/>
      <color rgb="FFFFFFFF"/>
      <name val="Times New Roman"/>
    </font>
    <font>
      <b/>
      <sz val="12.0"/>
      <color rgb="FFFFFFFF"/>
      <name val="Times New Roman"/>
    </font>
    <font>
      <b/>
      <sz val="10.0"/>
      <color rgb="FFFFFF99"/>
      <name val="Times New Roman"/>
    </font>
    <font>
      <b/>
      <sz val="12.0"/>
      <color theme="1"/>
      <name val="Arial"/>
    </font>
    <font>
      <b/>
      <sz val="10.0"/>
      <color theme="1"/>
      <name val="Times New Roman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sz val="8.0"/>
      <color rgb="FF0000FF"/>
      <name val="Arial"/>
    </font>
    <font>
      <i/>
      <sz val="8.0"/>
      <color rgb="FF0000FF"/>
      <name val="Arial"/>
    </font>
    <font>
      <i/>
      <sz val="9.0"/>
      <color theme="1"/>
      <name val="Arial"/>
    </font>
    <font>
      <b/>
      <i/>
      <sz val="9.0"/>
      <color theme="1"/>
      <name val="Arial"/>
    </font>
    <font>
      <b/>
      <sz val="14.0"/>
      <color rgb="FFFFFFFF"/>
      <name val="Times New Roman"/>
    </font>
    <font>
      <b/>
      <sz val="10.0"/>
      <color rgb="FFFF99CC"/>
      <name val="Times New Roman"/>
    </font>
    <font>
      <b/>
      <sz val="10.0"/>
      <color rgb="FFFFFF00"/>
      <name val="Times New Roman"/>
    </font>
    <font>
      <sz val="9.0"/>
      <color rgb="FF0000FF"/>
      <name val="Arial"/>
    </font>
    <font>
      <i/>
      <sz val="9.0"/>
      <color rgb="FF0000FF"/>
      <name val="Arial"/>
    </font>
    <font>
      <i/>
      <sz val="8.0"/>
      <color rgb="FFFF0000"/>
      <name val="Arial"/>
    </font>
    <font>
      <i/>
      <sz val="8.0"/>
      <color theme="1"/>
      <name val="Arial"/>
    </font>
    <font>
      <b/>
      <sz val="18.0"/>
      <color theme="1"/>
      <name val="Arial"/>
    </font>
    <font>
      <b/>
      <sz val="18.0"/>
      <color rgb="FF993366"/>
      <name val="Arial"/>
    </font>
    <font>
      <sz val="8.0"/>
      <color rgb="FFFFFFFF"/>
      <name val="Arial"/>
    </font>
    <font>
      <i/>
      <sz val="10.0"/>
      <color rgb="FFFFFFFF"/>
      <name val="Arial"/>
    </font>
    <font>
      <b/>
      <sz val="14.0"/>
      <color theme="1"/>
      <name val="Calibri"/>
    </font>
    <font>
      <b/>
      <color theme="1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0C0C0"/>
      </patternFill>
    </fill>
  </fills>
  <borders count="87">
    <border/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333399"/>
      </bottom>
    </border>
    <border>
      <left/>
      <right/>
      <top/>
      <bottom/>
    </border>
    <border>
      <bottom style="thin">
        <color rgb="FF000080"/>
      </bottom>
    </border>
    <border>
      <top style="thin">
        <color rgb="FF000080"/>
      </top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</border>
    <border>
      <left style="thin">
        <color rgb="FF000080"/>
      </left>
      <right style="thin">
        <color rgb="FF000080"/>
      </right>
    </border>
    <border>
      <right style="thin">
        <color rgb="FF000080"/>
      </right>
      <top style="thin">
        <color rgb="FF000080"/>
      </top>
    </border>
    <border>
      <left style="thin">
        <color rgb="FF000080"/>
      </left>
      <right style="thin">
        <color rgb="FF000080"/>
      </right>
      <top style="thin">
        <color rgb="FF000080"/>
      </top>
      <bottom style="medium">
        <color rgb="FF000080"/>
      </bottom>
    </border>
    <border>
      <left style="thin">
        <color rgb="FF00008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 style="hair">
        <color rgb="FF000000"/>
      </left>
      <right style="thin">
        <color rgb="FF000000"/>
      </right>
      <top/>
      <bottom style="hair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 style="medium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/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/>
      <top/>
      <bottom/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0" fillId="0" fontId="1" numFmtId="37" xfId="0" applyAlignment="1" applyFont="1" applyNumberFormat="1">
      <alignment shrinkToFit="0" vertical="bottom" wrapText="0"/>
    </xf>
    <xf borderId="0" fillId="0" fontId="2" numFmtId="37" xfId="0" applyAlignment="1" applyFont="1" applyNumberFormat="1">
      <alignment shrinkToFit="0" vertical="bottom" wrapText="0"/>
    </xf>
    <xf borderId="0" fillId="0" fontId="3" numFmtId="37" xfId="0" applyAlignment="1" applyFont="1" applyNumberFormat="1">
      <alignment shrinkToFit="0" vertical="bottom" wrapText="0"/>
    </xf>
    <xf borderId="0" fillId="0" fontId="4" numFmtId="37" xfId="0" applyAlignment="1" applyFont="1" applyNumberFormat="1">
      <alignment shrinkToFit="0" vertical="bottom" wrapText="0"/>
    </xf>
    <xf borderId="0" fillId="0" fontId="4" numFmtId="37" xfId="0" applyAlignment="1" applyFont="1" applyNumberFormat="1">
      <alignment horizontal="center" shrinkToFit="0" vertical="bottom" wrapText="0"/>
    </xf>
    <xf borderId="0" fillId="0" fontId="2" numFmtId="37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39" xfId="0" applyAlignment="1" applyFont="1" applyNumberFormat="1">
      <alignment readingOrder="0" shrinkToFit="0" vertical="bottom" wrapText="0"/>
    </xf>
    <xf borderId="0" fillId="0" fontId="2" numFmtId="39" xfId="0" applyAlignment="1" applyFont="1" applyNumberFormat="1">
      <alignment shrinkToFit="0" vertical="bottom" wrapText="0"/>
    </xf>
    <xf borderId="0" fillId="0" fontId="2" numFmtId="9" xfId="0" applyAlignment="1" applyFont="1" applyNumberFormat="1">
      <alignment shrinkToFit="0" vertical="bottom" wrapText="0"/>
    </xf>
    <xf borderId="1" fillId="2" fontId="4" numFmtId="37" xfId="0" applyAlignment="1" applyBorder="1" applyFill="1" applyFont="1" applyNumberFormat="1">
      <alignment horizontal="center" shrinkToFit="0" vertical="bottom" wrapText="0"/>
    </xf>
    <xf borderId="2" fillId="0" fontId="5" numFmtId="0" xfId="0" applyBorder="1" applyFont="1"/>
    <xf borderId="3" fillId="0" fontId="4" numFmtId="37" xfId="0" applyAlignment="1" applyBorder="1" applyFont="1" applyNumberFormat="1">
      <alignment horizontal="center" shrinkToFit="0" vertical="bottom" wrapText="0"/>
    </xf>
    <xf borderId="3" fillId="0" fontId="4" numFmtId="37" xfId="0" applyAlignment="1" applyBorder="1" applyFont="1" applyNumberFormat="1">
      <alignment shrinkToFit="0" vertical="bottom" wrapText="0"/>
    </xf>
    <xf borderId="0" fillId="0" fontId="6" numFmtId="37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7" numFmtId="37" xfId="0" applyAlignment="1" applyFont="1" applyNumberFormat="1">
      <alignment shrinkToFit="0" vertical="bottom" wrapText="0"/>
    </xf>
    <xf borderId="0" fillId="0" fontId="8" numFmtId="37" xfId="0" applyAlignment="1" applyFont="1" applyNumberFormat="1">
      <alignment shrinkToFit="0" vertical="bottom" wrapText="0"/>
    </xf>
    <xf borderId="4" fillId="2" fontId="4" numFmtId="37" xfId="0" applyAlignment="1" applyBorder="1" applyFont="1" applyNumberFormat="1">
      <alignment horizontal="center" shrinkToFit="0" vertical="bottom" wrapText="0"/>
    </xf>
    <xf borderId="5" fillId="0" fontId="5" numFmtId="0" xfId="0" applyBorder="1" applyFont="1"/>
    <xf borderId="0" fillId="0" fontId="9" numFmtId="37" xfId="0" applyAlignment="1" applyFont="1" applyNumberFormat="1">
      <alignment shrinkToFit="0" vertical="bottom" wrapText="0"/>
    </xf>
    <xf borderId="0" fillId="0" fontId="10" numFmtId="37" xfId="0" applyAlignment="1" applyFont="1" applyNumberFormat="1">
      <alignment shrinkToFit="0" vertical="bottom" wrapText="0"/>
    </xf>
    <xf borderId="0" fillId="0" fontId="11" numFmtId="0" xfId="0" applyFont="1"/>
    <xf borderId="0" fillId="0" fontId="12" numFmtId="37" xfId="0" applyAlignment="1" applyFont="1" applyNumberFormat="1">
      <alignment shrinkToFit="0" vertical="bottom" wrapText="0"/>
    </xf>
    <xf borderId="0" fillId="0" fontId="13" numFmtId="37" xfId="0" applyAlignment="1" applyFont="1" applyNumberFormat="1">
      <alignment shrinkToFit="0" vertical="bottom" wrapText="0"/>
    </xf>
    <xf borderId="0" fillId="3" fontId="2" numFmtId="37" xfId="0" applyAlignment="1" applyFill="1" applyFont="1" applyNumberFormat="1">
      <alignment readingOrder="0" shrinkToFit="0" vertical="bottom" wrapText="0"/>
    </xf>
    <xf borderId="0" fillId="0" fontId="2" numFmtId="166" xfId="0" applyAlignment="1" applyFont="1" applyNumberFormat="1">
      <alignment shrinkToFit="0" vertical="bottom" wrapText="0"/>
    </xf>
    <xf borderId="6" fillId="2" fontId="4" numFmtId="37" xfId="0" applyAlignment="1" applyBorder="1" applyFont="1" applyNumberFormat="1">
      <alignment horizontal="center" shrinkToFit="0" vertical="bottom" wrapText="0"/>
    </xf>
    <xf borderId="7" fillId="0" fontId="5" numFmtId="0" xfId="0" applyBorder="1" applyFont="1"/>
    <xf borderId="8" fillId="0" fontId="5" numFmtId="0" xfId="0" applyBorder="1" applyFont="1"/>
    <xf borderId="0" fillId="0" fontId="2" numFmtId="4" xfId="0" applyAlignment="1" applyFont="1" applyNumberFormat="1">
      <alignment shrinkToFit="0" vertical="bottom" wrapText="0"/>
    </xf>
    <xf borderId="0" fillId="0" fontId="14" numFmtId="37" xfId="0" applyAlignment="1" applyFont="1" applyNumberFormat="1">
      <alignment shrinkToFit="0" vertical="bottom" wrapText="0"/>
    </xf>
    <xf borderId="0" fillId="0" fontId="2" numFmtId="167" xfId="0" applyAlignment="1" applyFont="1" applyNumberForma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  <xf borderId="0" fillId="0" fontId="0" numFmtId="37" xfId="0" applyAlignment="1" applyFont="1" applyNumberFormat="1">
      <alignment shrinkToFit="0" vertical="bottom" wrapText="0"/>
    </xf>
    <xf borderId="0" fillId="0" fontId="15" numFmtId="37" xfId="0" applyAlignment="1" applyFont="1" applyNumberFormat="1">
      <alignment shrinkToFit="0" vertical="bottom" wrapText="0"/>
    </xf>
    <xf borderId="9" fillId="2" fontId="4" numFmtId="37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0" fillId="0" fontId="16" numFmtId="0" xfId="0" applyAlignment="1" applyBorder="1" applyFont="1">
      <alignment horizontal="center" shrinkToFit="0" vertical="bottom" wrapText="0"/>
    </xf>
    <xf borderId="10" fillId="0" fontId="5" numFmtId="0" xfId="0" applyBorder="1" applyFont="1"/>
    <xf borderId="0" fillId="0" fontId="17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8" numFmtId="168" xfId="0" applyAlignment="1" applyFont="1" applyNumberFormat="1">
      <alignment horizontal="left" shrinkToFit="0" vertical="bottom" wrapText="0"/>
    </xf>
    <xf borderId="0" fillId="0" fontId="2" numFmtId="0" xfId="0" applyAlignment="1" applyFont="1">
      <alignment horizontal="right" shrinkToFit="0" vertical="bottom" wrapText="0"/>
    </xf>
    <xf borderId="11" fillId="4" fontId="19" numFmtId="0" xfId="0" applyAlignment="1" applyBorder="1" applyFill="1" applyFont="1">
      <alignment horizontal="right" shrinkToFit="0" vertical="bottom" wrapText="0"/>
    </xf>
    <xf borderId="11" fillId="4" fontId="19" numFmtId="0" xfId="0" applyAlignment="1" applyBorder="1" applyFont="1">
      <alignment shrinkToFit="0" vertical="bottom" wrapText="0"/>
    </xf>
    <xf borderId="11" fillId="4" fontId="19" numFmtId="0" xfId="0" applyAlignment="1" applyBorder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2" numFmtId="169" xfId="0" applyAlignment="1" applyBorder="1" applyFont="1" applyNumberFormat="1">
      <alignment shrinkToFit="0" vertical="bottom" wrapText="0"/>
    </xf>
    <xf borderId="14" fillId="5" fontId="2" numFmtId="169" xfId="0" applyAlignment="1" applyBorder="1" applyFill="1" applyFont="1" applyNumberFormat="1">
      <alignment shrinkToFit="0" vertical="bottom" wrapText="0"/>
    </xf>
    <xf borderId="14" fillId="5" fontId="2" numFmtId="167" xfId="0" applyAlignment="1" applyBorder="1" applyFont="1" applyNumberFormat="1">
      <alignment shrinkToFit="0" vertical="bottom" wrapText="0"/>
    </xf>
    <xf borderId="15" fillId="0" fontId="2" numFmtId="167" xfId="0" applyAlignment="1" applyBorder="1" applyFont="1" applyNumberForma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38" xfId="0" applyAlignment="1" applyBorder="1" applyFont="1" applyNumberFormat="1">
      <alignment shrinkToFit="0" vertical="bottom" wrapText="0"/>
    </xf>
    <xf borderId="14" fillId="5" fontId="2" numFmtId="38" xfId="0" applyAlignment="1" applyBorder="1" applyFont="1" applyNumberFormat="1">
      <alignment shrinkToFit="0" vertical="bottom" wrapText="0"/>
    </xf>
    <xf borderId="14" fillId="0" fontId="2" numFmtId="38" xfId="0" applyAlignment="1" applyBorder="1" applyFont="1" applyNumberFormat="1">
      <alignment readingOrder="0" shrinkToFit="0" vertical="bottom" wrapText="0"/>
    </xf>
    <xf borderId="16" fillId="0" fontId="2" numFmtId="0" xfId="0" applyAlignment="1" applyBorder="1" applyFont="1">
      <alignment shrinkToFit="0" vertical="bottom" wrapText="0"/>
    </xf>
    <xf borderId="17" fillId="5" fontId="2" numFmtId="170" xfId="0" applyAlignment="1" applyBorder="1" applyFont="1" applyNumberFormat="1">
      <alignment shrinkToFit="0" vertical="bottom" wrapText="0"/>
    </xf>
    <xf borderId="17" fillId="5" fontId="2" numFmtId="167" xfId="0" applyAlignment="1" applyBorder="1" applyFont="1" applyNumberFormat="1">
      <alignment shrinkToFit="0" vertical="bottom" wrapText="0"/>
    </xf>
    <xf borderId="18" fillId="0" fontId="2" numFmtId="167" xfId="0" applyAlignment="1" applyBorder="1" applyFont="1" applyNumberFormat="1">
      <alignment shrinkToFit="0" vertical="bottom" wrapText="0"/>
    </xf>
    <xf borderId="0" fillId="0" fontId="2" numFmtId="170" xfId="0" applyAlignment="1" applyFont="1" applyNumberFormat="1">
      <alignment shrinkToFit="0" vertical="bottom" wrapText="0"/>
    </xf>
    <xf borderId="17" fillId="5" fontId="4" numFmtId="170" xfId="0" applyAlignment="1" applyBorder="1" applyFont="1" applyNumberFormat="1">
      <alignment shrinkToFit="0" vertical="bottom" wrapText="0"/>
    </xf>
    <xf borderId="17" fillId="5" fontId="2" numFmtId="9" xfId="0" applyAlignment="1" applyBorder="1" applyFont="1" applyNumberFormat="1">
      <alignment shrinkToFit="0" vertical="bottom" wrapText="0"/>
    </xf>
    <xf borderId="10" fillId="0" fontId="16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shrinkToFit="0" vertical="bottom" wrapText="0"/>
    </xf>
    <xf borderId="0" fillId="0" fontId="19" numFmtId="0" xfId="0" applyAlignment="1" applyFont="1">
      <alignment horizontal="right" shrinkToFit="0" vertical="bottom" wrapText="0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horizontal="left" shrinkToFit="0" vertical="bottom" wrapText="0"/>
    </xf>
    <xf borderId="3" fillId="2" fontId="2" numFmtId="0" xfId="0" applyAlignment="1" applyBorder="1" applyFont="1">
      <alignment readingOrder="0" shrinkToFit="0" vertical="bottom" wrapText="0"/>
    </xf>
    <xf borderId="0" fillId="0" fontId="2" numFmtId="14" xfId="0" applyAlignment="1" applyFont="1" applyNumberForma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shrinkToFit="0" vertical="bottom" wrapText="0"/>
    </xf>
    <xf borderId="11" fillId="6" fontId="2" numFmtId="0" xfId="0" applyAlignment="1" applyBorder="1" applyFill="1" applyFont="1">
      <alignment shrinkToFit="0" vertical="bottom" wrapText="0"/>
    </xf>
    <xf borderId="11" fillId="6" fontId="21" numFmtId="0" xfId="0" applyAlignment="1" applyBorder="1" applyFont="1">
      <alignment shrinkToFit="0" vertical="bottom" wrapText="0"/>
    </xf>
    <xf borderId="11" fillId="6" fontId="12" numFmtId="0" xfId="0" applyAlignment="1" applyBorder="1" applyFont="1">
      <alignment shrinkToFit="0" vertical="bottom" wrapText="0"/>
    </xf>
    <xf borderId="11" fillId="6" fontId="22" numFmtId="0" xfId="0" applyAlignment="1" applyBorder="1" applyFont="1">
      <alignment shrinkToFit="0" vertical="bottom" wrapText="0"/>
    </xf>
    <xf borderId="11" fillId="7" fontId="23" numFmtId="0" xfId="0" applyAlignment="1" applyBorder="1" applyFill="1" applyFont="1">
      <alignment horizontal="center" shrinkToFit="0" vertical="bottom" wrapText="0"/>
    </xf>
    <xf borderId="11" fillId="6" fontId="22" numFmtId="0" xfId="0" applyAlignment="1" applyBorder="1" applyFont="1">
      <alignment shrinkToFit="0" vertical="bottom" wrapText="1"/>
    </xf>
    <xf borderId="11" fillId="6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11" fillId="6" fontId="22" numFmtId="0" xfId="0" applyAlignment="1" applyBorder="1" applyFont="1">
      <alignment shrinkToFit="0" vertical="center" wrapText="0"/>
    </xf>
    <xf borderId="11" fillId="6" fontId="2" numFmtId="0" xfId="0" applyAlignment="1" applyBorder="1" applyFont="1">
      <alignment readingOrder="0" shrinkToFit="0" vertical="bottom" wrapText="0"/>
    </xf>
    <xf borderId="11" fillId="6" fontId="24" numFmtId="0" xfId="0" applyAlignment="1" applyBorder="1" applyFont="1">
      <alignment shrinkToFit="0" vertical="bottom" wrapText="0"/>
    </xf>
    <xf borderId="11" fillId="6" fontId="25" numFmtId="3" xfId="0" applyAlignment="1" applyBorder="1" applyFont="1" applyNumberFormat="1">
      <alignment horizontal="left" shrinkToFit="0" vertical="bottom" wrapText="0"/>
    </xf>
    <xf borderId="11" fillId="6" fontId="24" numFmtId="3" xfId="0" applyAlignment="1" applyBorder="1" applyFont="1" applyNumberFormat="1">
      <alignment shrinkToFit="0" vertical="bottom" wrapText="0"/>
    </xf>
    <xf borderId="11" fillId="6" fontId="26" numFmtId="3" xfId="0" applyAlignment="1" applyBorder="1" applyFont="1" applyNumberFormat="1">
      <alignment horizontal="center" shrinkToFit="0" vertical="bottom" wrapText="0"/>
    </xf>
    <xf borderId="11" fillId="6" fontId="27" numFmtId="3" xfId="0" applyAlignment="1" applyBorder="1" applyFont="1" applyNumberFormat="1">
      <alignment horizontal="left" shrinkToFit="0" vertical="bottom" wrapText="0"/>
    </xf>
    <xf borderId="11" fillId="6" fontId="28" numFmtId="171" xfId="0" applyAlignment="1" applyBorder="1" applyFont="1" applyNumberFormat="1">
      <alignment horizontal="left" shrinkToFit="0" vertical="bottom" wrapText="0"/>
    </xf>
    <xf borderId="11" fillId="8" fontId="29" numFmtId="0" xfId="0" applyAlignment="1" applyBorder="1" applyFill="1" applyFont="1">
      <alignment shrinkToFit="0" vertical="bottom" wrapText="0"/>
    </xf>
    <xf borderId="11" fillId="6" fontId="30" numFmtId="171" xfId="0" applyAlignment="1" applyBorder="1" applyFont="1" applyNumberFormat="1">
      <alignment horizontal="left" shrinkToFit="0" vertical="bottom" wrapText="0"/>
    </xf>
    <xf borderId="11" fillId="6" fontId="24" numFmtId="164" xfId="0" applyAlignment="1" applyBorder="1" applyFont="1" applyNumberFormat="1">
      <alignment shrinkToFit="0" vertical="bottom" wrapText="0"/>
    </xf>
    <xf borderId="0" fillId="0" fontId="2" numFmtId="171" xfId="0" applyAlignment="1" applyFont="1" applyNumberFormat="1">
      <alignment shrinkToFit="0" vertical="bottom" wrapText="0"/>
    </xf>
    <xf borderId="20" fillId="6" fontId="31" numFmtId="171" xfId="0" applyAlignment="1" applyBorder="1" applyFont="1" applyNumberFormat="1">
      <alignment shrinkToFit="0" vertical="bottom" wrapText="0"/>
    </xf>
    <xf borderId="21" fillId="6" fontId="24" numFmtId="0" xfId="0" applyAlignment="1" applyBorder="1" applyFont="1">
      <alignment shrinkToFit="0" vertical="bottom" wrapText="0"/>
    </xf>
    <xf borderId="9" fillId="6" fontId="24" numFmtId="0" xfId="0" applyAlignment="1" applyBorder="1" applyFont="1">
      <alignment shrinkToFit="0" vertical="bottom" wrapText="0"/>
    </xf>
    <xf borderId="22" fillId="6" fontId="32" numFmtId="0" xfId="0" applyAlignment="1" applyBorder="1" applyFont="1">
      <alignment shrinkToFit="0" vertical="bottom" wrapText="0"/>
    </xf>
    <xf borderId="23" fillId="6" fontId="24" numFmtId="0" xfId="0" applyAlignment="1" applyBorder="1" applyFont="1">
      <alignment shrinkToFit="0" vertical="bottom" wrapText="0"/>
    </xf>
    <xf borderId="24" fillId="6" fontId="33" numFmtId="0" xfId="0" applyAlignment="1" applyBorder="1" applyFont="1">
      <alignment horizontal="left" shrinkToFit="0" vertical="bottom" wrapText="0"/>
    </xf>
    <xf borderId="25" fillId="6" fontId="24" numFmtId="0" xfId="0" applyAlignment="1" applyBorder="1" applyFont="1">
      <alignment shrinkToFit="0" vertical="bottom" wrapText="0"/>
    </xf>
    <xf borderId="26" fillId="6" fontId="34" numFmtId="171" xfId="0" applyAlignment="1" applyBorder="1" applyFont="1" applyNumberFormat="1">
      <alignment shrinkToFit="0" vertical="bottom" wrapText="0"/>
    </xf>
    <xf borderId="26" fillId="6" fontId="33" numFmtId="171" xfId="0" applyAlignment="1" applyBorder="1" applyFont="1" applyNumberFormat="1">
      <alignment shrinkToFit="0" vertical="bottom" wrapText="0"/>
    </xf>
    <xf borderId="24" fillId="6" fontId="32" numFmtId="0" xfId="0" applyAlignment="1" applyBorder="1" applyFont="1">
      <alignment shrinkToFit="0" vertical="bottom" wrapText="0"/>
    </xf>
    <xf borderId="26" fillId="6" fontId="33" numFmtId="172" xfId="0" applyAlignment="1" applyBorder="1" applyFont="1" applyNumberFormat="1">
      <alignment horizontal="left" shrinkToFit="0" vertical="bottom" wrapText="0"/>
    </xf>
    <xf borderId="27" fillId="6" fontId="32" numFmtId="0" xfId="0" applyAlignment="1" applyBorder="1" applyFont="1">
      <alignment shrinkToFit="0" vertical="bottom" wrapText="0"/>
    </xf>
    <xf borderId="28" fillId="6" fontId="24" numFmtId="0" xfId="0" applyAlignment="1" applyBorder="1" applyFont="1">
      <alignment shrinkToFit="0" vertical="bottom" wrapText="0"/>
    </xf>
    <xf borderId="29" fillId="6" fontId="35" numFmtId="167" xfId="0" applyAlignment="1" applyBorder="1" applyFont="1" applyNumberFormat="1">
      <alignment shrinkToFit="0" vertical="bottom" wrapText="0"/>
    </xf>
    <xf borderId="20" fillId="6" fontId="31" numFmtId="0" xfId="0" applyAlignment="1" applyBorder="1" applyFont="1">
      <alignment horizontal="left" shrinkToFit="0" vertical="bottom" wrapText="0"/>
    </xf>
    <xf borderId="21" fillId="6" fontId="31" numFmtId="0" xfId="0" applyAlignment="1" applyBorder="1" applyFont="1">
      <alignment shrinkToFit="0" vertical="bottom" wrapText="0"/>
    </xf>
    <xf borderId="30" fillId="6" fontId="36" numFmtId="167" xfId="0" applyAlignment="1" applyBorder="1" applyFont="1" applyNumberFormat="1">
      <alignment shrinkToFit="0" vertical="bottom" wrapText="0"/>
    </xf>
    <xf borderId="22" fillId="6" fontId="24" numFmtId="0" xfId="0" applyAlignment="1" applyBorder="1" applyFont="1">
      <alignment shrinkToFit="0" vertical="bottom" wrapText="0"/>
    </xf>
    <xf borderId="22" fillId="6" fontId="37" numFmtId="0" xfId="0" applyAlignment="1" applyBorder="1" applyFont="1">
      <alignment horizontal="right" shrinkToFit="0" vertical="bottom" wrapText="0"/>
    </xf>
    <xf borderId="11" fillId="6" fontId="37" numFmtId="0" xfId="0" applyAlignment="1" applyBorder="1" applyFont="1">
      <alignment horizontal="right" shrinkToFit="0" vertical="bottom" wrapText="0"/>
    </xf>
    <xf borderId="23" fillId="6" fontId="37" numFmtId="0" xfId="0" applyAlignment="1" applyBorder="1" applyFont="1">
      <alignment horizontal="right" shrinkToFit="0" vertical="bottom" wrapText="0"/>
    </xf>
    <xf borderId="11" fillId="6" fontId="36" numFmtId="0" xfId="0" applyAlignment="1" applyBorder="1" applyFont="1">
      <alignment horizontal="right" shrinkToFit="0" vertical="bottom" wrapText="0"/>
    </xf>
    <xf borderId="22" fillId="6" fontId="24" numFmtId="171" xfId="0" applyAlignment="1" applyBorder="1" applyFont="1" applyNumberFormat="1">
      <alignment shrinkToFit="0" vertical="bottom" wrapText="0"/>
    </xf>
    <xf borderId="11" fillId="6" fontId="24" numFmtId="171" xfId="0" applyAlignment="1" applyBorder="1" applyFont="1" applyNumberFormat="1">
      <alignment shrinkToFit="0" vertical="bottom" wrapText="0"/>
    </xf>
    <xf borderId="22" fillId="6" fontId="24" numFmtId="173" xfId="0" applyAlignment="1" applyBorder="1" applyFont="1" applyNumberFormat="1">
      <alignment shrinkToFit="0" vertical="bottom" wrapText="0"/>
    </xf>
    <xf borderId="11" fillId="6" fontId="24" numFmtId="167" xfId="0" applyAlignment="1" applyBorder="1" applyFont="1" applyNumberFormat="1">
      <alignment shrinkToFit="0" vertical="bottom" wrapText="0"/>
    </xf>
    <xf borderId="23" fillId="6" fontId="24" numFmtId="9" xfId="0" applyAlignment="1" applyBorder="1" applyFont="1" applyNumberFormat="1">
      <alignment shrinkToFit="0" vertical="bottom" wrapText="0"/>
    </xf>
    <xf borderId="22" fillId="6" fontId="37" numFmtId="171" xfId="0" applyAlignment="1" applyBorder="1" applyFont="1" applyNumberFormat="1">
      <alignment horizontal="right" shrinkToFit="0" vertical="bottom" wrapText="0"/>
    </xf>
    <xf borderId="11" fillId="6" fontId="37" numFmtId="171" xfId="0" applyAlignment="1" applyBorder="1" applyFont="1" applyNumberFormat="1">
      <alignment horizontal="right" shrinkToFit="0" vertical="bottom" wrapText="0"/>
    </xf>
    <xf borderId="27" fillId="6" fontId="24" numFmtId="171" xfId="0" applyAlignment="1" applyBorder="1" applyFont="1" applyNumberFormat="1">
      <alignment shrinkToFit="0" vertical="bottom" wrapText="0"/>
    </xf>
    <xf borderId="28" fillId="6" fontId="24" numFmtId="167" xfId="0" applyAlignment="1" applyBorder="1" applyFont="1" applyNumberFormat="1">
      <alignment shrinkToFit="0" vertical="bottom" wrapText="0"/>
    </xf>
    <xf borderId="28" fillId="6" fontId="24" numFmtId="171" xfId="0" applyAlignment="1" applyBorder="1" applyFont="1" applyNumberFormat="1">
      <alignment shrinkToFit="0" vertical="bottom" wrapText="0"/>
    </xf>
    <xf borderId="31" fillId="6" fontId="24" numFmtId="9" xfId="0" applyAlignment="1" applyBorder="1" applyFont="1" applyNumberFormat="1">
      <alignment shrinkToFit="0" vertical="bottom" wrapText="0"/>
    </xf>
    <xf borderId="27" fillId="6" fontId="24" numFmtId="173" xfId="0" applyAlignment="1" applyBorder="1" applyFont="1" applyNumberFormat="1">
      <alignment shrinkToFit="0" vertical="bottom" wrapText="0"/>
    </xf>
    <xf borderId="32" fillId="6" fontId="24" numFmtId="0" xfId="0" applyAlignment="1" applyBorder="1" applyFont="1">
      <alignment shrinkToFit="0" vertical="bottom" wrapText="0"/>
    </xf>
    <xf borderId="11" fillId="6" fontId="33" numFmtId="0" xfId="0" applyAlignment="1" applyBorder="1" applyFont="1">
      <alignment shrinkToFit="0" vertical="bottom" wrapText="0"/>
    </xf>
    <xf borderId="11" fillId="6" fontId="38" numFmtId="3" xfId="0" applyAlignment="1" applyBorder="1" applyFont="1" applyNumberFormat="1">
      <alignment horizontal="left" shrinkToFit="0" vertical="bottom" wrapText="0"/>
    </xf>
    <xf borderId="20" fillId="8" fontId="32" numFmtId="3" xfId="0" applyAlignment="1" applyBorder="1" applyFont="1" applyNumberFormat="1">
      <alignment shrinkToFit="0" vertical="bottom" wrapText="0"/>
    </xf>
    <xf borderId="21" fillId="6" fontId="33" numFmtId="3" xfId="0" applyAlignment="1" applyBorder="1" applyFont="1" applyNumberFormat="1">
      <alignment shrinkToFit="0" vertical="bottom" wrapText="0"/>
    </xf>
    <xf borderId="9" fillId="6" fontId="33" numFmtId="3" xfId="0" applyAlignment="1" applyBorder="1" applyFont="1" applyNumberFormat="1">
      <alignment shrinkToFit="0" vertical="bottom" wrapText="0"/>
    </xf>
    <xf borderId="22" fillId="6" fontId="32" numFmtId="3" xfId="0" applyAlignment="1" applyBorder="1" applyFont="1" applyNumberFormat="1">
      <alignment shrinkToFit="0" vertical="bottom" wrapText="0"/>
    </xf>
    <xf borderId="11" fillId="6" fontId="33" numFmtId="3" xfId="0" applyAlignment="1" applyBorder="1" applyFont="1" applyNumberFormat="1">
      <alignment shrinkToFit="0" vertical="bottom" wrapText="0"/>
    </xf>
    <xf borderId="23" fillId="6" fontId="33" numFmtId="3" xfId="0" applyAlignment="1" applyBorder="1" applyFont="1" applyNumberFormat="1">
      <alignment shrinkToFit="0" vertical="bottom" wrapText="0"/>
    </xf>
    <xf borderId="22" fillId="6" fontId="33" numFmtId="3" xfId="0" applyAlignment="1" applyBorder="1" applyFont="1" applyNumberFormat="1">
      <alignment horizontal="left" shrinkToFit="0" vertical="bottom" wrapText="0"/>
    </xf>
    <xf borderId="26" fillId="6" fontId="34" numFmtId="164" xfId="0" applyAlignment="1" applyBorder="1" applyFont="1" applyNumberFormat="1">
      <alignment horizontal="right" shrinkToFit="0" vertical="bottom" wrapText="0"/>
    </xf>
    <xf borderId="26" fillId="6" fontId="34" numFmtId="3" xfId="0" applyAlignment="1" applyBorder="1" applyFont="1" applyNumberFormat="1">
      <alignment horizontal="right" shrinkToFit="0" vertical="bottom" wrapText="0"/>
    </xf>
    <xf borderId="27" fillId="6" fontId="33" numFmtId="3" xfId="0" applyAlignment="1" applyBorder="1" applyFont="1" applyNumberFormat="1">
      <alignment horizontal="left" shrinkToFit="0" vertical="bottom" wrapText="0"/>
    </xf>
    <xf borderId="28" fillId="6" fontId="33" numFmtId="3" xfId="0" applyAlignment="1" applyBorder="1" applyFont="1" applyNumberFormat="1">
      <alignment shrinkToFit="0" vertical="bottom" wrapText="0"/>
    </xf>
    <xf borderId="29" fillId="6" fontId="34" numFmtId="164" xfId="0" applyAlignment="1" applyBorder="1" applyFont="1" applyNumberFormat="1">
      <alignment horizontal="right" shrinkToFit="0" vertical="bottom" wrapText="0"/>
    </xf>
    <xf borderId="11" fillId="6" fontId="39" numFmtId="171" xfId="0" applyAlignment="1" applyBorder="1" applyFont="1" applyNumberFormat="1">
      <alignment horizontal="left" shrinkToFit="0" vertical="bottom" wrapText="0"/>
    </xf>
    <xf borderId="11" fillId="6" fontId="24" numFmtId="174" xfId="0" applyAlignment="1" applyBorder="1" applyFont="1" applyNumberFormat="1">
      <alignment shrinkToFit="0" vertical="bottom" wrapText="0"/>
    </xf>
    <xf borderId="11" fillId="6" fontId="40" numFmtId="171" xfId="0" applyAlignment="1" applyBorder="1" applyFont="1" applyNumberFormat="1">
      <alignment horizontal="left" shrinkToFit="0" vertical="bottom" wrapText="0"/>
    </xf>
    <xf borderId="11" fillId="6" fontId="33" numFmtId="174" xfId="0" applyAlignment="1" applyBorder="1" applyFont="1" applyNumberFormat="1">
      <alignment shrinkToFit="0" vertical="bottom" wrapText="0"/>
    </xf>
    <xf borderId="33" fillId="6" fontId="32" numFmtId="0" xfId="0" applyAlignment="1" applyBorder="1" applyFont="1">
      <alignment horizontal="right" shrinkToFit="0" vertical="bottom" wrapText="0"/>
    </xf>
    <xf borderId="34" fillId="6" fontId="32" numFmtId="0" xfId="0" applyAlignment="1" applyBorder="1" applyFont="1">
      <alignment horizontal="right" shrinkToFit="0" vertical="bottom" wrapText="0"/>
    </xf>
    <xf borderId="35" fillId="6" fontId="32" numFmtId="0" xfId="0" applyAlignment="1" applyBorder="1" applyFont="1">
      <alignment shrinkToFit="0" vertical="bottom" wrapText="0"/>
    </xf>
    <xf borderId="36" fillId="6" fontId="32" numFmtId="0" xfId="0" applyAlignment="1" applyBorder="1" applyFont="1">
      <alignment shrinkToFit="0" vertical="bottom" wrapText="0"/>
    </xf>
    <xf borderId="37" fillId="6" fontId="33" numFmtId="0" xfId="0" applyAlignment="1" applyBorder="1" applyFont="1">
      <alignment shrinkToFit="0" vertical="bottom" wrapText="0"/>
    </xf>
    <xf borderId="38" fillId="6" fontId="24" numFmtId="174" xfId="0" applyAlignment="1" applyBorder="1" applyFont="1" applyNumberFormat="1">
      <alignment horizontal="right" shrinkToFit="0" vertical="bottom" wrapText="0"/>
    </xf>
    <xf borderId="39" fillId="6" fontId="41" numFmtId="3" xfId="0" applyAlignment="1" applyBorder="1" applyFont="1" applyNumberFormat="1">
      <alignment shrinkToFit="0" vertical="bottom" wrapText="0"/>
    </xf>
    <xf borderId="40" fillId="6" fontId="41" numFmtId="3" xfId="0" applyAlignment="1" applyBorder="1" applyFont="1" applyNumberFormat="1">
      <alignment shrinkToFit="0" vertical="bottom" wrapText="0"/>
    </xf>
    <xf borderId="41" fillId="6" fontId="41" numFmtId="174" xfId="0" applyAlignment="1" applyBorder="1" applyFont="1" applyNumberFormat="1">
      <alignment shrinkToFit="0" vertical="bottom" wrapText="0"/>
    </xf>
    <xf borderId="40" fillId="6" fontId="41" numFmtId="174" xfId="0" applyAlignment="1" applyBorder="1" applyFont="1" applyNumberFormat="1">
      <alignment shrinkToFit="0" vertical="bottom" wrapText="0"/>
    </xf>
    <xf borderId="30" fillId="6" fontId="41" numFmtId="174" xfId="0" applyAlignment="1" applyBorder="1" applyFont="1" applyNumberFormat="1">
      <alignment shrinkToFit="0" vertical="bottom" wrapText="0"/>
    </xf>
    <xf borderId="22" fillId="6" fontId="33" numFmtId="0" xfId="0" applyAlignment="1" applyBorder="1" applyFont="1">
      <alignment shrinkToFit="0" vertical="bottom" wrapText="0"/>
    </xf>
    <xf borderId="42" fillId="6" fontId="24" numFmtId="174" xfId="0" applyAlignment="1" applyBorder="1" applyFont="1" applyNumberFormat="1">
      <alignment horizontal="right" shrinkToFit="0" vertical="bottom" wrapText="0"/>
    </xf>
    <xf borderId="43" fillId="6" fontId="41" numFmtId="3" xfId="0" applyAlignment="1" applyBorder="1" applyFont="1" applyNumberFormat="1">
      <alignment shrinkToFit="0" vertical="bottom" wrapText="0"/>
    </xf>
    <xf borderId="44" fillId="6" fontId="41" numFmtId="3" xfId="0" applyAlignment="1" applyBorder="1" applyFont="1" applyNumberFormat="1">
      <alignment shrinkToFit="0" vertical="bottom" wrapText="0"/>
    </xf>
    <xf borderId="45" fillId="6" fontId="41" numFmtId="174" xfId="0" applyAlignment="1" applyBorder="1" applyFont="1" applyNumberFormat="1">
      <alignment shrinkToFit="0" vertical="bottom" wrapText="0"/>
    </xf>
    <xf borderId="44" fillId="6" fontId="41" numFmtId="174" xfId="0" applyAlignment="1" applyBorder="1" applyFont="1" applyNumberFormat="1">
      <alignment shrinkToFit="0" vertical="bottom" wrapText="0"/>
    </xf>
    <xf borderId="46" fillId="6" fontId="41" numFmtId="174" xfId="0" applyAlignment="1" applyBorder="1" applyFont="1" applyNumberFormat="1">
      <alignment shrinkToFit="0" vertical="bottom" wrapText="0"/>
    </xf>
    <xf borderId="47" fillId="6" fontId="24" numFmtId="174" xfId="0" applyAlignment="1" applyBorder="1" applyFont="1" applyNumberFormat="1">
      <alignment horizontal="right" shrinkToFit="0" vertical="bottom" wrapText="0"/>
    </xf>
    <xf borderId="48" fillId="6" fontId="24" numFmtId="0" xfId="0" applyAlignment="1" applyBorder="1" applyFont="1">
      <alignment shrinkToFit="0" vertical="bottom" wrapText="0"/>
    </xf>
    <xf borderId="49" fillId="6" fontId="41" numFmtId="174" xfId="0" applyAlignment="1" applyBorder="1" applyFont="1" applyNumberFormat="1">
      <alignment shrinkToFit="0" vertical="bottom" wrapText="0"/>
    </xf>
    <xf borderId="50" fillId="6" fontId="41" numFmtId="174" xfId="0" applyAlignment="1" applyBorder="1" applyFont="1" applyNumberFormat="1">
      <alignment shrinkToFit="0" vertical="bottom" wrapText="0"/>
    </xf>
    <xf borderId="26" fillId="6" fontId="41" numFmtId="174" xfId="0" applyAlignment="1" applyBorder="1" applyFont="1" applyNumberFormat="1">
      <alignment shrinkToFit="0" vertical="bottom" wrapText="0"/>
    </xf>
    <xf borderId="51" fillId="6" fontId="33" numFmtId="0" xfId="0" applyAlignment="1" applyBorder="1" applyFont="1">
      <alignment shrinkToFit="0" vertical="bottom" wrapText="0"/>
    </xf>
    <xf borderId="52" fillId="6" fontId="33" numFmtId="0" xfId="0" applyAlignment="1" applyBorder="1" applyFont="1">
      <alignment shrinkToFit="0" vertical="bottom" wrapText="0"/>
    </xf>
    <xf borderId="42" fillId="6" fontId="24" numFmtId="9" xfId="0" applyAlignment="1" applyBorder="1" applyFont="1" applyNumberFormat="1">
      <alignment horizontal="right" shrinkToFit="0" vertical="bottom" wrapText="0"/>
    </xf>
    <xf borderId="53" fillId="6" fontId="33" numFmtId="0" xfId="0" applyAlignment="1" applyBorder="1" applyFont="1">
      <alignment shrinkToFit="0" vertical="bottom" wrapText="0"/>
    </xf>
    <xf borderId="44" fillId="6" fontId="42" numFmtId="167" xfId="0" applyAlignment="1" applyBorder="1" applyFont="1" applyNumberFormat="1">
      <alignment shrinkToFit="0" vertical="bottom" wrapText="0"/>
    </xf>
    <xf borderId="54" fillId="6" fontId="33" numFmtId="0" xfId="0" applyAlignment="1" applyBorder="1" applyFont="1">
      <alignment shrinkToFit="0" vertical="bottom" wrapText="0"/>
    </xf>
    <xf borderId="55" fillId="6" fontId="42" numFmtId="167" xfId="0" applyAlignment="1" applyBorder="1" applyFont="1" applyNumberFormat="1">
      <alignment shrinkToFit="0" vertical="bottom" wrapText="0"/>
    </xf>
    <xf borderId="11" fillId="8" fontId="33" numFmtId="0" xfId="0" applyAlignment="1" applyBorder="1" applyFont="1">
      <alignment shrinkToFit="0" vertical="bottom" wrapText="0"/>
    </xf>
    <xf borderId="56" fillId="6" fontId="32" numFmtId="0" xfId="0" applyAlignment="1" applyBorder="1" applyFont="1">
      <alignment horizontal="right" shrinkToFit="0" vertical="bottom" wrapText="0"/>
    </xf>
    <xf borderId="9" fillId="6" fontId="32" numFmtId="0" xfId="0" applyAlignment="1" applyBorder="1" applyFont="1">
      <alignment horizontal="right" shrinkToFit="0" vertical="bottom" wrapText="0"/>
    </xf>
    <xf borderId="3" fillId="6" fontId="32" numFmtId="0" xfId="0" applyAlignment="1" applyBorder="1" applyFont="1">
      <alignment shrinkToFit="0" vertical="bottom" wrapText="0"/>
    </xf>
    <xf borderId="20" fillId="6" fontId="32" numFmtId="0" xfId="0" applyAlignment="1" applyBorder="1" applyFont="1">
      <alignment shrinkToFit="0" vertical="bottom" wrapText="0"/>
    </xf>
    <xf borderId="11" fillId="6" fontId="43" numFmtId="0" xfId="0" applyAlignment="1" applyBorder="1" applyFont="1">
      <alignment shrinkToFit="0" vertical="bottom" wrapText="0"/>
    </xf>
    <xf borderId="57" fillId="6" fontId="33" numFmtId="0" xfId="0" applyAlignment="1" applyBorder="1" applyFont="1">
      <alignment shrinkToFit="0" vertical="bottom" wrapText="0"/>
    </xf>
    <xf borderId="58" fillId="6" fontId="24" numFmtId="174" xfId="0" applyAlignment="1" applyBorder="1" applyFont="1" applyNumberFormat="1">
      <alignment horizontal="right" shrinkToFit="0" vertical="bottom" wrapText="0"/>
    </xf>
    <xf borderId="43" fillId="6" fontId="24" numFmtId="0" xfId="0" applyAlignment="1" applyBorder="1" applyFont="1">
      <alignment shrinkToFit="0" vertical="bottom" wrapText="0"/>
    </xf>
    <xf borderId="44" fillId="6" fontId="36" numFmtId="167" xfId="0" applyAlignment="1" applyBorder="1" applyFont="1" applyNumberFormat="1">
      <alignment shrinkToFit="0" vertical="bottom" wrapText="0"/>
    </xf>
    <xf borderId="24" fillId="6" fontId="33" numFmtId="0" xfId="0" applyAlignment="1" applyBorder="1" applyFont="1">
      <alignment shrinkToFit="0" vertical="bottom" wrapText="0"/>
    </xf>
    <xf borderId="59" fillId="6" fontId="24" numFmtId="174" xfId="0" applyAlignment="1" applyBorder="1" applyFont="1" applyNumberFormat="1">
      <alignment horizontal="right" shrinkToFit="0" vertical="bottom" wrapText="0"/>
    </xf>
    <xf borderId="60" fillId="6" fontId="24" numFmtId="174" xfId="0" applyAlignment="1" applyBorder="1" applyFont="1" applyNumberFormat="1">
      <alignment shrinkToFit="0" vertical="bottom" wrapText="0"/>
    </xf>
    <xf borderId="49" fillId="6" fontId="24" numFmtId="174" xfId="0" applyAlignment="1" applyBorder="1" applyFont="1" applyNumberFormat="1">
      <alignment shrinkToFit="0" vertical="bottom" wrapText="0"/>
    </xf>
    <xf borderId="50" fillId="6" fontId="24" numFmtId="174" xfId="0" applyAlignment="1" applyBorder="1" applyFont="1" applyNumberFormat="1">
      <alignment shrinkToFit="0" vertical="bottom" wrapText="0"/>
    </xf>
    <xf borderId="26" fillId="6" fontId="24" numFmtId="174" xfId="0" applyAlignment="1" applyBorder="1" applyFont="1" applyNumberFormat="1">
      <alignment shrinkToFit="0" vertical="bottom" wrapText="0"/>
    </xf>
    <xf borderId="61" fillId="6" fontId="24" numFmtId="174" xfId="0" applyAlignment="1" applyBorder="1" applyFont="1" applyNumberFormat="1">
      <alignment horizontal="right" shrinkToFit="0" vertical="bottom" wrapText="0"/>
    </xf>
    <xf borderId="54" fillId="6" fontId="24" numFmtId="174" xfId="0" applyAlignment="1" applyBorder="1" applyFont="1" applyNumberFormat="1">
      <alignment shrinkToFit="0" vertical="bottom" wrapText="0"/>
    </xf>
    <xf borderId="62" fillId="6" fontId="24" numFmtId="174" xfId="0" applyAlignment="1" applyBorder="1" applyFont="1" applyNumberFormat="1">
      <alignment shrinkToFit="0" vertical="bottom" wrapText="0"/>
    </xf>
    <xf borderId="29" fillId="6" fontId="24" numFmtId="174" xfId="0" applyAlignment="1" applyBorder="1" applyFont="1" applyNumberFormat="1">
      <alignment shrinkToFit="0" vertical="bottom" wrapText="0"/>
    </xf>
    <xf borderId="63" fillId="6" fontId="24" numFmtId="174" xfId="0" applyAlignment="1" applyBorder="1" applyFont="1" applyNumberFormat="1">
      <alignment horizontal="right" shrinkToFit="0" vertical="bottom" wrapText="0"/>
    </xf>
    <xf borderId="64" fillId="6" fontId="24" numFmtId="174" xfId="0" applyAlignment="1" applyBorder="1" applyFont="1" applyNumberFormat="1">
      <alignment shrinkToFit="0" vertical="bottom" wrapText="0"/>
    </xf>
    <xf borderId="65" fillId="6" fontId="24" numFmtId="174" xfId="0" applyAlignment="1" applyBorder="1" applyFont="1" applyNumberFormat="1">
      <alignment shrinkToFit="0" vertical="bottom" wrapText="0"/>
    </xf>
    <xf borderId="66" fillId="6" fontId="24" numFmtId="174" xfId="0" applyAlignment="1" applyBorder="1" applyFont="1" applyNumberFormat="1">
      <alignment shrinkToFit="0" vertical="bottom" wrapText="0"/>
    </xf>
    <xf borderId="67" fillId="6" fontId="24" numFmtId="174" xfId="0" applyAlignment="1" applyBorder="1" applyFont="1" applyNumberFormat="1">
      <alignment horizontal="right" shrinkToFit="0" vertical="bottom" wrapText="0"/>
    </xf>
    <xf borderId="11" fillId="6" fontId="44" numFmtId="0" xfId="0" applyAlignment="1" applyBorder="1" applyFont="1">
      <alignment shrinkToFit="0" vertical="bottom" wrapText="0"/>
    </xf>
    <xf borderId="68" fillId="6" fontId="36" numFmtId="175" xfId="0" applyAlignment="1" applyBorder="1" applyFont="1" applyNumberFormat="1">
      <alignment shrinkToFit="0" vertical="bottom" wrapText="0"/>
    </xf>
    <xf borderId="69" fillId="6" fontId="36" numFmtId="175" xfId="0" applyAlignment="1" applyBorder="1" applyFont="1" applyNumberFormat="1">
      <alignment shrinkToFit="0" vertical="bottom" wrapText="0"/>
    </xf>
    <xf borderId="70" fillId="6" fontId="36" numFmtId="175" xfId="0" applyAlignment="1" applyBorder="1" applyFont="1" applyNumberFormat="1">
      <alignment shrinkToFit="0" vertical="bottom" wrapText="0"/>
    </xf>
    <xf borderId="71" fillId="6" fontId="36" numFmtId="175" xfId="0" applyAlignment="1" applyBorder="1" applyFont="1" applyNumberFormat="1">
      <alignment shrinkToFit="0" vertical="bottom" wrapText="0"/>
    </xf>
    <xf borderId="43" fillId="6" fontId="24" numFmtId="174" xfId="0" applyAlignment="1" applyBorder="1" applyFont="1" applyNumberFormat="1">
      <alignment shrinkToFit="0" vertical="bottom" wrapText="0"/>
    </xf>
    <xf borderId="44" fillId="6" fontId="24" numFmtId="174" xfId="0" applyAlignment="1" applyBorder="1" applyFont="1" applyNumberFormat="1">
      <alignment shrinkToFit="0" vertical="bottom" wrapText="0"/>
    </xf>
    <xf borderId="45" fillId="6" fontId="24" numFmtId="174" xfId="0" applyAlignment="1" applyBorder="1" applyFont="1" applyNumberFormat="1">
      <alignment shrinkToFit="0" vertical="bottom" wrapText="0"/>
    </xf>
    <xf borderId="46" fillId="6" fontId="24" numFmtId="174" xfId="0" applyAlignment="1" applyBorder="1" applyFont="1" applyNumberFormat="1">
      <alignment shrinkToFit="0" vertical="bottom" wrapText="0"/>
    </xf>
    <xf borderId="72" fillId="6" fontId="24" numFmtId="174" xfId="0" applyAlignment="1" applyBorder="1" applyFont="1" applyNumberFormat="1">
      <alignment shrinkToFit="0" vertical="bottom" wrapText="0"/>
    </xf>
    <xf borderId="73" fillId="6" fontId="33" numFmtId="0" xfId="0" applyAlignment="1" applyBorder="1" applyFont="1">
      <alignment shrinkToFit="0" vertical="bottom" wrapText="0"/>
    </xf>
    <xf borderId="74" fillId="6" fontId="24" numFmtId="174" xfId="0" applyAlignment="1" applyBorder="1" applyFont="1" applyNumberFormat="1">
      <alignment horizontal="right" shrinkToFit="0" vertical="bottom" wrapText="0"/>
    </xf>
    <xf borderId="75" fillId="6" fontId="24" numFmtId="174" xfId="0" applyAlignment="1" applyBorder="1" applyFont="1" applyNumberFormat="1">
      <alignment shrinkToFit="0" vertical="bottom" wrapText="0"/>
    </xf>
    <xf borderId="76" fillId="6" fontId="24" numFmtId="174" xfId="0" applyAlignment="1" applyBorder="1" applyFont="1" applyNumberFormat="1">
      <alignment shrinkToFit="0" vertical="bottom" wrapText="0"/>
    </xf>
    <xf borderId="77" fillId="6" fontId="24" numFmtId="174" xfId="0" applyAlignment="1" applyBorder="1" applyFont="1" applyNumberFormat="1">
      <alignment shrinkToFit="0" vertical="bottom" wrapText="0"/>
    </xf>
    <xf borderId="67" fillId="6" fontId="31" numFmtId="174" xfId="0" applyAlignment="1" applyBorder="1" applyFont="1" applyNumberFormat="1">
      <alignment horizontal="right" shrinkToFit="0" vertical="bottom" wrapText="0"/>
    </xf>
    <xf borderId="78" fillId="6" fontId="24" numFmtId="0" xfId="0" applyAlignment="1" applyBorder="1" applyFont="1">
      <alignment shrinkToFit="0" vertical="bottom" wrapText="0"/>
    </xf>
    <xf borderId="79" fillId="6" fontId="24" numFmtId="0" xfId="0" applyAlignment="1" applyBorder="1" applyFont="1">
      <alignment shrinkToFit="0" vertical="bottom" wrapText="0"/>
    </xf>
    <xf borderId="80" fillId="6" fontId="24" numFmtId="0" xfId="0" applyAlignment="1" applyBorder="1" applyFont="1">
      <alignment shrinkToFit="0" vertical="bottom" wrapText="0"/>
    </xf>
    <xf borderId="81" fillId="6" fontId="24" numFmtId="0" xfId="0" applyAlignment="1" applyBorder="1" applyFont="1">
      <alignment shrinkToFit="0" vertical="bottom" wrapText="0"/>
    </xf>
    <xf borderId="67" fillId="6" fontId="31" numFmtId="176" xfId="0" applyAlignment="1" applyBorder="1" applyFont="1" applyNumberFormat="1">
      <alignment horizontal="right" shrinkToFit="0" vertical="bottom" wrapText="0"/>
    </xf>
    <xf borderId="64" fillId="6" fontId="24" numFmtId="0" xfId="0" applyAlignment="1" applyBorder="1" applyFont="1">
      <alignment shrinkToFit="0" vertical="bottom" wrapText="0"/>
    </xf>
    <xf borderId="65" fillId="6" fontId="24" numFmtId="0" xfId="0" applyAlignment="1" applyBorder="1" applyFont="1">
      <alignment shrinkToFit="0" vertical="bottom" wrapText="0"/>
    </xf>
    <xf borderId="82" fillId="6" fontId="24" numFmtId="0" xfId="0" applyAlignment="1" applyBorder="1" applyFont="1">
      <alignment shrinkToFit="0" vertical="bottom" wrapText="0"/>
    </xf>
    <xf borderId="66" fillId="6" fontId="24" numFmtId="0" xfId="0" applyAlignment="1" applyBorder="1" applyFont="1">
      <alignment shrinkToFit="0" vertical="bottom" wrapText="0"/>
    </xf>
    <xf borderId="67" fillId="6" fontId="37" numFmtId="167" xfId="0" applyAlignment="1" applyBorder="1" applyFont="1" applyNumberFormat="1">
      <alignment horizontal="right" shrinkToFit="0" vertical="bottom" wrapText="0"/>
    </xf>
    <xf borderId="83" fillId="6" fontId="33" numFmtId="0" xfId="0" applyAlignment="1" applyBorder="1" applyFont="1">
      <alignment shrinkToFit="0" vertical="bottom" wrapText="0"/>
    </xf>
    <xf borderId="84" fillId="6" fontId="31" numFmtId="0" xfId="0" applyAlignment="1" applyBorder="1" applyFont="1">
      <alignment shrinkToFit="0" vertical="bottom" wrapText="0"/>
    </xf>
    <xf borderId="85" fillId="6" fontId="45" numFmtId="0" xfId="0" applyAlignment="1" applyBorder="1" applyFont="1">
      <alignment horizontal="center" shrinkToFit="0" vertical="top" wrapText="0"/>
    </xf>
    <xf borderId="85" fillId="6" fontId="46" numFmtId="0" xfId="0" applyAlignment="1" applyBorder="1" applyFont="1">
      <alignment horizontal="center" shrinkToFit="0" vertical="top" wrapText="0"/>
    </xf>
    <xf borderId="31" fillId="6" fontId="45" numFmtId="0" xfId="0" applyAlignment="1" applyBorder="1" applyFont="1">
      <alignment horizontal="center" shrinkToFit="0" vertical="top" wrapText="0"/>
    </xf>
    <xf borderId="11" fillId="6" fontId="47" numFmtId="0" xfId="0" applyAlignment="1" applyBorder="1" applyFont="1">
      <alignment shrinkToFit="0" vertical="bottom" wrapText="0"/>
    </xf>
    <xf borderId="11" fillId="6" fontId="47" numFmtId="0" xfId="0" applyAlignment="1" applyBorder="1" applyFont="1">
      <alignment horizontal="right" shrinkToFit="0" vertical="bottom" wrapText="0"/>
    </xf>
    <xf borderId="11" fillId="6" fontId="48" numFmtId="0" xfId="0" applyAlignment="1" applyBorder="1" applyFont="1">
      <alignment horizontal="right" shrinkToFit="0" vertical="bottom" wrapText="0"/>
    </xf>
    <xf borderId="86" fillId="0" fontId="2" numFmtId="0" xfId="0" applyAlignment="1" applyBorder="1" applyFont="1">
      <alignment shrinkToFit="0" vertical="bottom" wrapText="0"/>
    </xf>
    <xf borderId="0" fillId="0" fontId="2" numFmtId="177" xfId="0" applyAlignment="1" applyFont="1" applyNumberFormat="1">
      <alignment shrinkToFit="0" vertical="bottom" wrapText="0"/>
    </xf>
    <xf borderId="0" fillId="0" fontId="2" numFmtId="169" xfId="0" applyAlignment="1" applyFont="1" applyNumberFormat="1">
      <alignment shrinkToFit="0" vertical="bottom" wrapText="0"/>
    </xf>
    <xf borderId="86" fillId="0" fontId="2" numFmtId="10" xfId="0" applyAlignment="1" applyBorder="1" applyFont="1" applyNumberFormat="1">
      <alignment shrinkToFit="0" vertical="bottom" wrapText="0"/>
    </xf>
    <xf borderId="86" fillId="0" fontId="2" numFmtId="173" xfId="0" applyAlignment="1" applyBorder="1" applyFont="1" applyNumberFormat="1">
      <alignment readingOrder="0" shrinkToFit="0" vertical="bottom" wrapText="0"/>
    </xf>
    <xf borderId="86" fillId="0" fontId="2" numFmtId="173" xfId="0" applyAlignment="1" applyBorder="1" applyFont="1" applyNumberFormat="1">
      <alignment shrinkToFit="0" vertical="bottom" wrapText="0"/>
    </xf>
    <xf borderId="0" fillId="0" fontId="2" numFmtId="173" xfId="0" applyAlignment="1" applyFont="1" applyNumberFormat="1">
      <alignment shrinkToFit="0" vertical="bottom" wrapText="0"/>
    </xf>
    <xf borderId="0" fillId="0" fontId="4" numFmtId="169" xfId="0" applyAlignment="1" applyFont="1" applyNumberFormat="1">
      <alignment shrinkToFit="0" vertical="bottom" wrapText="0"/>
    </xf>
    <xf borderId="0" fillId="0" fontId="4" numFmtId="177" xfId="0" applyAlignment="1" applyFont="1" applyNumberFormat="1">
      <alignment shrinkToFit="0" vertical="bottom" wrapText="0"/>
    </xf>
    <xf borderId="0" fillId="0" fontId="2" numFmtId="178" xfId="0" applyAlignment="1" applyFont="1" applyNumberFormat="1">
      <alignment shrinkToFit="0" vertical="bottom" wrapText="0"/>
    </xf>
    <xf borderId="0" fillId="0" fontId="2" numFmtId="179" xfId="0" applyAlignment="1" applyFont="1" applyNumberFormat="1">
      <alignment shrinkToFit="0" vertical="bottom" wrapText="0"/>
    </xf>
    <xf borderId="0" fillId="0" fontId="2" numFmtId="180" xfId="0" applyAlignment="1" applyFont="1" applyNumberFormat="1">
      <alignment shrinkToFit="0" vertical="bottom" wrapText="0"/>
    </xf>
    <xf borderId="0" fillId="0" fontId="49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50" numFmtId="0" xfId="0" applyAlignment="1" applyFont="1">
      <alignment shrinkToFit="0" vertical="bottom" wrapText="0"/>
    </xf>
    <xf borderId="0" fillId="0" fontId="51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50" numFmtId="0" xfId="0" applyAlignment="1" applyFont="1">
      <alignment vertical="bottom"/>
    </xf>
    <xf borderId="0" fillId="0" fontId="11" numFmtId="181" xfId="0" applyAlignment="1" applyFont="1" applyNumberFormat="1">
      <alignment horizontal="right" vertical="bottom"/>
    </xf>
    <xf borderId="0" fillId="0" fontId="52" numFmtId="0" xfId="0" applyAlignment="1" applyFont="1">
      <alignment shrinkToFit="0" vertical="bottom" wrapText="0"/>
    </xf>
    <xf borderId="0" fillId="0" fontId="50" numFmtId="0" xfId="0" applyAlignment="1" applyFont="1">
      <alignment shrinkToFit="0" vertical="bottom" wrapText="0"/>
    </xf>
    <xf borderId="0" fillId="0" fontId="53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vertical="bottom"/>
    </xf>
    <xf borderId="0" fillId="0" fontId="5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200">
                <a:solidFill>
                  <a:srgbClr val="000000"/>
                </a:solidFill>
                <a:latin typeface="+mn-lt"/>
              </a:defRPr>
            </a:pPr>
            <a:r>
              <a:rPr b="1" i="0" sz="2200">
                <a:solidFill>
                  <a:srgbClr val="000000"/>
                </a:solidFill>
                <a:latin typeface="+mn-lt"/>
              </a:rPr>
              <a:t>Operating Break Even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'Break Even Analysis'!$M$5:$M$14</c:f>
            </c:strRef>
          </c:cat>
          <c:val>
            <c:numRef>
              <c:f>'Break Even Analysis'!$M$5:$M$15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'Break Even Analysis'!$M$5:$M$14</c:f>
            </c:strRef>
          </c:cat>
          <c:val>
            <c:numRef>
              <c:f>'Break Even Analysis'!$N$5:$N$15</c:f>
              <c:numCache/>
            </c:numRef>
          </c:val>
          <c:smooth val="0"/>
        </c:ser>
        <c:ser>
          <c:idx val="2"/>
          <c:order val="2"/>
          <c:spPr>
            <a:ln cmpd="sng" w="571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'Break Even Analysis'!$M$5:$M$14</c:f>
            </c:strRef>
          </c:cat>
          <c:val>
            <c:numRef>
              <c:f>'Break Even Analysis'!$P$5:$P$15</c:f>
              <c:numCache/>
            </c:numRef>
          </c:val>
          <c:smooth val="0"/>
        </c:ser>
        <c:ser>
          <c:idx val="3"/>
          <c:order val="3"/>
          <c:spPr>
            <a:ln cmpd="sng" w="9525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'Break Even Analysis'!$M$5:$M$14</c:f>
            </c:strRef>
          </c:cat>
          <c:val>
            <c:numRef>
              <c:f>'Break Even Analysis'!$Q$5:$Q$15</c:f>
              <c:numCache/>
            </c:numRef>
          </c:val>
          <c:smooth val="0"/>
        </c:ser>
        <c:axId val="1351642859"/>
        <c:axId val="1974969431"/>
      </c:lineChart>
      <c:catAx>
        <c:axId val="1351642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4969431"/>
      </c:catAx>
      <c:valAx>
        <c:axId val="1974969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1642859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rgbClr val="000000"/>
                </a:solidFill>
                <a:latin typeface="+mn-lt"/>
              </a:defRPr>
            </a:pPr>
            <a:r>
              <a:rPr b="1" i="0" sz="1500">
                <a:solidFill>
                  <a:srgbClr val="000000"/>
                </a:solidFill>
                <a:latin typeface="+mn-lt"/>
              </a:rPr>
              <a:t>Project Cash Flows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9999FF"/>
            </a:solidFill>
          </c:spPr>
          <c:cat>
            <c:strRef>
              <c:f>'Net Present Value'!$D$13:$P$13</c:f>
            </c:strRef>
          </c:cat>
          <c:val>
            <c:numRef>
              <c:f>'Net Present Value'!$D$14:$J$14</c:f>
              <c:numCache/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'Net Present Value'!$D$13:$P$13</c:f>
            </c:strRef>
          </c:cat>
          <c:val>
            <c:numRef>
              <c:f>'Net Present Value'!$D$22:$I$22</c:f>
              <c:numCache/>
            </c:numRef>
          </c:val>
        </c:ser>
        <c:ser>
          <c:idx val="2"/>
          <c:order val="2"/>
          <c:spPr>
            <a:solidFill>
              <a:srgbClr val="FFFFCC"/>
            </a:solidFill>
          </c:spPr>
          <c:cat>
            <c:strRef>
              <c:f>'Net Present Value'!$D$13:$P$13</c:f>
            </c:strRef>
          </c:cat>
          <c:val>
            <c:numRef>
              <c:f>'Net Present Value'!$D$30:$I$30</c:f>
              <c:numCache/>
            </c:numRef>
          </c:val>
        </c:ser>
        <c:overlap val="100"/>
        <c:axId val="1575564208"/>
        <c:axId val="347946899"/>
      </c:barChart>
      <c:catAx>
        <c:axId val="157556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7946899"/>
      </c:catAx>
      <c:valAx>
        <c:axId val="347946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55642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" cy="76200"/>
    <xdr:sp>
      <xdr:nvSpPr>
        <xdr:cNvPr id="3" name="Shape 3"/>
        <xdr:cNvSpPr/>
      </xdr:nvSpPr>
      <xdr:spPr>
        <a:xfrm>
          <a:off x="5269800" y="3746663"/>
          <a:ext cx="152400" cy="666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32</xdr:row>
      <xdr:rowOff>123825</xdr:rowOff>
    </xdr:from>
    <xdr:ext cx="9267825" cy="4800600"/>
    <xdr:graphicFrame>
      <xdr:nvGraphicFramePr>
        <xdr:cNvPr descr="Chart 0" id="10439488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42</xdr:row>
      <xdr:rowOff>95250</xdr:rowOff>
    </xdr:from>
    <xdr:ext cx="8562975" cy="3114675"/>
    <xdr:graphicFrame>
      <xdr:nvGraphicFramePr>
        <xdr:cNvPr descr="Chart 0" id="88081296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regus.com/en-us/united-states/texas/austin" TargetMode="External"/><Relationship Id="rId10" Type="http://schemas.openxmlformats.org/officeDocument/2006/relationships/hyperlink" Target="https://www.forbes.com/sites/andrewdepietro/2019/11/13/best-worst-states-entrepreneurs-2020/?sh=10bb761446a6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www.legalzoom.com/articles/cost-of-forming-an-llc-in-texas" TargetMode="External"/><Relationship Id="rId1" Type="http://schemas.openxmlformats.org/officeDocument/2006/relationships/hyperlink" Target="https://therideshareguy.com/how-many-uber-drivers-are-there/" TargetMode="External"/><Relationship Id="rId2" Type="http://schemas.openxmlformats.org/officeDocument/2006/relationships/hyperlink" Target="https://news.pg.com/news-releases/news-details/2020/PG-Professional-Partners-With-Lyft-to-Develop-New-Cleaning-Guide-for-Drivers/default.aspx" TargetMode="External"/><Relationship Id="rId3" Type="http://schemas.openxmlformats.org/officeDocument/2006/relationships/hyperlink" Target="https://www.uber.com/newsroom/our-commitment-to-clean/" TargetMode="External"/><Relationship Id="rId4" Type="http://schemas.openxmlformats.org/officeDocument/2006/relationships/hyperlink" Target="https://www.freep.com/story/money/cars/mark-phelan/2020/05/16/here-ways-your-next-car-could-virus-proof/5188959002/" TargetMode="External"/><Relationship Id="rId9" Type="http://schemas.openxmlformats.org/officeDocument/2006/relationships/hyperlink" Target="https://www.linkedin.com/in/omkar-bhatt-15688a159/" TargetMode="External"/><Relationship Id="rId5" Type="http://schemas.openxmlformats.org/officeDocument/2006/relationships/hyperlink" Target="https://www.yfai.com/sites/yfai_corporate/files/20190904_yf_wellness_pod_en.pdf" TargetMode="External"/><Relationship Id="rId6" Type="http://schemas.openxmlformats.org/officeDocument/2006/relationships/hyperlink" Target="http://www.us.jvc.com/car/accessories/ks_ga100/" TargetMode="External"/><Relationship Id="rId7" Type="http://schemas.openxmlformats.org/officeDocument/2006/relationships/hyperlink" Target="https://www.legalzoom.com/attorneys/legal-plans/business.html" TargetMode="External"/><Relationship Id="rId8" Type="http://schemas.openxmlformats.org/officeDocument/2006/relationships/hyperlink" Target="https://wallethub.com/edu/best-states-to-start-a-business/369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hidden="1" min="2" max="2" width="10.0"/>
    <col customWidth="1" min="3" max="14" width="9.14"/>
    <col customWidth="1" min="15" max="15" width="10.29"/>
    <col customWidth="1" min="16" max="26" width="10.0"/>
  </cols>
  <sheetData>
    <row r="1" ht="12.0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4" t="s">
        <v>3</v>
      </c>
      <c r="B4" s="4"/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4" t="s">
        <v>16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 t="s">
        <v>17</v>
      </c>
      <c r="B5" s="2"/>
      <c r="C5" s="6">
        <v>0.0</v>
      </c>
      <c r="D5" s="6">
        <v>0.0</v>
      </c>
      <c r="E5" s="6">
        <v>0.0</v>
      </c>
      <c r="F5" s="6">
        <v>0.0</v>
      </c>
      <c r="G5" s="6">
        <v>717.0</v>
      </c>
      <c r="H5" s="2">
        <f>$G$5*2</f>
        <v>1434</v>
      </c>
      <c r="I5" s="2">
        <f>$G$5*3</f>
        <v>2151</v>
      </c>
      <c r="J5" s="2">
        <f>$G$5*6</f>
        <v>4302</v>
      </c>
      <c r="K5" s="2">
        <f>$G$5*8</f>
        <v>5736</v>
      </c>
      <c r="L5" s="2">
        <f>$G$5*17</f>
        <v>12189</v>
      </c>
      <c r="M5" s="2">
        <f>$G$5*25</f>
        <v>17925</v>
      </c>
      <c r="N5" s="2">
        <f>$G$5*38</f>
        <v>27246</v>
      </c>
      <c r="O5" s="2">
        <f>SUM(C5:N5)</f>
        <v>71700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 t="s">
        <v>18</v>
      </c>
      <c r="B6" s="2"/>
      <c r="C6" s="6">
        <v>50.0</v>
      </c>
      <c r="D6" s="6">
        <v>50.0</v>
      </c>
      <c r="E6" s="6">
        <v>50.0</v>
      </c>
      <c r="F6" s="6">
        <v>50.0</v>
      </c>
      <c r="G6" s="6">
        <v>50.0</v>
      </c>
      <c r="H6" s="6">
        <v>50.0</v>
      </c>
      <c r="I6" s="6">
        <v>50.0</v>
      </c>
      <c r="J6" s="6">
        <v>50.0</v>
      </c>
      <c r="K6" s="6">
        <v>50.0</v>
      </c>
      <c r="L6" s="6">
        <v>50.0</v>
      </c>
      <c r="M6" s="6">
        <v>50.0</v>
      </c>
      <c r="N6" s="6">
        <v>50.0</v>
      </c>
      <c r="O6" s="7">
        <f>O24/$O$5</f>
        <v>50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 t="s">
        <v>19</v>
      </c>
      <c r="B7" s="2"/>
      <c r="C7" s="8">
        <v>13.0</v>
      </c>
      <c r="D7" s="8">
        <v>13.0</v>
      </c>
      <c r="E7" s="8">
        <v>13.0</v>
      </c>
      <c r="F7" s="8">
        <v>13.0</v>
      </c>
      <c r="G7" s="8">
        <v>13.0</v>
      </c>
      <c r="H7" s="8">
        <v>13.0</v>
      </c>
      <c r="I7" s="8">
        <v>13.0</v>
      </c>
      <c r="J7" s="8">
        <v>13.0</v>
      </c>
      <c r="K7" s="8">
        <v>13.0</v>
      </c>
      <c r="L7" s="8">
        <v>13.0</v>
      </c>
      <c r="M7" s="8">
        <v>13.0</v>
      </c>
      <c r="N7" s="8">
        <v>13.0</v>
      </c>
      <c r="O7" s="7">
        <f t="shared" ref="O7:O9" si="1">O26/$O$5</f>
        <v>13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 t="s">
        <v>20</v>
      </c>
      <c r="B8" s="2"/>
      <c r="C8" s="8">
        <v>15.0</v>
      </c>
      <c r="D8" s="8">
        <v>15.0</v>
      </c>
      <c r="E8" s="8">
        <v>15.0</v>
      </c>
      <c r="F8" s="8">
        <v>15.0</v>
      </c>
      <c r="G8" s="8">
        <v>15.0</v>
      </c>
      <c r="H8" s="8">
        <v>15.0</v>
      </c>
      <c r="I8" s="8">
        <v>15.0</v>
      </c>
      <c r="J8" s="8">
        <v>15.0</v>
      </c>
      <c r="K8" s="8">
        <v>15.0</v>
      </c>
      <c r="L8" s="8">
        <v>15.0</v>
      </c>
      <c r="M8" s="8">
        <v>15.0</v>
      </c>
      <c r="N8" s="8">
        <v>15.0</v>
      </c>
      <c r="O8" s="7">
        <f t="shared" si="1"/>
        <v>15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 t="s">
        <v>21</v>
      </c>
      <c r="B9" s="2"/>
      <c r="C9" s="9">
        <f t="shared" ref="C9:N9" si="2">(C7+C8)*0.15</f>
        <v>4.2</v>
      </c>
      <c r="D9" s="9">
        <f t="shared" si="2"/>
        <v>4.2</v>
      </c>
      <c r="E9" s="9">
        <f t="shared" si="2"/>
        <v>4.2</v>
      </c>
      <c r="F9" s="9">
        <f t="shared" si="2"/>
        <v>4.2</v>
      </c>
      <c r="G9" s="9">
        <f t="shared" si="2"/>
        <v>4.2</v>
      </c>
      <c r="H9" s="9">
        <f t="shared" si="2"/>
        <v>4.2</v>
      </c>
      <c r="I9" s="9">
        <f t="shared" si="2"/>
        <v>4.2</v>
      </c>
      <c r="J9" s="9">
        <f t="shared" si="2"/>
        <v>4.2</v>
      </c>
      <c r="K9" s="9">
        <f t="shared" si="2"/>
        <v>4.2</v>
      </c>
      <c r="L9" s="9">
        <f t="shared" si="2"/>
        <v>4.2</v>
      </c>
      <c r="M9" s="9">
        <f t="shared" si="2"/>
        <v>4.2</v>
      </c>
      <c r="N9" s="9">
        <f t="shared" si="2"/>
        <v>4.2</v>
      </c>
      <c r="O9" s="7">
        <f t="shared" si="1"/>
        <v>4.2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 t="s">
        <v>22</v>
      </c>
      <c r="B10" s="2"/>
      <c r="C10" s="7">
        <f t="shared" ref="C10:N10" si="3">C85</f>
        <v>4.166666667</v>
      </c>
      <c r="D10" s="7">
        <f t="shared" si="3"/>
        <v>4.166666667</v>
      </c>
      <c r="E10" s="7">
        <f t="shared" si="3"/>
        <v>4.166666667</v>
      </c>
      <c r="F10" s="7">
        <f t="shared" si="3"/>
        <v>4.166666667</v>
      </c>
      <c r="G10" s="7">
        <f t="shared" si="3"/>
        <v>4.166666667</v>
      </c>
      <c r="H10" s="7">
        <f t="shared" si="3"/>
        <v>4.166666667</v>
      </c>
      <c r="I10" s="7">
        <f t="shared" si="3"/>
        <v>12.5</v>
      </c>
      <c r="J10" s="7">
        <f t="shared" si="3"/>
        <v>12.5</v>
      </c>
      <c r="K10" s="7">
        <f t="shared" si="3"/>
        <v>12.5</v>
      </c>
      <c r="L10" s="7">
        <f t="shared" si="3"/>
        <v>12.5</v>
      </c>
      <c r="M10" s="7">
        <f t="shared" si="3"/>
        <v>12.5</v>
      </c>
      <c r="N10" s="7">
        <f t="shared" si="3"/>
        <v>12.5</v>
      </c>
      <c r="O10" s="7">
        <f t="shared" ref="O10:O11" si="4">SUM(C10:N10)</f>
        <v>100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7">
        <f t="shared" si="4"/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 t="s">
        <v>24</v>
      </c>
      <c r="B12" s="2"/>
      <c r="C12" s="2">
        <v>45.0</v>
      </c>
      <c r="D12" s="2">
        <v>40.0</v>
      </c>
      <c r="E12" s="2">
        <v>35.0</v>
      </c>
      <c r="F12" s="2">
        <v>35.0</v>
      </c>
      <c r="G12" s="2">
        <v>35.0</v>
      </c>
      <c r="H12" s="2">
        <v>35.0</v>
      </c>
      <c r="I12" s="2">
        <v>35.0</v>
      </c>
      <c r="J12" s="2">
        <v>35.0</v>
      </c>
      <c r="K12" s="2">
        <v>35.0</v>
      </c>
      <c r="L12" s="2">
        <v>35.0</v>
      </c>
      <c r="M12" s="2">
        <v>35.0</v>
      </c>
      <c r="N12" s="2">
        <v>35.0</v>
      </c>
      <c r="O12" s="2">
        <f>AVERAGE(C50:N50)/(O24/365)</f>
        <v>35.48611111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 t="s">
        <v>25</v>
      </c>
      <c r="B13" s="2"/>
      <c r="C13" s="2">
        <v>60.0</v>
      </c>
      <c r="D13" s="2">
        <v>60.0</v>
      </c>
      <c r="E13" s="2">
        <v>50.0</v>
      </c>
      <c r="F13" s="2">
        <v>60.0</v>
      </c>
      <c r="G13" s="2">
        <v>60.0</v>
      </c>
      <c r="H13" s="2">
        <v>60.0</v>
      </c>
      <c r="I13" s="2">
        <v>60.0</v>
      </c>
      <c r="J13" s="2">
        <v>60.0</v>
      </c>
      <c r="K13" s="2">
        <v>60.0</v>
      </c>
      <c r="L13" s="2">
        <v>60.0</v>
      </c>
      <c r="M13" s="2">
        <v>60.0</v>
      </c>
      <c r="N13" s="2">
        <v>60.0</v>
      </c>
      <c r="O13" s="2">
        <f>AVERAGE(C51:N51)/(O30/365)</f>
        <v>95.96925702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 t="s">
        <v>26</v>
      </c>
      <c r="B14" s="2"/>
      <c r="C14" s="2">
        <v>30.0</v>
      </c>
      <c r="D14" s="2">
        <v>30.0</v>
      </c>
      <c r="E14" s="2">
        <v>30.0</v>
      </c>
      <c r="F14" s="2">
        <v>30.0</v>
      </c>
      <c r="G14" s="2">
        <v>30.0</v>
      </c>
      <c r="H14" s="2">
        <v>30.0</v>
      </c>
      <c r="I14" s="2">
        <v>30.0</v>
      </c>
      <c r="J14" s="2">
        <v>30.0</v>
      </c>
      <c r="K14" s="2">
        <v>30.0</v>
      </c>
      <c r="L14" s="2">
        <v>30.0</v>
      </c>
      <c r="M14" s="2">
        <v>30.0</v>
      </c>
      <c r="N14" s="2">
        <v>30.0</v>
      </c>
      <c r="O14" s="2">
        <f>(AVERAGE(C64:N64)+AVERAGE(C65:N65))/(O30/365)</f>
        <v>12.3170084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 t="s">
        <v>28</v>
      </c>
      <c r="B16" s="2"/>
      <c r="C16" s="6">
        <v>100.0</v>
      </c>
      <c r="D16" s="6">
        <v>100.0</v>
      </c>
      <c r="E16" s="6">
        <v>100.0</v>
      </c>
      <c r="F16" s="6">
        <v>100.0</v>
      </c>
      <c r="G16" s="6">
        <v>100.0</v>
      </c>
      <c r="H16" s="6">
        <v>100.0</v>
      </c>
      <c r="I16" s="6">
        <v>100.0</v>
      </c>
      <c r="J16" s="6">
        <v>100.0</v>
      </c>
      <c r="K16" s="6">
        <v>100.0</v>
      </c>
      <c r="L16" s="6">
        <v>100.0</v>
      </c>
      <c r="M16" s="6">
        <v>100.0</v>
      </c>
      <c r="N16" s="6">
        <v>100.0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 t="s">
        <v>29</v>
      </c>
      <c r="B17" s="2"/>
      <c r="C17" s="10">
        <v>0.36</v>
      </c>
      <c r="D17" s="10">
        <v>0.36</v>
      </c>
      <c r="E17" s="10">
        <v>0.36</v>
      </c>
      <c r="F17" s="10">
        <v>0.36</v>
      </c>
      <c r="G17" s="10">
        <v>0.36</v>
      </c>
      <c r="H17" s="10">
        <v>0.36</v>
      </c>
      <c r="I17" s="10">
        <v>0.36</v>
      </c>
      <c r="J17" s="10">
        <v>0.36</v>
      </c>
      <c r="K17" s="10">
        <v>0.36</v>
      </c>
      <c r="L17" s="10">
        <v>0.36</v>
      </c>
      <c r="M17" s="10">
        <v>0.36</v>
      </c>
      <c r="N17" s="10">
        <v>0.36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 t="s">
        <v>30</v>
      </c>
      <c r="B18" s="2"/>
      <c r="C18" s="10">
        <v>0.1</v>
      </c>
      <c r="D18" s="10">
        <v>0.1</v>
      </c>
      <c r="E18" s="10">
        <v>0.1</v>
      </c>
      <c r="F18" s="10">
        <v>0.1</v>
      </c>
      <c r="G18" s="10">
        <v>0.1</v>
      </c>
      <c r="H18" s="10">
        <v>0.1</v>
      </c>
      <c r="I18" s="10">
        <v>0.1</v>
      </c>
      <c r="J18" s="10">
        <v>0.1</v>
      </c>
      <c r="K18" s="10">
        <v>0.1</v>
      </c>
      <c r="L18" s="10">
        <v>0.1</v>
      </c>
      <c r="M18" s="10">
        <v>0.1</v>
      </c>
      <c r="N18" s="10">
        <v>0.1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1" t="s">
        <v>32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5"/>
      <c r="B22" s="5"/>
      <c r="C22" s="13" t="s">
        <v>4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11</v>
      </c>
      <c r="K22" s="13" t="s">
        <v>12</v>
      </c>
      <c r="L22" s="13" t="s">
        <v>13</v>
      </c>
      <c r="M22" s="13" t="s">
        <v>14</v>
      </c>
      <c r="N22" s="13" t="s">
        <v>15</v>
      </c>
      <c r="O22" s="14" t="s">
        <v>16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5"/>
      <c r="B23" s="5"/>
      <c r="C23" s="5"/>
      <c r="D23" s="5"/>
      <c r="E23" s="5"/>
      <c r="F23" s="5"/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5" t="s">
        <v>33</v>
      </c>
      <c r="B24" s="15" t="s">
        <v>34</v>
      </c>
      <c r="C24" s="2">
        <f t="shared" ref="C24:N24" si="5">C5*C6</f>
        <v>0</v>
      </c>
      <c r="D24" s="2">
        <f t="shared" si="5"/>
        <v>0</v>
      </c>
      <c r="E24" s="2">
        <f t="shared" si="5"/>
        <v>0</v>
      </c>
      <c r="F24" s="2">
        <f t="shared" si="5"/>
        <v>0</v>
      </c>
      <c r="G24" s="2">
        <f t="shared" si="5"/>
        <v>35850</v>
      </c>
      <c r="H24" s="2">
        <f t="shared" si="5"/>
        <v>71700</v>
      </c>
      <c r="I24" s="2">
        <f t="shared" si="5"/>
        <v>107550</v>
      </c>
      <c r="J24" s="2">
        <f t="shared" si="5"/>
        <v>215100</v>
      </c>
      <c r="K24" s="2">
        <f t="shared" si="5"/>
        <v>286800</v>
      </c>
      <c r="L24" s="2">
        <f t="shared" si="5"/>
        <v>609450</v>
      </c>
      <c r="M24" s="2">
        <f t="shared" si="5"/>
        <v>896250</v>
      </c>
      <c r="N24" s="2">
        <f t="shared" si="5"/>
        <v>1362300</v>
      </c>
      <c r="O24" s="16">
        <f>SUM(C24:N24)</f>
        <v>3585000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5" t="s">
        <v>36</v>
      </c>
      <c r="B26" s="15" t="s">
        <v>34</v>
      </c>
      <c r="C26" s="2">
        <f t="shared" ref="C26:N26" si="6">C5*C7</f>
        <v>0</v>
      </c>
      <c r="D26" s="2">
        <f t="shared" si="6"/>
        <v>0</v>
      </c>
      <c r="E26" s="2">
        <f t="shared" si="6"/>
        <v>0</v>
      </c>
      <c r="F26" s="2">
        <f t="shared" si="6"/>
        <v>0</v>
      </c>
      <c r="G26" s="2">
        <f t="shared" si="6"/>
        <v>9321</v>
      </c>
      <c r="H26" s="2">
        <f t="shared" si="6"/>
        <v>18642</v>
      </c>
      <c r="I26" s="2">
        <f t="shared" si="6"/>
        <v>27963</v>
      </c>
      <c r="J26" s="2">
        <f t="shared" si="6"/>
        <v>55926</v>
      </c>
      <c r="K26" s="2">
        <f t="shared" si="6"/>
        <v>74568</v>
      </c>
      <c r="L26" s="2">
        <f t="shared" si="6"/>
        <v>158457</v>
      </c>
      <c r="M26" s="2">
        <f t="shared" si="6"/>
        <v>233025</v>
      </c>
      <c r="N26" s="2">
        <f t="shared" si="6"/>
        <v>354198</v>
      </c>
      <c r="O26" s="2">
        <f t="shared" ref="O26:O31" si="8">SUM(C26:N26)</f>
        <v>932100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5" t="s">
        <v>37</v>
      </c>
      <c r="B27" s="15" t="s">
        <v>38</v>
      </c>
      <c r="C27" s="2">
        <f t="shared" ref="C27:N27" si="7">C5*C8</f>
        <v>0</v>
      </c>
      <c r="D27" s="2">
        <f t="shared" si="7"/>
        <v>0</v>
      </c>
      <c r="E27" s="2">
        <f t="shared" si="7"/>
        <v>0</v>
      </c>
      <c r="F27" s="2">
        <f t="shared" si="7"/>
        <v>0</v>
      </c>
      <c r="G27" s="2">
        <f t="shared" si="7"/>
        <v>10755</v>
      </c>
      <c r="H27" s="2">
        <f t="shared" si="7"/>
        <v>21510</v>
      </c>
      <c r="I27" s="2">
        <f t="shared" si="7"/>
        <v>32265</v>
      </c>
      <c r="J27" s="2">
        <f t="shared" si="7"/>
        <v>64530</v>
      </c>
      <c r="K27" s="2">
        <f t="shared" si="7"/>
        <v>86040</v>
      </c>
      <c r="L27" s="2">
        <f t="shared" si="7"/>
        <v>182835</v>
      </c>
      <c r="M27" s="2">
        <f t="shared" si="7"/>
        <v>268875</v>
      </c>
      <c r="N27" s="2">
        <f t="shared" si="7"/>
        <v>408690</v>
      </c>
      <c r="O27" s="2">
        <f t="shared" si="8"/>
        <v>1075500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5" t="s">
        <v>39</v>
      </c>
      <c r="B28" s="15" t="s">
        <v>38</v>
      </c>
      <c r="C28" s="2">
        <f t="shared" ref="C28:N28" si="9">C9*C5</f>
        <v>0</v>
      </c>
      <c r="D28" s="2">
        <f t="shared" si="9"/>
        <v>0</v>
      </c>
      <c r="E28" s="2">
        <f t="shared" si="9"/>
        <v>0</v>
      </c>
      <c r="F28" s="2">
        <f t="shared" si="9"/>
        <v>0</v>
      </c>
      <c r="G28" s="2">
        <f t="shared" si="9"/>
        <v>3011.4</v>
      </c>
      <c r="H28" s="2">
        <f t="shared" si="9"/>
        <v>6022.8</v>
      </c>
      <c r="I28" s="2">
        <f t="shared" si="9"/>
        <v>9034.2</v>
      </c>
      <c r="J28" s="2">
        <f t="shared" si="9"/>
        <v>18068.4</v>
      </c>
      <c r="K28" s="2">
        <f t="shared" si="9"/>
        <v>24091.2</v>
      </c>
      <c r="L28" s="2">
        <f t="shared" si="9"/>
        <v>51193.8</v>
      </c>
      <c r="M28" s="2">
        <f t="shared" si="9"/>
        <v>75285</v>
      </c>
      <c r="N28" s="2">
        <f t="shared" si="9"/>
        <v>114433.2</v>
      </c>
      <c r="O28" s="2">
        <f t="shared" si="8"/>
        <v>301140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5" t="s">
        <v>40</v>
      </c>
      <c r="B29" s="15" t="s">
        <v>41</v>
      </c>
      <c r="C29" s="2">
        <f t="shared" ref="C29:N29" si="10">C10+C11</f>
        <v>4.166666667</v>
      </c>
      <c r="D29" s="2">
        <f t="shared" si="10"/>
        <v>4.166666667</v>
      </c>
      <c r="E29" s="2">
        <f t="shared" si="10"/>
        <v>4.166666667</v>
      </c>
      <c r="F29" s="2">
        <f t="shared" si="10"/>
        <v>4.166666667</v>
      </c>
      <c r="G29" s="2">
        <f t="shared" si="10"/>
        <v>4.166666667</v>
      </c>
      <c r="H29" s="2">
        <f t="shared" si="10"/>
        <v>4.166666667</v>
      </c>
      <c r="I29" s="2">
        <f t="shared" si="10"/>
        <v>12.5</v>
      </c>
      <c r="J29" s="2">
        <f t="shared" si="10"/>
        <v>12.5</v>
      </c>
      <c r="K29" s="2">
        <f t="shared" si="10"/>
        <v>12.5</v>
      </c>
      <c r="L29" s="2">
        <f t="shared" si="10"/>
        <v>12.5</v>
      </c>
      <c r="M29" s="2">
        <f t="shared" si="10"/>
        <v>12.5</v>
      </c>
      <c r="N29" s="2">
        <f t="shared" si="10"/>
        <v>12.5</v>
      </c>
      <c r="O29" s="2">
        <f t="shared" si="8"/>
        <v>100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" t="s">
        <v>42</v>
      </c>
      <c r="B30" s="1"/>
      <c r="C30" s="17">
        <f t="shared" ref="C30:N30" si="11">SUM(C26:C29)</f>
        <v>4.166666667</v>
      </c>
      <c r="D30" s="17">
        <f t="shared" si="11"/>
        <v>4.166666667</v>
      </c>
      <c r="E30" s="17">
        <f t="shared" si="11"/>
        <v>4.166666667</v>
      </c>
      <c r="F30" s="17">
        <f t="shared" si="11"/>
        <v>4.166666667</v>
      </c>
      <c r="G30" s="17">
        <f t="shared" si="11"/>
        <v>23091.56667</v>
      </c>
      <c r="H30" s="17">
        <f t="shared" si="11"/>
        <v>46178.96667</v>
      </c>
      <c r="I30" s="17">
        <f t="shared" si="11"/>
        <v>69274.7</v>
      </c>
      <c r="J30" s="17">
        <f t="shared" si="11"/>
        <v>138536.9</v>
      </c>
      <c r="K30" s="17">
        <f t="shared" si="11"/>
        <v>184711.7</v>
      </c>
      <c r="L30" s="17">
        <f t="shared" si="11"/>
        <v>392498.3</v>
      </c>
      <c r="M30" s="17">
        <f t="shared" si="11"/>
        <v>577197.5</v>
      </c>
      <c r="N30" s="17">
        <f t="shared" si="11"/>
        <v>877333.7</v>
      </c>
      <c r="O30" s="17">
        <f t="shared" si="8"/>
        <v>2308840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8" t="s">
        <v>43</v>
      </c>
      <c r="B31" s="18"/>
      <c r="C31" s="4">
        <f t="shared" ref="C31:N31" si="12">C24-C30</f>
        <v>-4.166666667</v>
      </c>
      <c r="D31" s="4">
        <f t="shared" si="12"/>
        <v>-4.166666667</v>
      </c>
      <c r="E31" s="4">
        <f t="shared" si="12"/>
        <v>-4.166666667</v>
      </c>
      <c r="F31" s="4">
        <f t="shared" si="12"/>
        <v>-4.166666667</v>
      </c>
      <c r="G31" s="4">
        <f t="shared" si="12"/>
        <v>12758.43333</v>
      </c>
      <c r="H31" s="4">
        <f t="shared" si="12"/>
        <v>25521.03333</v>
      </c>
      <c r="I31" s="4">
        <f t="shared" si="12"/>
        <v>38275.3</v>
      </c>
      <c r="J31" s="4">
        <f t="shared" si="12"/>
        <v>76563.1</v>
      </c>
      <c r="K31" s="4">
        <f t="shared" si="12"/>
        <v>102088.3</v>
      </c>
      <c r="L31" s="4">
        <f t="shared" si="12"/>
        <v>216951.7</v>
      </c>
      <c r="M31" s="4">
        <f t="shared" si="12"/>
        <v>319052.5</v>
      </c>
      <c r="N31" s="4">
        <f t="shared" si="12"/>
        <v>484966.3</v>
      </c>
      <c r="O31" s="4">
        <f t="shared" si="8"/>
        <v>1276160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 t="s">
        <v>44</v>
      </c>
      <c r="B32" s="2"/>
      <c r="C32" s="10" t="str">
        <f t="shared" ref="C32:O32" si="13">C31/C24</f>
        <v>#DIV/0!</v>
      </c>
      <c r="D32" s="10" t="str">
        <f t="shared" si="13"/>
        <v>#DIV/0!</v>
      </c>
      <c r="E32" s="10" t="str">
        <f t="shared" si="13"/>
        <v>#DIV/0!</v>
      </c>
      <c r="F32" s="10" t="str">
        <f t="shared" si="13"/>
        <v>#DIV/0!</v>
      </c>
      <c r="G32" s="10">
        <f t="shared" si="13"/>
        <v>0.355883775</v>
      </c>
      <c r="H32" s="10">
        <f t="shared" si="13"/>
        <v>0.3559418875</v>
      </c>
      <c r="I32" s="10">
        <f t="shared" si="13"/>
        <v>0.355883775</v>
      </c>
      <c r="J32" s="10">
        <f t="shared" si="13"/>
        <v>0.3559418875</v>
      </c>
      <c r="K32" s="10">
        <f t="shared" si="13"/>
        <v>0.3559564156</v>
      </c>
      <c r="L32" s="10">
        <f t="shared" si="13"/>
        <v>0.3559794897</v>
      </c>
      <c r="M32" s="10">
        <f t="shared" si="13"/>
        <v>0.355986053</v>
      </c>
      <c r="N32" s="10">
        <f t="shared" si="13"/>
        <v>0.3559908243</v>
      </c>
      <c r="O32" s="10">
        <f t="shared" si="13"/>
        <v>0.355972106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 t="s">
        <v>45</v>
      </c>
      <c r="B33" s="2" t="s">
        <v>41</v>
      </c>
      <c r="C33" s="2">
        <v>200.0</v>
      </c>
      <c r="D33" s="2">
        <v>200.0</v>
      </c>
      <c r="E33" s="2">
        <v>200.0</v>
      </c>
      <c r="F33" s="2">
        <v>200.0</v>
      </c>
      <c r="G33" s="2">
        <v>200.0</v>
      </c>
      <c r="H33" s="2">
        <v>200.0</v>
      </c>
      <c r="I33" s="2">
        <v>200.0</v>
      </c>
      <c r="J33" s="2">
        <v>200.0</v>
      </c>
      <c r="K33" s="2">
        <v>200.0</v>
      </c>
      <c r="L33" s="2">
        <v>200.0</v>
      </c>
      <c r="M33" s="2">
        <v>200.0</v>
      </c>
      <c r="N33" s="2">
        <v>200.0</v>
      </c>
      <c r="O33" s="2">
        <f t="shared" ref="O33:O34" si="14">SUM(C33:N33)</f>
        <v>2400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 t="s">
        <v>46</v>
      </c>
      <c r="B34" s="2" t="s">
        <v>41</v>
      </c>
      <c r="C34" s="17">
        <v>25.0</v>
      </c>
      <c r="D34" s="17">
        <v>28.0</v>
      </c>
      <c r="E34" s="17">
        <v>35.0</v>
      </c>
      <c r="F34" s="17">
        <v>40.0</v>
      </c>
      <c r="G34" s="17">
        <v>40.0</v>
      </c>
      <c r="H34" s="17">
        <v>40.0</v>
      </c>
      <c r="I34" s="17">
        <v>40.0</v>
      </c>
      <c r="J34" s="17">
        <v>40.0</v>
      </c>
      <c r="K34" s="17">
        <v>40.0</v>
      </c>
      <c r="L34" s="17">
        <v>40.0</v>
      </c>
      <c r="M34" s="17">
        <v>40.0</v>
      </c>
      <c r="N34" s="17">
        <v>40.0</v>
      </c>
      <c r="O34" s="17">
        <f t="shared" si="14"/>
        <v>448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" t="s">
        <v>47</v>
      </c>
      <c r="B36" s="1"/>
      <c r="C36" s="2">
        <f t="shared" ref="C36:N36" si="15">C31-C33-C34</f>
        <v>-229.1666667</v>
      </c>
      <c r="D36" s="2">
        <f t="shared" si="15"/>
        <v>-232.1666667</v>
      </c>
      <c r="E36" s="2">
        <f t="shared" si="15"/>
        <v>-239.1666667</v>
      </c>
      <c r="F36" s="2">
        <f t="shared" si="15"/>
        <v>-244.1666667</v>
      </c>
      <c r="G36" s="2">
        <f t="shared" si="15"/>
        <v>12518.43333</v>
      </c>
      <c r="H36" s="2">
        <f t="shared" si="15"/>
        <v>25281.03333</v>
      </c>
      <c r="I36" s="2">
        <f t="shared" si="15"/>
        <v>38035.3</v>
      </c>
      <c r="J36" s="2">
        <f t="shared" si="15"/>
        <v>76323.1</v>
      </c>
      <c r="K36" s="2">
        <f t="shared" si="15"/>
        <v>101848.3</v>
      </c>
      <c r="L36" s="2">
        <f t="shared" si="15"/>
        <v>216711.7</v>
      </c>
      <c r="M36" s="2">
        <f t="shared" si="15"/>
        <v>318812.5</v>
      </c>
      <c r="N36" s="2">
        <f t="shared" si="15"/>
        <v>484726.3</v>
      </c>
      <c r="O36" s="2">
        <f t="shared" ref="O36:O37" si="16">SUM(C36:N36)</f>
        <v>1273312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 t="s">
        <v>48</v>
      </c>
      <c r="B37" s="2"/>
      <c r="C37" s="2">
        <f>Amortization!N12+(C62*(C18/12))</f>
        <v>0</v>
      </c>
      <c r="D37" s="2">
        <f>Amortization!O12+(D62*(D18/12))</f>
        <v>0</v>
      </c>
      <c r="E37" s="2">
        <f>Amortization!P12+(E62*(E18/12))</f>
        <v>0</v>
      </c>
      <c r="F37" s="2">
        <f>Amortization!Q12+(F62*(F18/12))</f>
        <v>0</v>
      </c>
      <c r="G37" s="2">
        <f>Amortization!R12+(G62*(G18/12))</f>
        <v>0</v>
      </c>
      <c r="H37" s="2">
        <f>Amortization!S12+(H62*(H18/12))</f>
        <v>0</v>
      </c>
      <c r="I37" s="2">
        <f>Amortization!T12+(I62*(I18/12))</f>
        <v>0</v>
      </c>
      <c r="J37" s="2">
        <f>Amortization!U12+(J62*(J18/12))</f>
        <v>0</v>
      </c>
      <c r="K37" s="2">
        <f>Amortization!V12+(K62*(K18/12))</f>
        <v>0</v>
      </c>
      <c r="L37" s="2">
        <f>Amortization!W12+(L62*(L18/12))</f>
        <v>0</v>
      </c>
      <c r="M37" s="2">
        <f>Amortization!X12+(M62*(M18/12))</f>
        <v>0</v>
      </c>
      <c r="N37" s="2">
        <f>Amortization!Y12+(N62*(N18/12))</f>
        <v>0</v>
      </c>
      <c r="O37" s="2">
        <f t="shared" si="16"/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" t="s">
        <v>49</v>
      </c>
      <c r="B39" s="1"/>
      <c r="C39" s="2">
        <f t="shared" ref="C39:N39" si="17">C36-C37</f>
        <v>-229.1666667</v>
      </c>
      <c r="D39" s="2">
        <f t="shared" si="17"/>
        <v>-232.1666667</v>
      </c>
      <c r="E39" s="2">
        <f t="shared" si="17"/>
        <v>-239.1666667</v>
      </c>
      <c r="F39" s="2">
        <f t="shared" si="17"/>
        <v>-244.1666667</v>
      </c>
      <c r="G39" s="2">
        <f t="shared" si="17"/>
        <v>12518.43333</v>
      </c>
      <c r="H39" s="2">
        <f t="shared" si="17"/>
        <v>25281.03333</v>
      </c>
      <c r="I39" s="2">
        <f t="shared" si="17"/>
        <v>38035.3</v>
      </c>
      <c r="J39" s="2">
        <f t="shared" si="17"/>
        <v>76323.1</v>
      </c>
      <c r="K39" s="2">
        <f t="shared" si="17"/>
        <v>101848.3</v>
      </c>
      <c r="L39" s="2">
        <f t="shared" si="17"/>
        <v>216711.7</v>
      </c>
      <c r="M39" s="2">
        <f t="shared" si="17"/>
        <v>318812.5</v>
      </c>
      <c r="N39" s="2">
        <f t="shared" si="17"/>
        <v>484726.3</v>
      </c>
      <c r="O39" s="2">
        <f>SUM(C39:N39)</f>
        <v>1273312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5" t="s">
        <v>50</v>
      </c>
      <c r="B40" s="1"/>
      <c r="C40" s="2">
        <f>+C39</f>
        <v>-229.1666667</v>
      </c>
      <c r="D40" s="2">
        <f t="shared" ref="D40:N40" si="18">+C40+D39</f>
        <v>-461.3333333</v>
      </c>
      <c r="E40" s="2">
        <f t="shared" si="18"/>
        <v>-700.5</v>
      </c>
      <c r="F40" s="2">
        <f t="shared" si="18"/>
        <v>-944.6666667</v>
      </c>
      <c r="G40" s="2">
        <f t="shared" si="18"/>
        <v>11573.76667</v>
      </c>
      <c r="H40" s="2">
        <f t="shared" si="18"/>
        <v>36854.8</v>
      </c>
      <c r="I40" s="2">
        <f t="shared" si="18"/>
        <v>74890.1</v>
      </c>
      <c r="J40" s="2">
        <f t="shared" si="18"/>
        <v>151213.2</v>
      </c>
      <c r="K40" s="2">
        <f t="shared" si="18"/>
        <v>253061.5</v>
      </c>
      <c r="L40" s="2">
        <f t="shared" si="18"/>
        <v>469773.2</v>
      </c>
      <c r="M40" s="2">
        <f t="shared" si="18"/>
        <v>788585.7</v>
      </c>
      <c r="N40" s="2">
        <f t="shared" si="18"/>
        <v>1273312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5" t="s">
        <v>51</v>
      </c>
      <c r="B41" s="1"/>
      <c r="C41" s="2">
        <f t="shared" ref="C41:N41" si="19">IF(C40&lt;0,0,IF(C40&gt;C39,C39*C17,C40*C17))</f>
        <v>0</v>
      </c>
      <c r="D41" s="2">
        <f t="shared" si="19"/>
        <v>0</v>
      </c>
      <c r="E41" s="2">
        <f t="shared" si="19"/>
        <v>0</v>
      </c>
      <c r="F41" s="2">
        <f t="shared" si="19"/>
        <v>0</v>
      </c>
      <c r="G41" s="2">
        <f t="shared" si="19"/>
        <v>4166.556</v>
      </c>
      <c r="H41" s="2">
        <f t="shared" si="19"/>
        <v>9101.172</v>
      </c>
      <c r="I41" s="2">
        <f t="shared" si="19"/>
        <v>13692.708</v>
      </c>
      <c r="J41" s="2">
        <f t="shared" si="19"/>
        <v>27476.316</v>
      </c>
      <c r="K41" s="2">
        <f t="shared" si="19"/>
        <v>36665.388</v>
      </c>
      <c r="L41" s="2">
        <f t="shared" si="19"/>
        <v>78016.212</v>
      </c>
      <c r="M41" s="2">
        <f t="shared" si="19"/>
        <v>114772.5</v>
      </c>
      <c r="N41" s="2">
        <f t="shared" si="19"/>
        <v>174501.468</v>
      </c>
      <c r="O41" s="2">
        <f t="shared" ref="O41:O42" si="21">SUM(C41:N41)</f>
        <v>458392.32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5" t="s">
        <v>52</v>
      </c>
      <c r="B42" s="15"/>
      <c r="C42" s="2">
        <f t="shared" ref="C42:N42" si="20">C41</f>
        <v>0</v>
      </c>
      <c r="D42" s="2">
        <f t="shared" si="20"/>
        <v>0</v>
      </c>
      <c r="E42" s="2">
        <f t="shared" si="20"/>
        <v>0</v>
      </c>
      <c r="F42" s="2">
        <f t="shared" si="20"/>
        <v>0</v>
      </c>
      <c r="G42" s="2">
        <f t="shared" si="20"/>
        <v>4166.556</v>
      </c>
      <c r="H42" s="2">
        <f t="shared" si="20"/>
        <v>9101.172</v>
      </c>
      <c r="I42" s="2">
        <f t="shared" si="20"/>
        <v>13692.708</v>
      </c>
      <c r="J42" s="2">
        <f t="shared" si="20"/>
        <v>27476.316</v>
      </c>
      <c r="K42" s="2">
        <f t="shared" si="20"/>
        <v>36665.388</v>
      </c>
      <c r="L42" s="2">
        <f t="shared" si="20"/>
        <v>78016.212</v>
      </c>
      <c r="M42" s="2">
        <f t="shared" si="20"/>
        <v>114772.5</v>
      </c>
      <c r="N42" s="2">
        <f t="shared" si="20"/>
        <v>174501.468</v>
      </c>
      <c r="O42" s="2">
        <f t="shared" si="21"/>
        <v>458392.32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8" t="s">
        <v>53</v>
      </c>
      <c r="B44" s="18"/>
      <c r="C44" s="4">
        <f t="shared" ref="C44:N44" si="22">C39-C42</f>
        <v>-229.1666667</v>
      </c>
      <c r="D44" s="4">
        <f t="shared" si="22"/>
        <v>-232.1666667</v>
      </c>
      <c r="E44" s="4">
        <f t="shared" si="22"/>
        <v>-239.1666667</v>
      </c>
      <c r="F44" s="4">
        <f t="shared" si="22"/>
        <v>-244.1666667</v>
      </c>
      <c r="G44" s="4">
        <f t="shared" si="22"/>
        <v>8351.877333</v>
      </c>
      <c r="H44" s="4">
        <f t="shared" si="22"/>
        <v>16179.86133</v>
      </c>
      <c r="I44" s="4">
        <f t="shared" si="22"/>
        <v>24342.592</v>
      </c>
      <c r="J44" s="4">
        <f t="shared" si="22"/>
        <v>48846.784</v>
      </c>
      <c r="K44" s="4">
        <f t="shared" si="22"/>
        <v>65182.912</v>
      </c>
      <c r="L44" s="4">
        <f t="shared" si="22"/>
        <v>138695.488</v>
      </c>
      <c r="M44" s="4">
        <f t="shared" si="22"/>
        <v>204040</v>
      </c>
      <c r="N44" s="4">
        <f t="shared" si="22"/>
        <v>310224.832</v>
      </c>
      <c r="O44" s="4">
        <f>SUM(C44:N44)</f>
        <v>814919.68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9" t="s">
        <v>54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13" t="s">
        <v>4</v>
      </c>
      <c r="D47" s="13" t="s">
        <v>5</v>
      </c>
      <c r="E47" s="13" t="s">
        <v>6</v>
      </c>
      <c r="F47" s="13" t="s">
        <v>7</v>
      </c>
      <c r="G47" s="13" t="s">
        <v>8</v>
      </c>
      <c r="H47" s="13" t="s">
        <v>9</v>
      </c>
      <c r="I47" s="13" t="s">
        <v>10</v>
      </c>
      <c r="J47" s="13" t="s">
        <v>11</v>
      </c>
      <c r="K47" s="13" t="s">
        <v>12</v>
      </c>
      <c r="L47" s="13" t="s">
        <v>13</v>
      </c>
      <c r="M47" s="13" t="s">
        <v>14</v>
      </c>
      <c r="N47" s="13" t="s">
        <v>15</v>
      </c>
      <c r="O47" s="14" t="s">
        <v>16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" t="s">
        <v>55</v>
      </c>
      <c r="B49" s="1"/>
      <c r="C49" s="21">
        <f t="shared" ref="C49:N49" si="23">C53-C52-C51-C50</f>
        <v>-58.33333333</v>
      </c>
      <c r="D49" s="21">
        <f t="shared" si="23"/>
        <v>-288.3333333</v>
      </c>
      <c r="E49" s="21">
        <f t="shared" si="23"/>
        <v>-519.9444444</v>
      </c>
      <c r="F49" s="21">
        <f t="shared" si="23"/>
        <v>-46936.13333</v>
      </c>
      <c r="G49" s="21">
        <f t="shared" si="23"/>
        <v>-115175.6113</v>
      </c>
      <c r="H49" s="21">
        <f t="shared" si="23"/>
        <v>-175219.742</v>
      </c>
      <c r="I49" s="21">
        <f t="shared" si="23"/>
        <v>-329597.282</v>
      </c>
      <c r="J49" s="21">
        <f t="shared" si="23"/>
        <v>-463712.794</v>
      </c>
      <c r="K49" s="21">
        <f t="shared" si="23"/>
        <v>-869504.046</v>
      </c>
      <c r="L49" s="21">
        <f t="shared" si="23"/>
        <v>-1372050.046</v>
      </c>
      <c r="M49" s="21">
        <f t="shared" si="23"/>
        <v>-2009933.802</v>
      </c>
      <c r="N49" s="21">
        <f t="shared" si="23"/>
        <v>-3004791.274</v>
      </c>
      <c r="O49" s="2">
        <f t="shared" ref="O49:O53" si="25">N49</f>
        <v>-3004791.274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3" t="s">
        <v>56</v>
      </c>
      <c r="B50" s="3"/>
      <c r="C50" s="2">
        <f t="shared" ref="C50:N50" si="24">C24*(C12/30)</f>
        <v>0</v>
      </c>
      <c r="D50" s="2">
        <f t="shared" si="24"/>
        <v>0</v>
      </c>
      <c r="E50" s="2">
        <f t="shared" si="24"/>
        <v>0</v>
      </c>
      <c r="F50" s="2">
        <f t="shared" si="24"/>
        <v>0</v>
      </c>
      <c r="G50" s="2">
        <f t="shared" si="24"/>
        <v>41825</v>
      </c>
      <c r="H50" s="2">
        <f t="shared" si="24"/>
        <v>83650</v>
      </c>
      <c r="I50" s="2">
        <f t="shared" si="24"/>
        <v>125475</v>
      </c>
      <c r="J50" s="2">
        <f t="shared" si="24"/>
        <v>250950</v>
      </c>
      <c r="K50" s="2">
        <f t="shared" si="24"/>
        <v>334600</v>
      </c>
      <c r="L50" s="2">
        <f t="shared" si="24"/>
        <v>711025</v>
      </c>
      <c r="M50" s="2">
        <f t="shared" si="24"/>
        <v>1045625</v>
      </c>
      <c r="N50" s="2">
        <f t="shared" si="24"/>
        <v>1589350</v>
      </c>
      <c r="O50" s="2">
        <f t="shared" si="25"/>
        <v>1589350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3" t="s">
        <v>57</v>
      </c>
      <c r="B51" s="3"/>
      <c r="C51" s="2">
        <f t="shared" ref="C51:M51" si="26">D30*(C13/30)</f>
        <v>8.333333333</v>
      </c>
      <c r="D51" s="2">
        <f t="shared" si="26"/>
        <v>8.333333333</v>
      </c>
      <c r="E51" s="2">
        <f t="shared" si="26"/>
        <v>6.944444444</v>
      </c>
      <c r="F51" s="2">
        <f t="shared" si="26"/>
        <v>46183.13333</v>
      </c>
      <c r="G51" s="2">
        <f t="shared" si="26"/>
        <v>92357.93333</v>
      </c>
      <c r="H51" s="2">
        <f t="shared" si="26"/>
        <v>138549.4</v>
      </c>
      <c r="I51" s="2">
        <f t="shared" si="26"/>
        <v>277073.8</v>
      </c>
      <c r="J51" s="2">
        <f t="shared" si="26"/>
        <v>369423.4</v>
      </c>
      <c r="K51" s="2">
        <f t="shared" si="26"/>
        <v>784996.6</v>
      </c>
      <c r="L51" s="2">
        <f t="shared" si="26"/>
        <v>1154395</v>
      </c>
      <c r="M51" s="2">
        <f t="shared" si="26"/>
        <v>1754667.4</v>
      </c>
      <c r="N51" s="2">
        <f>(N30*(1+((N30-M30)/M30)))*(N13/30)</f>
        <v>2667074.688</v>
      </c>
      <c r="O51" s="2">
        <f t="shared" si="25"/>
        <v>2667074.688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 t="s">
        <v>58</v>
      </c>
      <c r="B52" s="2"/>
      <c r="C52" s="2">
        <v>50.0</v>
      </c>
      <c r="D52" s="2">
        <v>55.0</v>
      </c>
      <c r="E52" s="2">
        <v>60.0</v>
      </c>
      <c r="F52" s="2">
        <v>65.0</v>
      </c>
      <c r="G52" s="2">
        <v>65.0</v>
      </c>
      <c r="H52" s="2">
        <v>65.0</v>
      </c>
      <c r="I52" s="2">
        <v>65.0</v>
      </c>
      <c r="J52" s="2">
        <v>70.0</v>
      </c>
      <c r="K52" s="2">
        <v>70.0</v>
      </c>
      <c r="L52" s="2">
        <v>65.0</v>
      </c>
      <c r="M52" s="2">
        <v>75.0</v>
      </c>
      <c r="N52" s="2">
        <v>75.0</v>
      </c>
      <c r="O52" s="2">
        <f t="shared" si="25"/>
        <v>75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8" t="s">
        <v>59</v>
      </c>
      <c r="B53" s="18"/>
      <c r="C53" s="4">
        <f t="shared" ref="C53:N53" si="27">C59-C57</f>
        <v>0</v>
      </c>
      <c r="D53" s="4">
        <f t="shared" si="27"/>
        <v>-225</v>
      </c>
      <c r="E53" s="4">
        <f t="shared" si="27"/>
        <v>-453</v>
      </c>
      <c r="F53" s="4">
        <f t="shared" si="27"/>
        <v>-688</v>
      </c>
      <c r="G53" s="4">
        <f t="shared" si="27"/>
        <v>19072.322</v>
      </c>
      <c r="H53" s="4">
        <f t="shared" si="27"/>
        <v>47044.658</v>
      </c>
      <c r="I53" s="4">
        <f t="shared" si="27"/>
        <v>73016.518</v>
      </c>
      <c r="J53" s="4">
        <f t="shared" si="27"/>
        <v>156730.606</v>
      </c>
      <c r="K53" s="4">
        <f t="shared" si="27"/>
        <v>250162.554</v>
      </c>
      <c r="L53" s="4">
        <f t="shared" si="27"/>
        <v>493434.954</v>
      </c>
      <c r="M53" s="4">
        <f t="shared" si="27"/>
        <v>790433.598</v>
      </c>
      <c r="N53" s="4">
        <f t="shared" si="27"/>
        <v>1251708.414</v>
      </c>
      <c r="O53" s="4">
        <f t="shared" si="25"/>
        <v>1251708.414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4"/>
      <c r="B54" s="4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 t="s">
        <v>60</v>
      </c>
      <c r="B55" s="2"/>
      <c r="C55" s="2">
        <v>5000.0</v>
      </c>
      <c r="D55" s="2">
        <v>5000.0</v>
      </c>
      <c r="E55" s="2">
        <v>5000.0</v>
      </c>
      <c r="F55" s="2">
        <v>5000.0</v>
      </c>
      <c r="G55" s="2">
        <v>5000.0</v>
      </c>
      <c r="H55" s="2">
        <v>5000.0</v>
      </c>
      <c r="I55" s="2">
        <v>15000.0</v>
      </c>
      <c r="J55" s="2">
        <v>15000.0</v>
      </c>
      <c r="K55" s="2">
        <v>15000.0</v>
      </c>
      <c r="L55" s="2">
        <v>15000.0</v>
      </c>
      <c r="M55" s="2">
        <v>15000.0</v>
      </c>
      <c r="N55" s="2">
        <v>15000.0</v>
      </c>
      <c r="O55" s="2">
        <f t="shared" ref="O55:O57" si="29">N55</f>
        <v>15000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3" t="s">
        <v>61</v>
      </c>
      <c r="B56" s="3"/>
      <c r="C56" s="2">
        <f>$C55*(1/(C16*12))</f>
        <v>4.166666667</v>
      </c>
      <c r="D56" s="2">
        <f t="shared" ref="D56:N56" si="28">D55*(1/(D16*12))+C56</f>
        <v>8.333333333</v>
      </c>
      <c r="E56" s="2">
        <f t="shared" si="28"/>
        <v>12.5</v>
      </c>
      <c r="F56" s="2">
        <f t="shared" si="28"/>
        <v>16.66666667</v>
      </c>
      <c r="G56" s="2">
        <f t="shared" si="28"/>
        <v>20.83333333</v>
      </c>
      <c r="H56" s="2">
        <f t="shared" si="28"/>
        <v>25</v>
      </c>
      <c r="I56" s="2">
        <f t="shared" si="28"/>
        <v>37.5</v>
      </c>
      <c r="J56" s="2">
        <f t="shared" si="28"/>
        <v>50</v>
      </c>
      <c r="K56" s="2">
        <f t="shared" si="28"/>
        <v>62.5</v>
      </c>
      <c r="L56" s="2">
        <f t="shared" si="28"/>
        <v>75</v>
      </c>
      <c r="M56" s="2">
        <f t="shared" si="28"/>
        <v>87.5</v>
      </c>
      <c r="N56" s="2">
        <f t="shared" si="28"/>
        <v>100</v>
      </c>
      <c r="O56" s="2">
        <f t="shared" si="29"/>
        <v>100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1" t="s">
        <v>62</v>
      </c>
      <c r="B57" s="1"/>
      <c r="C57" s="2">
        <f t="shared" ref="C57:N57" si="30">C55-C56</f>
        <v>4995.833333</v>
      </c>
      <c r="D57" s="2">
        <f t="shared" si="30"/>
        <v>4991.666667</v>
      </c>
      <c r="E57" s="2">
        <f t="shared" si="30"/>
        <v>4987.5</v>
      </c>
      <c r="F57" s="2">
        <f t="shared" si="30"/>
        <v>4983.333333</v>
      </c>
      <c r="G57" s="2">
        <f t="shared" si="30"/>
        <v>4979.166667</v>
      </c>
      <c r="H57" s="2">
        <f t="shared" si="30"/>
        <v>4975</v>
      </c>
      <c r="I57" s="2">
        <f t="shared" si="30"/>
        <v>14962.5</v>
      </c>
      <c r="J57" s="2">
        <f t="shared" si="30"/>
        <v>14950</v>
      </c>
      <c r="K57" s="2">
        <f t="shared" si="30"/>
        <v>14937.5</v>
      </c>
      <c r="L57" s="2">
        <f t="shared" si="30"/>
        <v>14925</v>
      </c>
      <c r="M57" s="2">
        <f t="shared" si="30"/>
        <v>14912.5</v>
      </c>
      <c r="N57" s="2">
        <f t="shared" si="30"/>
        <v>14900</v>
      </c>
      <c r="O57" s="2">
        <f t="shared" si="29"/>
        <v>14900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2" t="s">
        <v>63</v>
      </c>
      <c r="B59" s="22"/>
      <c r="C59" s="4">
        <f t="shared" ref="C59:N59" si="31">C79</f>
        <v>4995.833333</v>
      </c>
      <c r="D59" s="4">
        <f t="shared" si="31"/>
        <v>4766.666667</v>
      </c>
      <c r="E59" s="4">
        <f t="shared" si="31"/>
        <v>4534.5</v>
      </c>
      <c r="F59" s="4">
        <f t="shared" si="31"/>
        <v>4295.333333</v>
      </c>
      <c r="G59" s="4">
        <f t="shared" si="31"/>
        <v>24051.48867</v>
      </c>
      <c r="H59" s="4">
        <f t="shared" si="31"/>
        <v>52019.658</v>
      </c>
      <c r="I59" s="4">
        <f t="shared" si="31"/>
        <v>87979.018</v>
      </c>
      <c r="J59" s="4">
        <f t="shared" si="31"/>
        <v>171680.606</v>
      </c>
      <c r="K59" s="4">
        <f t="shared" si="31"/>
        <v>265100.054</v>
      </c>
      <c r="L59" s="4">
        <f t="shared" si="31"/>
        <v>508359.954</v>
      </c>
      <c r="M59" s="4">
        <f t="shared" si="31"/>
        <v>805346.098</v>
      </c>
      <c r="N59" s="4">
        <f t="shared" si="31"/>
        <v>1266608.414</v>
      </c>
      <c r="O59" s="2">
        <f>N59</f>
        <v>1266608.414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4"/>
      <c r="B60" s="4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4" t="s">
        <v>64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3" t="s">
        <v>65</v>
      </c>
      <c r="B62" s="3"/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  <c r="N62" s="2">
        <v>0.0</v>
      </c>
      <c r="O62" s="2">
        <f t="shared" ref="O62:O67" si="32">N62</f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3" t="s">
        <v>66</v>
      </c>
      <c r="B63" s="3"/>
      <c r="C63" s="2">
        <f>Amortization!N15</f>
        <v>0</v>
      </c>
      <c r="D63" s="2">
        <f>Amortization!O15</f>
        <v>0</v>
      </c>
      <c r="E63" s="2">
        <f>Amortization!P15</f>
        <v>0</v>
      </c>
      <c r="F63" s="2">
        <f>Amortization!Q15</f>
        <v>0</v>
      </c>
      <c r="G63" s="2">
        <f>Amortization!R15</f>
        <v>0</v>
      </c>
      <c r="H63" s="2">
        <f>Amortization!S15</f>
        <v>0</v>
      </c>
      <c r="I63" s="2">
        <f>Amortization!T15</f>
        <v>0</v>
      </c>
      <c r="J63" s="2">
        <f>Amortization!U15</f>
        <v>0</v>
      </c>
      <c r="K63" s="2">
        <f>Amortization!V15</f>
        <v>0</v>
      </c>
      <c r="L63" s="2">
        <f>Amortization!W15</f>
        <v>0</v>
      </c>
      <c r="M63" s="2">
        <f>Amortization!X15</f>
        <v>0</v>
      </c>
      <c r="N63" s="2">
        <f>Amortization!Y15</f>
        <v>0</v>
      </c>
      <c r="O63" s="2">
        <f t="shared" si="32"/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3" t="s">
        <v>67</v>
      </c>
      <c r="B64" s="3"/>
      <c r="C64" s="2">
        <f t="shared" ref="C64:N64" si="33">C26*(C14/30)</f>
        <v>0</v>
      </c>
      <c r="D64" s="2">
        <f t="shared" si="33"/>
        <v>0</v>
      </c>
      <c r="E64" s="2">
        <f t="shared" si="33"/>
        <v>0</v>
      </c>
      <c r="F64" s="2">
        <f t="shared" si="33"/>
        <v>0</v>
      </c>
      <c r="G64" s="2">
        <f t="shared" si="33"/>
        <v>9321</v>
      </c>
      <c r="H64" s="2">
        <f t="shared" si="33"/>
        <v>18642</v>
      </c>
      <c r="I64" s="2">
        <f t="shared" si="33"/>
        <v>27963</v>
      </c>
      <c r="J64" s="2">
        <f t="shared" si="33"/>
        <v>55926</v>
      </c>
      <c r="K64" s="2">
        <f t="shared" si="33"/>
        <v>74568</v>
      </c>
      <c r="L64" s="2">
        <f t="shared" si="33"/>
        <v>158457</v>
      </c>
      <c r="M64" s="2">
        <f t="shared" si="33"/>
        <v>233025</v>
      </c>
      <c r="N64" s="2">
        <f t="shared" si="33"/>
        <v>354198</v>
      </c>
      <c r="O64" s="2">
        <f t="shared" si="32"/>
        <v>354198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3" t="s">
        <v>68</v>
      </c>
      <c r="B65" s="3"/>
      <c r="C65" s="2">
        <f t="shared" ref="C65:N65" si="34">(C33+C34)*(C14/30)</f>
        <v>225</v>
      </c>
      <c r="D65" s="2">
        <f t="shared" si="34"/>
        <v>228</v>
      </c>
      <c r="E65" s="2">
        <f t="shared" si="34"/>
        <v>235</v>
      </c>
      <c r="F65" s="2">
        <f t="shared" si="34"/>
        <v>240</v>
      </c>
      <c r="G65" s="2">
        <f t="shared" si="34"/>
        <v>240</v>
      </c>
      <c r="H65" s="2">
        <f t="shared" si="34"/>
        <v>240</v>
      </c>
      <c r="I65" s="2">
        <f t="shared" si="34"/>
        <v>240</v>
      </c>
      <c r="J65" s="2">
        <f t="shared" si="34"/>
        <v>240</v>
      </c>
      <c r="K65" s="2">
        <f t="shared" si="34"/>
        <v>240</v>
      </c>
      <c r="L65" s="2">
        <f t="shared" si="34"/>
        <v>240</v>
      </c>
      <c r="M65" s="2">
        <f t="shared" si="34"/>
        <v>240</v>
      </c>
      <c r="N65" s="2">
        <f t="shared" si="34"/>
        <v>240</v>
      </c>
      <c r="O65" s="2">
        <f t="shared" si="32"/>
        <v>240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3" t="s">
        <v>69</v>
      </c>
      <c r="B66" s="3"/>
      <c r="C66" s="17">
        <f t="shared" ref="C66:N66" si="35">C42*0.5</f>
        <v>0</v>
      </c>
      <c r="D66" s="17">
        <f t="shared" si="35"/>
        <v>0</v>
      </c>
      <c r="E66" s="17">
        <f t="shared" si="35"/>
        <v>0</v>
      </c>
      <c r="F66" s="17">
        <f t="shared" si="35"/>
        <v>0</v>
      </c>
      <c r="G66" s="17">
        <f t="shared" si="35"/>
        <v>2083.278</v>
      </c>
      <c r="H66" s="17">
        <f t="shared" si="35"/>
        <v>4550.586</v>
      </c>
      <c r="I66" s="17">
        <f t="shared" si="35"/>
        <v>6846.354</v>
      </c>
      <c r="J66" s="17">
        <f t="shared" si="35"/>
        <v>13738.158</v>
      </c>
      <c r="K66" s="17">
        <f t="shared" si="35"/>
        <v>18332.694</v>
      </c>
      <c r="L66" s="17">
        <f t="shared" si="35"/>
        <v>39008.106</v>
      </c>
      <c r="M66" s="17">
        <f t="shared" si="35"/>
        <v>57386.25</v>
      </c>
      <c r="N66" s="17">
        <f t="shared" si="35"/>
        <v>87250.734</v>
      </c>
      <c r="O66" s="17">
        <f t="shared" si="32"/>
        <v>87250.734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18" t="s">
        <v>70</v>
      </c>
      <c r="B67" s="18"/>
      <c r="C67" s="4">
        <f t="shared" ref="C67:N67" si="36">SUM(C62:C66)</f>
        <v>225</v>
      </c>
      <c r="D67" s="4">
        <f t="shared" si="36"/>
        <v>228</v>
      </c>
      <c r="E67" s="4">
        <f t="shared" si="36"/>
        <v>235</v>
      </c>
      <c r="F67" s="4">
        <f t="shared" si="36"/>
        <v>240</v>
      </c>
      <c r="G67" s="4">
        <f t="shared" si="36"/>
        <v>11644.278</v>
      </c>
      <c r="H67" s="4">
        <f t="shared" si="36"/>
        <v>23432.586</v>
      </c>
      <c r="I67" s="4">
        <f t="shared" si="36"/>
        <v>35049.354</v>
      </c>
      <c r="J67" s="4">
        <f t="shared" si="36"/>
        <v>69904.158</v>
      </c>
      <c r="K67" s="4">
        <f t="shared" si="36"/>
        <v>93140.694</v>
      </c>
      <c r="L67" s="4">
        <f t="shared" si="36"/>
        <v>197705.106</v>
      </c>
      <c r="M67" s="4">
        <f t="shared" si="36"/>
        <v>290651.25</v>
      </c>
      <c r="N67" s="4">
        <f t="shared" si="36"/>
        <v>441688.734</v>
      </c>
      <c r="O67" s="4">
        <f t="shared" si="32"/>
        <v>441688.734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 t="s">
        <v>71</v>
      </c>
      <c r="B69" s="2"/>
      <c r="C69" s="2">
        <f>Amortization!N14</f>
        <v>0</v>
      </c>
      <c r="D69" s="2">
        <f>Amortization!O14</f>
        <v>0</v>
      </c>
      <c r="E69" s="2">
        <f>Amortization!P14</f>
        <v>0</v>
      </c>
      <c r="F69" s="2">
        <f>Amortization!Q14</f>
        <v>0</v>
      </c>
      <c r="G69" s="2">
        <f>Amortization!R14</f>
        <v>0</v>
      </c>
      <c r="H69" s="2">
        <f>Amortization!S14</f>
        <v>0</v>
      </c>
      <c r="I69" s="2">
        <f>Amortization!T14</f>
        <v>0</v>
      </c>
      <c r="J69" s="2">
        <f>Amortization!U14</f>
        <v>0</v>
      </c>
      <c r="K69" s="2">
        <f>Amortization!V14</f>
        <v>0</v>
      </c>
      <c r="L69" s="2">
        <f>Amortization!W14</f>
        <v>0</v>
      </c>
      <c r="M69" s="2">
        <f>Amortization!X14</f>
        <v>0</v>
      </c>
      <c r="N69" s="2">
        <f>Amortization!Y14</f>
        <v>0</v>
      </c>
      <c r="O69" s="2">
        <f>N69</f>
        <v>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4" t="s">
        <v>72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3" t="s">
        <v>73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 t="s">
        <v>74</v>
      </c>
      <c r="B74" s="2"/>
      <c r="C74" s="2">
        <v>5000.0</v>
      </c>
      <c r="D74" s="2">
        <v>5000.0</v>
      </c>
      <c r="E74" s="2">
        <v>5000.0</v>
      </c>
      <c r="F74" s="2">
        <v>5000.0</v>
      </c>
      <c r="G74" s="2">
        <v>5000.0</v>
      </c>
      <c r="H74" s="2">
        <v>5000.0</v>
      </c>
      <c r="I74" s="2">
        <v>5000.0</v>
      </c>
      <c r="J74" s="2">
        <v>5000.0</v>
      </c>
      <c r="K74" s="2">
        <v>10000.0</v>
      </c>
      <c r="L74" s="2">
        <v>10000.0</v>
      </c>
      <c r="M74" s="2">
        <v>10000.0</v>
      </c>
      <c r="N74" s="2">
        <v>10000.0</v>
      </c>
      <c r="O74" s="2">
        <f>N74</f>
        <v>10000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4" t="s">
        <v>75</v>
      </c>
      <c r="B75" s="2"/>
      <c r="C75" s="2">
        <v>0.0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3" t="s">
        <v>76</v>
      </c>
      <c r="B76" s="3"/>
      <c r="C76" s="2">
        <f>C44</f>
        <v>-229.1666667</v>
      </c>
      <c r="D76" s="2">
        <f t="shared" ref="D76:N76" si="37">C76+D44</f>
        <v>-461.3333333</v>
      </c>
      <c r="E76" s="2">
        <f t="shared" si="37"/>
        <v>-700.5</v>
      </c>
      <c r="F76" s="2">
        <f t="shared" si="37"/>
        <v>-944.6666667</v>
      </c>
      <c r="G76" s="2">
        <f t="shared" si="37"/>
        <v>7407.210667</v>
      </c>
      <c r="H76" s="2">
        <f t="shared" si="37"/>
        <v>23587.072</v>
      </c>
      <c r="I76" s="2">
        <f t="shared" si="37"/>
        <v>47929.664</v>
      </c>
      <c r="J76" s="2">
        <f t="shared" si="37"/>
        <v>96776.448</v>
      </c>
      <c r="K76" s="2">
        <f t="shared" si="37"/>
        <v>161959.36</v>
      </c>
      <c r="L76" s="2">
        <f t="shared" si="37"/>
        <v>300654.848</v>
      </c>
      <c r="M76" s="2">
        <f t="shared" si="37"/>
        <v>504694.848</v>
      </c>
      <c r="N76" s="2">
        <f t="shared" si="37"/>
        <v>814919.68</v>
      </c>
      <c r="O76" s="2">
        <f t="shared" ref="O76:O77" si="39">N76</f>
        <v>814919.68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18" t="s">
        <v>77</v>
      </c>
      <c r="B77" s="18"/>
      <c r="C77" s="4">
        <f t="shared" ref="C77:N77" si="38">SUM(C74:C76)</f>
        <v>4770.833333</v>
      </c>
      <c r="D77" s="4">
        <f t="shared" si="38"/>
        <v>4538.666667</v>
      </c>
      <c r="E77" s="4">
        <f t="shared" si="38"/>
        <v>4299.5</v>
      </c>
      <c r="F77" s="4">
        <f t="shared" si="38"/>
        <v>4055.333333</v>
      </c>
      <c r="G77" s="4">
        <f t="shared" si="38"/>
        <v>12407.21067</v>
      </c>
      <c r="H77" s="4">
        <f t="shared" si="38"/>
        <v>28587.072</v>
      </c>
      <c r="I77" s="4">
        <f t="shared" si="38"/>
        <v>52929.664</v>
      </c>
      <c r="J77" s="4">
        <f t="shared" si="38"/>
        <v>101776.448</v>
      </c>
      <c r="K77" s="4">
        <f t="shared" si="38"/>
        <v>171959.36</v>
      </c>
      <c r="L77" s="4">
        <f t="shared" si="38"/>
        <v>310654.848</v>
      </c>
      <c r="M77" s="4">
        <f t="shared" si="38"/>
        <v>514694.848</v>
      </c>
      <c r="N77" s="4">
        <f t="shared" si="38"/>
        <v>824919.68</v>
      </c>
      <c r="O77" s="4">
        <f t="shared" si="39"/>
        <v>824919.68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8" t="s">
        <v>78</v>
      </c>
      <c r="B79" s="18"/>
      <c r="C79" s="4">
        <f t="shared" ref="C79:N79" si="40">SUM(C77)+C69+C67+C72</f>
        <v>4995.833333</v>
      </c>
      <c r="D79" s="4">
        <f t="shared" si="40"/>
        <v>4766.666667</v>
      </c>
      <c r="E79" s="4">
        <f t="shared" si="40"/>
        <v>4534.5</v>
      </c>
      <c r="F79" s="4">
        <f t="shared" si="40"/>
        <v>4295.333333</v>
      </c>
      <c r="G79" s="4">
        <f t="shared" si="40"/>
        <v>24051.48867</v>
      </c>
      <c r="H79" s="4">
        <f t="shared" si="40"/>
        <v>52019.658</v>
      </c>
      <c r="I79" s="4">
        <f t="shared" si="40"/>
        <v>87979.018</v>
      </c>
      <c r="J79" s="4">
        <f t="shared" si="40"/>
        <v>171680.606</v>
      </c>
      <c r="K79" s="4">
        <f t="shared" si="40"/>
        <v>265100.054</v>
      </c>
      <c r="L79" s="4">
        <f t="shared" si="40"/>
        <v>508359.954</v>
      </c>
      <c r="M79" s="4">
        <f t="shared" si="40"/>
        <v>805346.098</v>
      </c>
      <c r="N79" s="4">
        <f t="shared" si="40"/>
        <v>1266608.414</v>
      </c>
      <c r="O79" s="4">
        <f>N79</f>
        <v>1266608.414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1" t="s"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5"/>
      <c r="B82" s="5"/>
      <c r="C82" s="13" t="s">
        <v>4</v>
      </c>
      <c r="D82" s="13" t="s">
        <v>5</v>
      </c>
      <c r="E82" s="13" t="s">
        <v>6</v>
      </c>
      <c r="F82" s="13" t="s">
        <v>7</v>
      </c>
      <c r="G82" s="13" t="s">
        <v>8</v>
      </c>
      <c r="H82" s="13" t="s">
        <v>9</v>
      </c>
      <c r="I82" s="13" t="s">
        <v>10</v>
      </c>
      <c r="J82" s="13" t="s">
        <v>11</v>
      </c>
      <c r="K82" s="13" t="s">
        <v>12</v>
      </c>
      <c r="L82" s="13" t="s">
        <v>13</v>
      </c>
      <c r="M82" s="13" t="s">
        <v>14</v>
      </c>
      <c r="N82" s="13" t="s">
        <v>15</v>
      </c>
      <c r="O82" s="14" t="s">
        <v>16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5"/>
      <c r="B83" s="5"/>
      <c r="C83" s="5"/>
      <c r="D83" s="5"/>
      <c r="E83" s="5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3" t="s">
        <v>53</v>
      </c>
      <c r="B84" s="3"/>
      <c r="C84" s="2">
        <f>C76-0</f>
        <v>-229.1666667</v>
      </c>
      <c r="D84" s="2">
        <f t="shared" ref="D84:N84" si="41">D76-C76</f>
        <v>-232.1666667</v>
      </c>
      <c r="E84" s="2">
        <f t="shared" si="41"/>
        <v>-239.1666667</v>
      </c>
      <c r="F84" s="2">
        <f t="shared" si="41"/>
        <v>-244.1666667</v>
      </c>
      <c r="G84" s="2">
        <f t="shared" si="41"/>
        <v>8351.877333</v>
      </c>
      <c r="H84" s="2">
        <f t="shared" si="41"/>
        <v>16179.86133</v>
      </c>
      <c r="I84" s="2">
        <f t="shared" si="41"/>
        <v>24342.592</v>
      </c>
      <c r="J84" s="2">
        <f t="shared" si="41"/>
        <v>48846.784</v>
      </c>
      <c r="K84" s="2">
        <f t="shared" si="41"/>
        <v>65182.912</v>
      </c>
      <c r="L84" s="2">
        <f t="shared" si="41"/>
        <v>138695.488</v>
      </c>
      <c r="M84" s="2">
        <f t="shared" si="41"/>
        <v>204040</v>
      </c>
      <c r="N84" s="2">
        <f t="shared" si="41"/>
        <v>310224.832</v>
      </c>
      <c r="O84" s="16">
        <f t="shared" ref="O84:O86" si="43">SUM(C84:N84)</f>
        <v>814919.68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3" t="s">
        <v>80</v>
      </c>
      <c r="B85" s="3"/>
      <c r="C85" s="17">
        <f>C56</f>
        <v>4.166666667</v>
      </c>
      <c r="D85" s="17">
        <f t="shared" ref="D85:N85" si="42">D56-C56</f>
        <v>4.166666667</v>
      </c>
      <c r="E85" s="17">
        <f t="shared" si="42"/>
        <v>4.166666667</v>
      </c>
      <c r="F85" s="17">
        <f t="shared" si="42"/>
        <v>4.166666667</v>
      </c>
      <c r="G85" s="17">
        <f t="shared" si="42"/>
        <v>4.166666667</v>
      </c>
      <c r="H85" s="17">
        <f t="shared" si="42"/>
        <v>4.166666667</v>
      </c>
      <c r="I85" s="17">
        <f t="shared" si="42"/>
        <v>12.5</v>
      </c>
      <c r="J85" s="17">
        <f t="shared" si="42"/>
        <v>12.5</v>
      </c>
      <c r="K85" s="17">
        <f t="shared" si="42"/>
        <v>12.5</v>
      </c>
      <c r="L85" s="17">
        <f t="shared" si="42"/>
        <v>12.5</v>
      </c>
      <c r="M85" s="17">
        <f t="shared" si="42"/>
        <v>12.5</v>
      </c>
      <c r="N85" s="17">
        <f t="shared" si="42"/>
        <v>12.5</v>
      </c>
      <c r="O85" s="2">
        <f t="shared" si="43"/>
        <v>100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4"/>
      <c r="B86" s="4"/>
      <c r="C86" s="4">
        <f t="shared" ref="C86:N86" si="44">SUM(C84:C85)</f>
        <v>-225</v>
      </c>
      <c r="D86" s="4">
        <f t="shared" si="44"/>
        <v>-228</v>
      </c>
      <c r="E86" s="4">
        <f t="shared" si="44"/>
        <v>-235</v>
      </c>
      <c r="F86" s="4">
        <f t="shared" si="44"/>
        <v>-240</v>
      </c>
      <c r="G86" s="4">
        <f t="shared" si="44"/>
        <v>8356.044</v>
      </c>
      <c r="H86" s="4">
        <f t="shared" si="44"/>
        <v>16184.028</v>
      </c>
      <c r="I86" s="4">
        <f t="shared" si="44"/>
        <v>24355.092</v>
      </c>
      <c r="J86" s="4">
        <f t="shared" si="44"/>
        <v>48859.284</v>
      </c>
      <c r="K86" s="4">
        <f t="shared" si="44"/>
        <v>65195.412</v>
      </c>
      <c r="L86" s="4">
        <f t="shared" si="44"/>
        <v>138707.988</v>
      </c>
      <c r="M86" s="4">
        <f t="shared" si="44"/>
        <v>204052.5</v>
      </c>
      <c r="N86" s="4">
        <f t="shared" si="44"/>
        <v>310237.332</v>
      </c>
      <c r="O86" s="4">
        <f t="shared" si="43"/>
        <v>815019.68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 t="s">
        <v>81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3" t="s">
        <v>56</v>
      </c>
      <c r="B88" s="3"/>
      <c r="C88" s="2">
        <f t="shared" ref="C88:C90" si="46">-C50</f>
        <v>0</v>
      </c>
      <c r="D88" s="2">
        <f t="shared" ref="D88:N88" si="45">-D50+C50</f>
        <v>0</v>
      </c>
      <c r="E88" s="2">
        <f t="shared" si="45"/>
        <v>0</v>
      </c>
      <c r="F88" s="2">
        <f t="shared" si="45"/>
        <v>0</v>
      </c>
      <c r="G88" s="2">
        <f t="shared" si="45"/>
        <v>-41825</v>
      </c>
      <c r="H88" s="2">
        <f t="shared" si="45"/>
        <v>-41825</v>
      </c>
      <c r="I88" s="2">
        <f t="shared" si="45"/>
        <v>-41825</v>
      </c>
      <c r="J88" s="2">
        <f t="shared" si="45"/>
        <v>-125475</v>
      </c>
      <c r="K88" s="2">
        <f t="shared" si="45"/>
        <v>-83650</v>
      </c>
      <c r="L88" s="2">
        <f t="shared" si="45"/>
        <v>-376425</v>
      </c>
      <c r="M88" s="2">
        <f t="shared" si="45"/>
        <v>-334600</v>
      </c>
      <c r="N88" s="2">
        <f t="shared" si="45"/>
        <v>-543725</v>
      </c>
      <c r="O88" s="2">
        <f t="shared" ref="O88:O93" si="48">SUM(C88:N88)</f>
        <v>-1589350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3" t="s">
        <v>57</v>
      </c>
      <c r="B89" s="3"/>
      <c r="C89" s="2">
        <f t="shared" si="46"/>
        <v>-8.333333333</v>
      </c>
      <c r="D89" s="2">
        <f t="shared" ref="D89:N89" si="47">-D51+C51</f>
        <v>0</v>
      </c>
      <c r="E89" s="2">
        <f t="shared" si="47"/>
        <v>1.388888889</v>
      </c>
      <c r="F89" s="2">
        <f t="shared" si="47"/>
        <v>-46176.18889</v>
      </c>
      <c r="G89" s="2">
        <f t="shared" si="47"/>
        <v>-46174.8</v>
      </c>
      <c r="H89" s="2">
        <f t="shared" si="47"/>
        <v>-46191.46667</v>
      </c>
      <c r="I89" s="2">
        <f t="shared" si="47"/>
        <v>-138524.4</v>
      </c>
      <c r="J89" s="2">
        <f t="shared" si="47"/>
        <v>-92349.6</v>
      </c>
      <c r="K89" s="2">
        <f t="shared" si="47"/>
        <v>-415573.2</v>
      </c>
      <c r="L89" s="2">
        <f t="shared" si="47"/>
        <v>-369398.4</v>
      </c>
      <c r="M89" s="2">
        <f t="shared" si="47"/>
        <v>-600272.4</v>
      </c>
      <c r="N89" s="2">
        <f t="shared" si="47"/>
        <v>-912407.2881</v>
      </c>
      <c r="O89" s="2">
        <f t="shared" si="48"/>
        <v>-2667074.688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3" t="s">
        <v>82</v>
      </c>
      <c r="B90" s="3"/>
      <c r="C90" s="2">
        <f t="shared" si="46"/>
        <v>-50</v>
      </c>
      <c r="D90" s="2">
        <f t="shared" ref="D90:N90" si="49">-D52+C52</f>
        <v>-5</v>
      </c>
      <c r="E90" s="2">
        <f t="shared" si="49"/>
        <v>-5</v>
      </c>
      <c r="F90" s="2">
        <f t="shared" si="49"/>
        <v>-5</v>
      </c>
      <c r="G90" s="2">
        <f t="shared" si="49"/>
        <v>0</v>
      </c>
      <c r="H90" s="2">
        <f t="shared" si="49"/>
        <v>0</v>
      </c>
      <c r="I90" s="2">
        <f t="shared" si="49"/>
        <v>0</v>
      </c>
      <c r="J90" s="2">
        <f t="shared" si="49"/>
        <v>-5</v>
      </c>
      <c r="K90" s="2">
        <f t="shared" si="49"/>
        <v>0</v>
      </c>
      <c r="L90" s="2">
        <f t="shared" si="49"/>
        <v>5</v>
      </c>
      <c r="M90" s="2">
        <f t="shared" si="49"/>
        <v>-10</v>
      </c>
      <c r="N90" s="2">
        <f t="shared" si="49"/>
        <v>0</v>
      </c>
      <c r="O90" s="2">
        <f t="shared" si="48"/>
        <v>-75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3" t="s">
        <v>83</v>
      </c>
      <c r="B91" s="3"/>
      <c r="C91" s="2">
        <f t="shared" ref="C91:C93" si="51">C64</f>
        <v>0</v>
      </c>
      <c r="D91" s="2">
        <f t="shared" ref="D91:N91" si="50">D64-C64</f>
        <v>0</v>
      </c>
      <c r="E91" s="2">
        <f t="shared" si="50"/>
        <v>0</v>
      </c>
      <c r="F91" s="2">
        <f t="shared" si="50"/>
        <v>0</v>
      </c>
      <c r="G91" s="2">
        <f t="shared" si="50"/>
        <v>9321</v>
      </c>
      <c r="H91" s="2">
        <f t="shared" si="50"/>
        <v>9321</v>
      </c>
      <c r="I91" s="2">
        <f t="shared" si="50"/>
        <v>9321</v>
      </c>
      <c r="J91" s="2">
        <f t="shared" si="50"/>
        <v>27963</v>
      </c>
      <c r="K91" s="2">
        <f t="shared" si="50"/>
        <v>18642</v>
      </c>
      <c r="L91" s="2">
        <f t="shared" si="50"/>
        <v>83889</v>
      </c>
      <c r="M91" s="2">
        <f t="shared" si="50"/>
        <v>74568</v>
      </c>
      <c r="N91" s="2">
        <f t="shared" si="50"/>
        <v>121173</v>
      </c>
      <c r="O91" s="2">
        <f t="shared" si="48"/>
        <v>354198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3" t="s">
        <v>84</v>
      </c>
      <c r="B92" s="3"/>
      <c r="C92" s="2">
        <f t="shared" si="51"/>
        <v>225</v>
      </c>
      <c r="D92" s="2">
        <f t="shared" ref="D92:N92" si="52">D65-C65</f>
        <v>3</v>
      </c>
      <c r="E92" s="2">
        <f t="shared" si="52"/>
        <v>7</v>
      </c>
      <c r="F92" s="2">
        <f t="shared" si="52"/>
        <v>5</v>
      </c>
      <c r="G92" s="2">
        <f t="shared" si="52"/>
        <v>0</v>
      </c>
      <c r="H92" s="2">
        <f t="shared" si="52"/>
        <v>0</v>
      </c>
      <c r="I92" s="2">
        <f t="shared" si="52"/>
        <v>0</v>
      </c>
      <c r="J92" s="2">
        <f t="shared" si="52"/>
        <v>0</v>
      </c>
      <c r="K92" s="2">
        <f t="shared" si="52"/>
        <v>0</v>
      </c>
      <c r="L92" s="2">
        <f t="shared" si="52"/>
        <v>0</v>
      </c>
      <c r="M92" s="2">
        <f t="shared" si="52"/>
        <v>0</v>
      </c>
      <c r="N92" s="2">
        <f t="shared" si="52"/>
        <v>0</v>
      </c>
      <c r="O92" s="2">
        <f t="shared" si="48"/>
        <v>240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3" t="s">
        <v>85</v>
      </c>
      <c r="B93" s="3"/>
      <c r="C93" s="17">
        <f t="shared" si="51"/>
        <v>0</v>
      </c>
      <c r="D93" s="17">
        <f t="shared" ref="D93:N93" si="53">D66-C66</f>
        <v>0</v>
      </c>
      <c r="E93" s="17">
        <f t="shared" si="53"/>
        <v>0</v>
      </c>
      <c r="F93" s="17">
        <f t="shared" si="53"/>
        <v>0</v>
      </c>
      <c r="G93" s="17">
        <f t="shared" si="53"/>
        <v>2083.278</v>
      </c>
      <c r="H93" s="17">
        <f t="shared" si="53"/>
        <v>2467.308</v>
      </c>
      <c r="I93" s="17">
        <f t="shared" si="53"/>
        <v>2295.768</v>
      </c>
      <c r="J93" s="17">
        <f t="shared" si="53"/>
        <v>6891.804</v>
      </c>
      <c r="K93" s="17">
        <f t="shared" si="53"/>
        <v>4594.536</v>
      </c>
      <c r="L93" s="17">
        <f t="shared" si="53"/>
        <v>20675.412</v>
      </c>
      <c r="M93" s="17">
        <f t="shared" si="53"/>
        <v>18378.144</v>
      </c>
      <c r="N93" s="17">
        <f t="shared" si="53"/>
        <v>29864.484</v>
      </c>
      <c r="O93" s="17">
        <f t="shared" si="48"/>
        <v>87250.734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18" t="s">
        <v>86</v>
      </c>
      <c r="B95" s="18"/>
      <c r="C95" s="4">
        <f t="shared" ref="C95:N95" si="54">SUM(C86:C94)</f>
        <v>-58.33333333</v>
      </c>
      <c r="D95" s="4">
        <f t="shared" si="54"/>
        <v>-230</v>
      </c>
      <c r="E95" s="4">
        <f t="shared" si="54"/>
        <v>-231.6111111</v>
      </c>
      <c r="F95" s="4">
        <f t="shared" si="54"/>
        <v>-46416.18889</v>
      </c>
      <c r="G95" s="4">
        <f t="shared" si="54"/>
        <v>-68239.478</v>
      </c>
      <c r="H95" s="4">
        <f t="shared" si="54"/>
        <v>-60044.13067</v>
      </c>
      <c r="I95" s="4">
        <f t="shared" si="54"/>
        <v>-144377.54</v>
      </c>
      <c r="J95" s="4">
        <f t="shared" si="54"/>
        <v>-134115.512</v>
      </c>
      <c r="K95" s="4">
        <f t="shared" si="54"/>
        <v>-410791.252</v>
      </c>
      <c r="L95" s="4">
        <f t="shared" si="54"/>
        <v>-502546</v>
      </c>
      <c r="M95" s="4">
        <f t="shared" si="54"/>
        <v>-637883.756</v>
      </c>
      <c r="N95" s="4">
        <f t="shared" si="54"/>
        <v>-994857.4721</v>
      </c>
      <c r="O95" s="4">
        <f>SUM(C95:N95)</f>
        <v>-2999791.274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4" t="s">
        <v>87</v>
      </c>
      <c r="B97" s="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3" t="s">
        <v>88</v>
      </c>
      <c r="B98" s="3"/>
      <c r="C98" s="2">
        <f>-C55</f>
        <v>-5000</v>
      </c>
      <c r="D98" s="2">
        <f t="shared" ref="D98:N98" si="55">-D55+C55</f>
        <v>0</v>
      </c>
      <c r="E98" s="2">
        <f t="shared" si="55"/>
        <v>0</v>
      </c>
      <c r="F98" s="2">
        <f t="shared" si="55"/>
        <v>0</v>
      </c>
      <c r="G98" s="2">
        <f t="shared" si="55"/>
        <v>0</v>
      </c>
      <c r="H98" s="2">
        <f t="shared" si="55"/>
        <v>0</v>
      </c>
      <c r="I98" s="2">
        <f t="shared" si="55"/>
        <v>-10000</v>
      </c>
      <c r="J98" s="2">
        <f t="shared" si="55"/>
        <v>0</v>
      </c>
      <c r="K98" s="2">
        <f t="shared" si="55"/>
        <v>0</v>
      </c>
      <c r="L98" s="2">
        <f t="shared" si="55"/>
        <v>0</v>
      </c>
      <c r="M98" s="2">
        <f t="shared" si="55"/>
        <v>0</v>
      </c>
      <c r="N98" s="2">
        <f t="shared" si="55"/>
        <v>0</v>
      </c>
      <c r="O98" s="2">
        <f>SUM(C98:N98)</f>
        <v>-15000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3" t="s">
        <v>89</v>
      </c>
      <c r="B99" s="3"/>
      <c r="C99" s="2" t="str">
        <f>+C72</f>
        <v/>
      </c>
      <c r="D99" s="2">
        <f t="shared" ref="D99:N99" si="56">+D72-C72</f>
        <v>0</v>
      </c>
      <c r="E99" s="2">
        <f t="shared" si="56"/>
        <v>0</v>
      </c>
      <c r="F99" s="2">
        <f t="shared" si="56"/>
        <v>0</v>
      </c>
      <c r="G99" s="2">
        <f t="shared" si="56"/>
        <v>0</v>
      </c>
      <c r="H99" s="2">
        <f t="shared" si="56"/>
        <v>0</v>
      </c>
      <c r="I99" s="2">
        <f t="shared" si="56"/>
        <v>0</v>
      </c>
      <c r="J99" s="2">
        <f t="shared" si="56"/>
        <v>0</v>
      </c>
      <c r="K99" s="2">
        <f t="shared" si="56"/>
        <v>0</v>
      </c>
      <c r="L99" s="2">
        <f t="shared" si="56"/>
        <v>0</v>
      </c>
      <c r="M99" s="2">
        <f t="shared" si="56"/>
        <v>0</v>
      </c>
      <c r="N99" s="2">
        <f t="shared" si="56"/>
        <v>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3" t="s">
        <v>90</v>
      </c>
      <c r="B100" s="3"/>
      <c r="C100" s="2">
        <f>C74</f>
        <v>5000</v>
      </c>
      <c r="D100" s="2">
        <f t="shared" ref="D100:N100" si="57">+D74-C74</f>
        <v>0</v>
      </c>
      <c r="E100" s="2">
        <f t="shared" si="57"/>
        <v>0</v>
      </c>
      <c r="F100" s="2">
        <f t="shared" si="57"/>
        <v>0</v>
      </c>
      <c r="G100" s="2">
        <f t="shared" si="57"/>
        <v>0</v>
      </c>
      <c r="H100" s="2">
        <f t="shared" si="57"/>
        <v>0</v>
      </c>
      <c r="I100" s="2">
        <f t="shared" si="57"/>
        <v>0</v>
      </c>
      <c r="J100" s="2">
        <f t="shared" si="57"/>
        <v>0</v>
      </c>
      <c r="K100" s="2">
        <f t="shared" si="57"/>
        <v>5000</v>
      </c>
      <c r="L100" s="2">
        <f t="shared" si="57"/>
        <v>0</v>
      </c>
      <c r="M100" s="2">
        <f t="shared" si="57"/>
        <v>0</v>
      </c>
      <c r="N100" s="2">
        <f t="shared" si="57"/>
        <v>0</v>
      </c>
      <c r="O100" s="2">
        <f>SUM(C100:N100)</f>
        <v>10000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3" t="s">
        <v>91</v>
      </c>
      <c r="B101" s="3"/>
      <c r="C101" s="2">
        <f t="shared" ref="C101:O101" si="58">+C75</f>
        <v>0</v>
      </c>
      <c r="D101" s="2" t="str">
        <f t="shared" si="58"/>
        <v/>
      </c>
      <c r="E101" s="2" t="str">
        <f t="shared" si="58"/>
        <v/>
      </c>
      <c r="F101" s="2" t="str">
        <f t="shared" si="58"/>
        <v/>
      </c>
      <c r="G101" s="2" t="str">
        <f t="shared" si="58"/>
        <v/>
      </c>
      <c r="H101" s="2" t="str">
        <f t="shared" si="58"/>
        <v/>
      </c>
      <c r="I101" s="2" t="str">
        <f t="shared" si="58"/>
        <v/>
      </c>
      <c r="J101" s="2" t="str">
        <f t="shared" si="58"/>
        <v/>
      </c>
      <c r="K101" s="2" t="str">
        <f t="shared" si="58"/>
        <v/>
      </c>
      <c r="L101" s="2" t="str">
        <f t="shared" si="58"/>
        <v/>
      </c>
      <c r="M101" s="2" t="str">
        <f t="shared" si="58"/>
        <v/>
      </c>
      <c r="N101" s="2" t="str">
        <f t="shared" si="58"/>
        <v/>
      </c>
      <c r="O101" s="2" t="str">
        <f t="shared" si="58"/>
        <v/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 t="s">
        <v>92</v>
      </c>
      <c r="B102" s="2"/>
      <c r="C102" s="17">
        <f>C69+C62</f>
        <v>0</v>
      </c>
      <c r="D102" s="17">
        <f t="shared" ref="D102:N102" si="59">D69+D62-C69-C62</f>
        <v>0</v>
      </c>
      <c r="E102" s="17">
        <f t="shared" si="59"/>
        <v>0</v>
      </c>
      <c r="F102" s="17">
        <f t="shared" si="59"/>
        <v>0</v>
      </c>
      <c r="G102" s="17">
        <f t="shared" si="59"/>
        <v>0</v>
      </c>
      <c r="H102" s="17">
        <f t="shared" si="59"/>
        <v>0</v>
      </c>
      <c r="I102" s="17">
        <f t="shared" si="59"/>
        <v>0</v>
      </c>
      <c r="J102" s="17">
        <f t="shared" si="59"/>
        <v>0</v>
      </c>
      <c r="K102" s="17">
        <f t="shared" si="59"/>
        <v>0</v>
      </c>
      <c r="L102" s="17">
        <f t="shared" si="59"/>
        <v>0</v>
      </c>
      <c r="M102" s="17">
        <f t="shared" si="59"/>
        <v>0</v>
      </c>
      <c r="N102" s="17">
        <f t="shared" si="59"/>
        <v>0</v>
      </c>
      <c r="O102" s="17">
        <f>SUM(C102:N102)</f>
        <v>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8" t="s">
        <v>93</v>
      </c>
      <c r="B104" s="18"/>
      <c r="C104" s="4">
        <f t="shared" ref="C104:N104" si="60">SUM(C98:C103)</f>
        <v>0</v>
      </c>
      <c r="D104" s="4">
        <f t="shared" si="60"/>
        <v>0</v>
      </c>
      <c r="E104" s="4">
        <f t="shared" si="60"/>
        <v>0</v>
      </c>
      <c r="F104" s="4">
        <f t="shared" si="60"/>
        <v>0</v>
      </c>
      <c r="G104" s="4">
        <f t="shared" si="60"/>
        <v>0</v>
      </c>
      <c r="H104" s="4">
        <f t="shared" si="60"/>
        <v>0</v>
      </c>
      <c r="I104" s="4">
        <f t="shared" si="60"/>
        <v>-10000</v>
      </c>
      <c r="J104" s="4">
        <f t="shared" si="60"/>
        <v>0</v>
      </c>
      <c r="K104" s="4">
        <f t="shared" si="60"/>
        <v>5000</v>
      </c>
      <c r="L104" s="4">
        <f t="shared" si="60"/>
        <v>0</v>
      </c>
      <c r="M104" s="4">
        <f t="shared" si="60"/>
        <v>0</v>
      </c>
      <c r="N104" s="4">
        <f t="shared" si="60"/>
        <v>0</v>
      </c>
      <c r="O104" s="4">
        <f>SUM(C104:N104)</f>
        <v>-5000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8" t="s">
        <v>94</v>
      </c>
      <c r="B106" s="18"/>
      <c r="C106" s="4">
        <f t="shared" ref="C106:N106" si="61">C95+C104</f>
        <v>-58.33333333</v>
      </c>
      <c r="D106" s="4">
        <f t="shared" si="61"/>
        <v>-230</v>
      </c>
      <c r="E106" s="4">
        <f t="shared" si="61"/>
        <v>-231.6111111</v>
      </c>
      <c r="F106" s="4">
        <f t="shared" si="61"/>
        <v>-46416.18889</v>
      </c>
      <c r="G106" s="4">
        <f t="shared" si="61"/>
        <v>-68239.478</v>
      </c>
      <c r="H106" s="4">
        <f t="shared" si="61"/>
        <v>-60044.13067</v>
      </c>
      <c r="I106" s="4">
        <f t="shared" si="61"/>
        <v>-154377.54</v>
      </c>
      <c r="J106" s="4">
        <f t="shared" si="61"/>
        <v>-134115.512</v>
      </c>
      <c r="K106" s="4">
        <f t="shared" si="61"/>
        <v>-405791.252</v>
      </c>
      <c r="L106" s="4">
        <f t="shared" si="61"/>
        <v>-502546</v>
      </c>
      <c r="M106" s="4">
        <f t="shared" si="61"/>
        <v>-637883.756</v>
      </c>
      <c r="N106" s="4">
        <f t="shared" si="61"/>
        <v>-994857.4721</v>
      </c>
      <c r="O106" s="4">
        <f>SUM(C106:N106)</f>
        <v>-3004791.274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3" t="s">
        <v>95</v>
      </c>
      <c r="B108" s="3"/>
      <c r="C108" s="2">
        <v>0.0</v>
      </c>
      <c r="D108" s="2">
        <f t="shared" ref="D108:N108" si="62">C49</f>
        <v>-58.33333333</v>
      </c>
      <c r="E108" s="2">
        <f t="shared" si="62"/>
        <v>-288.3333333</v>
      </c>
      <c r="F108" s="2">
        <f t="shared" si="62"/>
        <v>-519.9444444</v>
      </c>
      <c r="G108" s="2">
        <f t="shared" si="62"/>
        <v>-46936.13333</v>
      </c>
      <c r="H108" s="2">
        <f t="shared" si="62"/>
        <v>-115175.6113</v>
      </c>
      <c r="I108" s="2">
        <f t="shared" si="62"/>
        <v>-175219.742</v>
      </c>
      <c r="J108" s="2">
        <f t="shared" si="62"/>
        <v>-329597.282</v>
      </c>
      <c r="K108" s="2">
        <f t="shared" si="62"/>
        <v>-463712.794</v>
      </c>
      <c r="L108" s="2">
        <f t="shared" si="62"/>
        <v>-869504.046</v>
      </c>
      <c r="M108" s="2">
        <f t="shared" si="62"/>
        <v>-1372050.046</v>
      </c>
      <c r="N108" s="2">
        <f t="shared" si="62"/>
        <v>-2009933.802</v>
      </c>
      <c r="O108" s="2">
        <f>C108</f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8" t="s">
        <v>96</v>
      </c>
      <c r="B109" s="18"/>
      <c r="C109" s="25">
        <f t="shared" ref="C109:N109" si="63">C106+C108</f>
        <v>-58.33333333</v>
      </c>
      <c r="D109" s="25">
        <f t="shared" si="63"/>
        <v>-288.3333333</v>
      </c>
      <c r="E109" s="25">
        <f t="shared" si="63"/>
        <v>-519.9444444</v>
      </c>
      <c r="F109" s="25">
        <f t="shared" si="63"/>
        <v>-46936.13333</v>
      </c>
      <c r="G109" s="25">
        <f t="shared" si="63"/>
        <v>-115175.6113</v>
      </c>
      <c r="H109" s="25">
        <f t="shared" si="63"/>
        <v>-175219.742</v>
      </c>
      <c r="I109" s="25">
        <f t="shared" si="63"/>
        <v>-329597.282</v>
      </c>
      <c r="J109" s="25">
        <f t="shared" si="63"/>
        <v>-463712.794</v>
      </c>
      <c r="K109" s="25">
        <f t="shared" si="63"/>
        <v>-869504.046</v>
      </c>
      <c r="L109" s="25">
        <f t="shared" si="63"/>
        <v>-1372050.046</v>
      </c>
      <c r="M109" s="25">
        <f t="shared" si="63"/>
        <v>-2009933.802</v>
      </c>
      <c r="N109" s="25">
        <f t="shared" si="63"/>
        <v>-3004791.274</v>
      </c>
      <c r="O109" s="25">
        <f>N109</f>
        <v>-3004791.274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6" t="s">
        <v>97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6" t="s">
        <v>98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6" t="s">
        <v>99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6" t="s">
        <v>100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6" t="s">
        <v>101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6" t="s">
        <v>102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6" t="s">
        <v>103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6" t="s">
        <v>104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6" t="s">
        <v>105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6" t="s">
        <v>106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6" t="s">
        <v>107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6" t="s">
        <v>108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6" t="s">
        <v>109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6" t="s">
        <v>110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6" t="s">
        <v>111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6" t="s">
        <v>112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21:O21"/>
    <mergeCell ref="A46:O46"/>
    <mergeCell ref="A81:O8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6" width="9.14"/>
    <col customWidth="1" min="7" max="26" width="10.0"/>
  </cols>
  <sheetData>
    <row r="1" ht="12.0" customHeight="1">
      <c r="A1" s="6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7">
        <f>TODAY()</f>
        <v>44146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8" t="s">
        <v>3</v>
      </c>
      <c r="B4" s="29"/>
      <c r="C4" s="29"/>
      <c r="D4" s="29"/>
      <c r="E4" s="29"/>
      <c r="F4" s="3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3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5" t="s">
        <v>114</v>
      </c>
      <c r="C8" s="5" t="s">
        <v>115</v>
      </c>
      <c r="D8" s="5" t="s">
        <v>116</v>
      </c>
      <c r="E8" s="5" t="s">
        <v>117</v>
      </c>
      <c r="F8" s="5" t="s">
        <v>118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 t="s">
        <v>17</v>
      </c>
      <c r="B9" s="2">
        <f>Monthly!O5</f>
        <v>71700</v>
      </c>
      <c r="C9" s="2">
        <v>6000.0</v>
      </c>
      <c r="D9" s="2">
        <v>7000.0</v>
      </c>
      <c r="E9" s="2">
        <v>8000.0</v>
      </c>
      <c r="F9" s="2">
        <v>9000.0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 t="s">
        <v>18</v>
      </c>
      <c r="B10" s="31">
        <f>Monthly!O6</f>
        <v>50</v>
      </c>
      <c r="C10" s="2">
        <v>25.0</v>
      </c>
      <c r="D10" s="2">
        <v>20.0</v>
      </c>
      <c r="E10" s="2">
        <v>20.0</v>
      </c>
      <c r="F10" s="2">
        <v>18.0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 t="s">
        <v>19</v>
      </c>
      <c r="B11" s="31">
        <f>Monthly!O7</f>
        <v>13</v>
      </c>
      <c r="C11" s="31">
        <v>3.0</v>
      </c>
      <c r="D11" s="31">
        <v>3.0</v>
      </c>
      <c r="E11" s="31">
        <v>3.0</v>
      </c>
      <c r="F11" s="31">
        <v>3.0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 t="s">
        <v>20</v>
      </c>
      <c r="B12" s="31">
        <f>Monthly!O8</f>
        <v>15</v>
      </c>
      <c r="C12" s="31">
        <v>1.25</v>
      </c>
      <c r="D12" s="31">
        <v>1.25</v>
      </c>
      <c r="E12" s="31">
        <v>1.25</v>
      </c>
      <c r="F12" s="31">
        <v>1.25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 t="s">
        <v>21</v>
      </c>
      <c r="B13" s="31">
        <f>Monthly!O9</f>
        <v>4.2</v>
      </c>
      <c r="C13" s="31">
        <v>3.75</v>
      </c>
      <c r="D13" s="31">
        <v>3.75</v>
      </c>
      <c r="E13" s="31">
        <v>3.75</v>
      </c>
      <c r="F13" s="31">
        <v>3.75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32" t="s">
        <v>80</v>
      </c>
      <c r="B14" s="2">
        <f>B59</f>
        <v>100</v>
      </c>
      <c r="C14" s="2">
        <f t="shared" ref="C14:F14" si="1">C58*(1/C20)</f>
        <v>5000</v>
      </c>
      <c r="D14" s="2">
        <f t="shared" si="1"/>
        <v>7000</v>
      </c>
      <c r="E14" s="2">
        <f t="shared" si="1"/>
        <v>9000</v>
      </c>
      <c r="F14" s="2">
        <f t="shared" si="1"/>
        <v>11000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 t="s">
        <v>24</v>
      </c>
      <c r="B16" s="2">
        <v>30.0</v>
      </c>
      <c r="C16" s="2">
        <v>30.0</v>
      </c>
      <c r="D16" s="2">
        <v>30.0</v>
      </c>
      <c r="E16" s="2">
        <v>30.0</v>
      </c>
      <c r="F16" s="2">
        <v>30.0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 t="s">
        <v>25</v>
      </c>
      <c r="B17" s="2">
        <v>25.0</v>
      </c>
      <c r="C17" s="2">
        <v>25.0</v>
      </c>
      <c r="D17" s="2">
        <v>25.0</v>
      </c>
      <c r="E17" s="2">
        <v>25.0</v>
      </c>
      <c r="F17" s="2">
        <v>25.0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 t="s">
        <v>26</v>
      </c>
      <c r="B18" s="2">
        <v>25.0</v>
      </c>
      <c r="C18" s="2">
        <v>25.0</v>
      </c>
      <c r="D18" s="2">
        <v>25.0</v>
      </c>
      <c r="E18" s="2">
        <v>25.0</v>
      </c>
      <c r="F18" s="2">
        <v>25.0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 t="s">
        <v>28</v>
      </c>
      <c r="B20" s="2">
        <v>5.0</v>
      </c>
      <c r="C20" s="2">
        <v>5.0</v>
      </c>
      <c r="D20" s="2">
        <v>5.0</v>
      </c>
      <c r="E20" s="2">
        <v>5.0</v>
      </c>
      <c r="F20" s="2">
        <v>5.0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 t="s">
        <v>29</v>
      </c>
      <c r="B21" s="33">
        <v>0.36</v>
      </c>
      <c r="C21" s="33">
        <v>0.36</v>
      </c>
      <c r="D21" s="33">
        <v>0.36</v>
      </c>
      <c r="E21" s="33">
        <v>0.36</v>
      </c>
      <c r="F21" s="33">
        <v>0.36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 t="s">
        <v>30</v>
      </c>
      <c r="B22" s="34">
        <v>0.1</v>
      </c>
      <c r="C22" s="34">
        <v>0.1</v>
      </c>
      <c r="D22" s="34">
        <v>0.1</v>
      </c>
      <c r="E22" s="34">
        <v>0.1</v>
      </c>
      <c r="F22" s="34">
        <v>0.1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 t="s">
        <v>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8" t="s">
        <v>32</v>
      </c>
      <c r="B25" s="29"/>
      <c r="C25" s="29"/>
      <c r="D25" s="29"/>
      <c r="E25" s="29"/>
      <c r="F25" s="3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5"/>
      <c r="B26" s="13" t="s">
        <v>114</v>
      </c>
      <c r="C26" s="13" t="s">
        <v>115</v>
      </c>
      <c r="D26" s="13" t="s">
        <v>116</v>
      </c>
      <c r="E26" s="13" t="s">
        <v>117</v>
      </c>
      <c r="F26" s="13" t="s">
        <v>118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5"/>
      <c r="B27" s="5"/>
      <c r="C27" s="5"/>
      <c r="D27" s="5"/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5" t="s">
        <v>33</v>
      </c>
      <c r="B28" s="2">
        <f>+Monthly!O24</f>
        <v>3585000</v>
      </c>
      <c r="C28" s="2">
        <f t="shared" ref="C28:F28" si="2">C9*C10</f>
        <v>150000</v>
      </c>
      <c r="D28" s="2">
        <f t="shared" si="2"/>
        <v>140000</v>
      </c>
      <c r="E28" s="2">
        <f t="shared" si="2"/>
        <v>160000</v>
      </c>
      <c r="F28" s="2">
        <f t="shared" si="2"/>
        <v>162000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 t="s">
        <v>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5" t="s">
        <v>36</v>
      </c>
      <c r="B30" s="2">
        <f>+Monthly!O26</f>
        <v>932100</v>
      </c>
      <c r="C30" s="2">
        <f t="shared" ref="C30:F30" si="3">C9*C11</f>
        <v>18000</v>
      </c>
      <c r="D30" s="2">
        <f t="shared" si="3"/>
        <v>21000</v>
      </c>
      <c r="E30" s="2">
        <f t="shared" si="3"/>
        <v>24000</v>
      </c>
      <c r="F30" s="2">
        <f t="shared" si="3"/>
        <v>27000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5" t="s">
        <v>119</v>
      </c>
      <c r="B31" s="2">
        <f>+Monthly!O27</f>
        <v>1075500</v>
      </c>
      <c r="C31" s="2">
        <f t="shared" ref="C31:F31" si="4">+C12*C9</f>
        <v>7500</v>
      </c>
      <c r="D31" s="2">
        <f t="shared" si="4"/>
        <v>8750</v>
      </c>
      <c r="E31" s="2">
        <f t="shared" si="4"/>
        <v>10000</v>
      </c>
      <c r="F31" s="2">
        <f t="shared" si="4"/>
        <v>11250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5" t="s">
        <v>120</v>
      </c>
      <c r="B32" s="2">
        <f>+Monthly!O28</f>
        <v>301140</v>
      </c>
      <c r="C32" s="2">
        <f t="shared" ref="C32:F32" si="5">+C13*C9</f>
        <v>22500</v>
      </c>
      <c r="D32" s="2">
        <f t="shared" si="5"/>
        <v>26250</v>
      </c>
      <c r="E32" s="2">
        <f t="shared" si="5"/>
        <v>30000</v>
      </c>
      <c r="F32" s="2">
        <f t="shared" si="5"/>
        <v>33750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15" t="s">
        <v>40</v>
      </c>
      <c r="B33" s="2">
        <f>+Monthly!O29</f>
        <v>100</v>
      </c>
      <c r="C33" s="2">
        <f t="shared" ref="C33:F33" si="6">C14+C15</f>
        <v>5000</v>
      </c>
      <c r="D33" s="2">
        <f t="shared" si="6"/>
        <v>7000</v>
      </c>
      <c r="E33" s="2">
        <f t="shared" si="6"/>
        <v>9000</v>
      </c>
      <c r="F33" s="2">
        <f t="shared" si="6"/>
        <v>11000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1" t="s">
        <v>42</v>
      </c>
      <c r="B34" s="17">
        <f t="shared" ref="B34:F34" si="7">SUM(B30:B33)</f>
        <v>2308840</v>
      </c>
      <c r="C34" s="17">
        <f t="shared" si="7"/>
        <v>53000</v>
      </c>
      <c r="D34" s="17">
        <f t="shared" si="7"/>
        <v>63000</v>
      </c>
      <c r="E34" s="17">
        <f t="shared" si="7"/>
        <v>73000</v>
      </c>
      <c r="F34" s="17">
        <f t="shared" si="7"/>
        <v>83000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8" t="s">
        <v>121</v>
      </c>
      <c r="B35" s="4">
        <f t="shared" ref="B35:F35" si="8">B28-B34</f>
        <v>1276160</v>
      </c>
      <c r="C35" s="4">
        <f t="shared" si="8"/>
        <v>97000</v>
      </c>
      <c r="D35" s="4">
        <f t="shared" si="8"/>
        <v>77000</v>
      </c>
      <c r="E35" s="4">
        <f t="shared" si="8"/>
        <v>87000</v>
      </c>
      <c r="F35" s="4">
        <f t="shared" si="8"/>
        <v>79000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 t="s">
        <v>45</v>
      </c>
      <c r="B37" s="2">
        <f>Monthly!O33</f>
        <v>2400</v>
      </c>
      <c r="C37" s="2">
        <v>3500.0</v>
      </c>
      <c r="D37" s="2">
        <v>4500.0</v>
      </c>
      <c r="E37" s="2">
        <v>5000.0</v>
      </c>
      <c r="F37" s="2">
        <v>5500.0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 t="s">
        <v>46</v>
      </c>
      <c r="B38" s="2">
        <f>Monthly!O34</f>
        <v>448</v>
      </c>
      <c r="C38" s="2">
        <v>2500.0</v>
      </c>
      <c r="D38" s="2">
        <v>3000.0</v>
      </c>
      <c r="E38" s="2">
        <v>3500.0</v>
      </c>
      <c r="F38" s="2">
        <v>4000.0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" t="s">
        <v>47</v>
      </c>
      <c r="B40" s="2">
        <f t="shared" ref="B40:F40" si="9">B35-B37-B38</f>
        <v>1273312</v>
      </c>
      <c r="C40" s="2">
        <f t="shared" si="9"/>
        <v>91000</v>
      </c>
      <c r="D40" s="2">
        <f t="shared" si="9"/>
        <v>69500</v>
      </c>
      <c r="E40" s="2">
        <f t="shared" si="9"/>
        <v>78500</v>
      </c>
      <c r="F40" s="2">
        <f t="shared" si="9"/>
        <v>69500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 t="s">
        <v>48</v>
      </c>
      <c r="B41" s="2">
        <f>Amortization!H12+(B65*B22)</f>
        <v>0</v>
      </c>
      <c r="C41" s="2">
        <f>Amortization!H13+(C65*C22)</f>
        <v>0</v>
      </c>
      <c r="D41" s="2">
        <f>Amortization!H14+(D65*D22)</f>
        <v>0</v>
      </c>
      <c r="E41" s="2">
        <f>Amortization!H15+(E65*E22)</f>
        <v>0</v>
      </c>
      <c r="F41" s="2">
        <f>Amortization!H16+(F65*F22)</f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" t="s">
        <v>49</v>
      </c>
      <c r="B43" s="2">
        <f t="shared" ref="B43:F43" si="10">B40-B41</f>
        <v>1273312</v>
      </c>
      <c r="C43" s="2">
        <f t="shared" si="10"/>
        <v>91000</v>
      </c>
      <c r="D43" s="2">
        <f t="shared" si="10"/>
        <v>69500</v>
      </c>
      <c r="E43" s="2">
        <f t="shared" si="10"/>
        <v>78500</v>
      </c>
      <c r="F43" s="2">
        <f t="shared" si="10"/>
        <v>69500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5" t="s">
        <v>52</v>
      </c>
      <c r="B45" s="2">
        <f>+Monthly!O42</f>
        <v>458392.32</v>
      </c>
      <c r="C45" s="2">
        <f t="shared" ref="C45:F45" si="11">C43*C21</f>
        <v>32760</v>
      </c>
      <c r="D45" s="2">
        <f t="shared" si="11"/>
        <v>25020</v>
      </c>
      <c r="E45" s="2">
        <f t="shared" si="11"/>
        <v>28260</v>
      </c>
      <c r="F45" s="2">
        <f t="shared" si="11"/>
        <v>25020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8" t="s">
        <v>53</v>
      </c>
      <c r="B47" s="4">
        <f t="shared" ref="B47:F47" si="12">B43-B45</f>
        <v>814919.68</v>
      </c>
      <c r="C47" s="4">
        <f t="shared" si="12"/>
        <v>58240</v>
      </c>
      <c r="D47" s="4">
        <f t="shared" si="12"/>
        <v>44480</v>
      </c>
      <c r="E47" s="4">
        <f t="shared" si="12"/>
        <v>50240</v>
      </c>
      <c r="F47" s="4">
        <f t="shared" si="12"/>
        <v>44480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8" t="s">
        <v>54</v>
      </c>
      <c r="B49" s="29"/>
      <c r="C49" s="29"/>
      <c r="D49" s="29"/>
      <c r="E49" s="29"/>
      <c r="F49" s="3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13" t="s">
        <v>114</v>
      </c>
      <c r="C50" s="13" t="s">
        <v>115</v>
      </c>
      <c r="D50" s="13" t="s">
        <v>116</v>
      </c>
      <c r="E50" s="13" t="s">
        <v>117</v>
      </c>
      <c r="F50" s="13" t="s">
        <v>118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" t="s">
        <v>55</v>
      </c>
      <c r="B52" s="21">
        <f>Monthly!O49</f>
        <v>-3004791.274</v>
      </c>
      <c r="C52" s="21">
        <f t="shared" ref="C52:F52" si="13">C56-C55-C54-C53</f>
        <v>824049.68</v>
      </c>
      <c r="D52" s="21">
        <f t="shared" si="13"/>
        <v>863390.5133</v>
      </c>
      <c r="E52" s="21">
        <f t="shared" si="13"/>
        <v>906822.18</v>
      </c>
      <c r="F52" s="21">
        <f t="shared" si="13"/>
        <v>952022.18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3" t="s">
        <v>56</v>
      </c>
      <c r="B53" s="35">
        <f>Monthly!O50</f>
        <v>1589350</v>
      </c>
      <c r="C53" s="2">
        <f t="shared" ref="C53:F53" si="14">C28/6</f>
        <v>25000</v>
      </c>
      <c r="D53" s="2">
        <f t="shared" si="14"/>
        <v>23333.33333</v>
      </c>
      <c r="E53" s="2">
        <f t="shared" si="14"/>
        <v>26666.66667</v>
      </c>
      <c r="F53" s="2">
        <f t="shared" si="14"/>
        <v>27000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3" t="s">
        <v>57</v>
      </c>
      <c r="B54" s="35">
        <f>Monthly!O51</f>
        <v>2667074.688</v>
      </c>
      <c r="C54" s="2">
        <f t="shared" ref="C54:E54" si="15">D34/3</f>
        <v>21000</v>
      </c>
      <c r="D54" s="2">
        <f t="shared" si="15"/>
        <v>24333.33333</v>
      </c>
      <c r="E54" s="2">
        <f t="shared" si="15"/>
        <v>27666.66667</v>
      </c>
      <c r="F54" s="2">
        <f>F34/3</f>
        <v>27666.66667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 t="s">
        <v>58</v>
      </c>
      <c r="B55" s="35">
        <f>Monthly!O52</f>
        <v>75</v>
      </c>
      <c r="C55" s="2">
        <v>55.0</v>
      </c>
      <c r="D55" s="2">
        <v>60.0</v>
      </c>
      <c r="E55" s="2">
        <v>65.0</v>
      </c>
      <c r="F55" s="2">
        <v>65.0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8" t="s">
        <v>59</v>
      </c>
      <c r="B56" s="36">
        <f>Monthly!O53</f>
        <v>1251708.414</v>
      </c>
      <c r="C56" s="4">
        <f t="shared" ref="C56:F56" si="16">C62-C60</f>
        <v>870104.68</v>
      </c>
      <c r="D56" s="4">
        <f t="shared" si="16"/>
        <v>911117.18</v>
      </c>
      <c r="E56" s="4">
        <f t="shared" si="16"/>
        <v>961220.5133</v>
      </c>
      <c r="F56" s="4">
        <f t="shared" si="16"/>
        <v>1006753.847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4"/>
      <c r="B57" s="4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 t="s">
        <v>60</v>
      </c>
      <c r="B58" s="35">
        <f>Monthly!O55</f>
        <v>15000</v>
      </c>
      <c r="C58" s="2">
        <v>25000.0</v>
      </c>
      <c r="D58" s="2">
        <v>35000.0</v>
      </c>
      <c r="E58" s="2">
        <v>45000.0</v>
      </c>
      <c r="F58" s="2">
        <v>55000.0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3" t="s">
        <v>61</v>
      </c>
      <c r="B59" s="35">
        <f>Monthly!O56</f>
        <v>100</v>
      </c>
      <c r="C59" s="2">
        <f t="shared" ref="C59:F59" si="17">C58*(1/C20)+B59</f>
        <v>5100</v>
      </c>
      <c r="D59" s="2">
        <f t="shared" si="17"/>
        <v>12100</v>
      </c>
      <c r="E59" s="2">
        <f t="shared" si="17"/>
        <v>21100</v>
      </c>
      <c r="F59" s="2">
        <f t="shared" si="17"/>
        <v>32100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1" t="s">
        <v>62</v>
      </c>
      <c r="B60" s="35">
        <f>Monthly!O57</f>
        <v>14900</v>
      </c>
      <c r="C60" s="2">
        <f t="shared" ref="C60:F60" si="18">C58-C59</f>
        <v>19900</v>
      </c>
      <c r="D60" s="2">
        <f t="shared" si="18"/>
        <v>22900</v>
      </c>
      <c r="E60" s="2">
        <f t="shared" si="18"/>
        <v>23900</v>
      </c>
      <c r="F60" s="2">
        <f t="shared" si="18"/>
        <v>22900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2" t="s">
        <v>63</v>
      </c>
      <c r="B62" s="4">
        <f t="shared" ref="B62:F62" si="19">B81</f>
        <v>1266608.414</v>
      </c>
      <c r="C62" s="4">
        <f t="shared" si="19"/>
        <v>890004.68</v>
      </c>
      <c r="D62" s="4">
        <f t="shared" si="19"/>
        <v>934017.18</v>
      </c>
      <c r="E62" s="4">
        <f t="shared" si="19"/>
        <v>985120.5133</v>
      </c>
      <c r="F62" s="4">
        <f t="shared" si="19"/>
        <v>1029653.847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4"/>
      <c r="B63" s="4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4" t="s">
        <v>64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 t="s">
        <v>122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3" t="s">
        <v>123</v>
      </c>
      <c r="B66" s="2">
        <f>Amortization!I13</f>
        <v>0</v>
      </c>
      <c r="C66" s="2">
        <f>Amortization!I14</f>
        <v>0</v>
      </c>
      <c r="D66" s="2">
        <f>Amortization!I15</f>
        <v>0</v>
      </c>
      <c r="E66" s="2">
        <f>Amortization!I16</f>
        <v>0</v>
      </c>
      <c r="F66" s="2">
        <v>0.0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3" t="s">
        <v>67</v>
      </c>
      <c r="B67" s="2">
        <f>Monthly!O64</f>
        <v>354198</v>
      </c>
      <c r="C67" s="2">
        <f t="shared" ref="C67:F67" si="20">C30*0.125</f>
        <v>2250</v>
      </c>
      <c r="D67" s="2">
        <f t="shared" si="20"/>
        <v>2625</v>
      </c>
      <c r="E67" s="2">
        <f t="shared" si="20"/>
        <v>3000</v>
      </c>
      <c r="F67" s="2">
        <f t="shared" si="20"/>
        <v>3375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3" t="s">
        <v>68</v>
      </c>
      <c r="B68" s="2">
        <f>Monthly!O65</f>
        <v>240</v>
      </c>
      <c r="C68" s="2">
        <f t="shared" ref="C68:F68" si="21">(C37+C38)/12</f>
        <v>500</v>
      </c>
      <c r="D68" s="2">
        <f t="shared" si="21"/>
        <v>625</v>
      </c>
      <c r="E68" s="2">
        <f t="shared" si="21"/>
        <v>708.3333333</v>
      </c>
      <c r="F68" s="2">
        <f t="shared" si="21"/>
        <v>791.6666667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3" t="s">
        <v>69</v>
      </c>
      <c r="B69" s="2">
        <f>Monthly!O66</f>
        <v>87250.734</v>
      </c>
      <c r="C69" s="17">
        <f t="shared" ref="C69:F69" si="22">C45*0.125</f>
        <v>4095</v>
      </c>
      <c r="D69" s="17">
        <f t="shared" si="22"/>
        <v>3127.5</v>
      </c>
      <c r="E69" s="17">
        <f t="shared" si="22"/>
        <v>3532.5</v>
      </c>
      <c r="F69" s="17">
        <f t="shared" si="22"/>
        <v>3127.5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18" t="s">
        <v>70</v>
      </c>
      <c r="B70" s="4">
        <f t="shared" ref="B70:F70" si="23">SUM(B65:B69)</f>
        <v>441688.734</v>
      </c>
      <c r="C70" s="4">
        <f t="shared" si="23"/>
        <v>6845</v>
      </c>
      <c r="D70" s="4">
        <f t="shared" si="23"/>
        <v>6377.5</v>
      </c>
      <c r="E70" s="4">
        <f t="shared" si="23"/>
        <v>7240.833333</v>
      </c>
      <c r="F70" s="4">
        <f t="shared" si="23"/>
        <v>7294.166667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 t="s">
        <v>71</v>
      </c>
      <c r="B72" s="2">
        <f>Amortization!G13</f>
        <v>0</v>
      </c>
      <c r="C72" s="2">
        <f>Amortization!G14</f>
        <v>0</v>
      </c>
      <c r="D72" s="2">
        <f>Amortization!G15</f>
        <v>0</v>
      </c>
      <c r="E72" s="2">
        <f>Amortization!G16</f>
        <v>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4" t="s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3" t="s">
        <v>73</v>
      </c>
      <c r="B74" s="2" t="str">
        <f>+Monthly!O72</f>
        <v/>
      </c>
      <c r="C74" s="2">
        <v>0.0</v>
      </c>
      <c r="D74" s="2">
        <v>0.0</v>
      </c>
      <c r="E74" s="2">
        <v>0.0</v>
      </c>
      <c r="F74" s="2">
        <v>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 t="s">
        <v>74</v>
      </c>
      <c r="B76" s="2">
        <v>10000.0</v>
      </c>
      <c r="C76" s="2">
        <v>10000.0</v>
      </c>
      <c r="D76" s="2">
        <v>10000.0</v>
      </c>
      <c r="E76" s="2">
        <v>10000.0</v>
      </c>
      <c r="F76" s="2">
        <v>10000.0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4" t="s">
        <v>75</v>
      </c>
      <c r="B77" s="24">
        <v>0.0</v>
      </c>
      <c r="C77" s="24">
        <v>0.0</v>
      </c>
      <c r="D77" s="24">
        <v>0.0</v>
      </c>
      <c r="E77" s="24">
        <v>0.0</v>
      </c>
      <c r="F77" s="24">
        <v>0.0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3" t="s">
        <v>76</v>
      </c>
      <c r="B78" s="2">
        <f>B47+B77</f>
        <v>814919.68</v>
      </c>
      <c r="C78" s="2">
        <f t="shared" ref="C78:F78" si="24">B78+C77+C47</f>
        <v>873159.68</v>
      </c>
      <c r="D78" s="2">
        <f t="shared" si="24"/>
        <v>917639.68</v>
      </c>
      <c r="E78" s="2">
        <f t="shared" si="24"/>
        <v>967879.68</v>
      </c>
      <c r="F78" s="2">
        <f t="shared" si="24"/>
        <v>1012359.68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8" t="s">
        <v>124</v>
      </c>
      <c r="B79" s="4">
        <f t="shared" ref="B79:F79" si="25">SUM(B76:B78)</f>
        <v>824919.68</v>
      </c>
      <c r="C79" s="4">
        <f t="shared" si="25"/>
        <v>883159.68</v>
      </c>
      <c r="D79" s="4">
        <f t="shared" si="25"/>
        <v>927639.68</v>
      </c>
      <c r="E79" s="4">
        <f t="shared" si="25"/>
        <v>977879.68</v>
      </c>
      <c r="F79" s="4">
        <f t="shared" si="25"/>
        <v>1022359.68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8" t="s">
        <v>78</v>
      </c>
      <c r="B81" s="4">
        <f t="shared" ref="B81:F81" si="26">SUM(B79)+B72+B70</f>
        <v>1266608.414</v>
      </c>
      <c r="C81" s="4">
        <f t="shared" si="26"/>
        <v>890004.68</v>
      </c>
      <c r="D81" s="4">
        <f t="shared" si="26"/>
        <v>934017.18</v>
      </c>
      <c r="E81" s="4">
        <f t="shared" si="26"/>
        <v>985120.5133</v>
      </c>
      <c r="F81" s="4">
        <f t="shared" si="26"/>
        <v>1029653.847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8" t="s">
        <v>79</v>
      </c>
      <c r="B83" s="29"/>
      <c r="C83" s="29"/>
      <c r="D83" s="29"/>
      <c r="E83" s="30"/>
      <c r="F83" s="3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5"/>
      <c r="B84" s="13" t="s">
        <v>114</v>
      </c>
      <c r="C84" s="13" t="s">
        <v>115</v>
      </c>
      <c r="D84" s="13" t="s">
        <v>116</v>
      </c>
      <c r="E84" s="13" t="s">
        <v>117</v>
      </c>
      <c r="F84" s="13" t="s">
        <v>118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5"/>
      <c r="B85" s="5"/>
      <c r="C85" s="5"/>
      <c r="D85" s="5"/>
      <c r="E85" s="5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3" t="s">
        <v>53</v>
      </c>
      <c r="B86" s="2">
        <f>B78-0</f>
        <v>814919.68</v>
      </c>
      <c r="C86" s="2">
        <f t="shared" ref="C86:F86" si="27">C78-B78</f>
        <v>58240</v>
      </c>
      <c r="D86" s="2">
        <f t="shared" si="27"/>
        <v>44480</v>
      </c>
      <c r="E86" s="2">
        <f t="shared" si="27"/>
        <v>50240</v>
      </c>
      <c r="F86" s="2">
        <f t="shared" si="27"/>
        <v>44480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3" t="s">
        <v>80</v>
      </c>
      <c r="B87" s="17">
        <f>B59</f>
        <v>100</v>
      </c>
      <c r="C87" s="17">
        <f t="shared" ref="C87:F87" si="28">C59-B59</f>
        <v>5000</v>
      </c>
      <c r="D87" s="17">
        <f t="shared" si="28"/>
        <v>7000</v>
      </c>
      <c r="E87" s="17">
        <f t="shared" si="28"/>
        <v>9000</v>
      </c>
      <c r="F87" s="17">
        <f t="shared" si="28"/>
        <v>11000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4"/>
      <c r="B88" s="4">
        <f t="shared" ref="B88:F88" si="29">SUM(B86:B87)</f>
        <v>815019.68</v>
      </c>
      <c r="C88" s="4">
        <f t="shared" si="29"/>
        <v>63240</v>
      </c>
      <c r="D88" s="4">
        <f t="shared" si="29"/>
        <v>51480</v>
      </c>
      <c r="E88" s="4">
        <f t="shared" si="29"/>
        <v>59240</v>
      </c>
      <c r="F88" s="4">
        <f t="shared" si="29"/>
        <v>55480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 t="s">
        <v>81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3" t="s">
        <v>56</v>
      </c>
      <c r="B90" s="2">
        <f t="shared" ref="B90:B92" si="31">-B53</f>
        <v>-1589350</v>
      </c>
      <c r="C90" s="2">
        <f t="shared" ref="C90:F90" si="30">-C53+B53</f>
        <v>1564350</v>
      </c>
      <c r="D90" s="2">
        <f t="shared" si="30"/>
        <v>1666.666667</v>
      </c>
      <c r="E90" s="2">
        <f t="shared" si="30"/>
        <v>-3333.333333</v>
      </c>
      <c r="F90" s="2">
        <f t="shared" si="30"/>
        <v>-333.3333333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3" t="s">
        <v>57</v>
      </c>
      <c r="B91" s="2">
        <f t="shared" si="31"/>
        <v>-2667074.688</v>
      </c>
      <c r="C91" s="2">
        <f t="shared" ref="C91:F91" si="32">-C54+B54</f>
        <v>2646074.688</v>
      </c>
      <c r="D91" s="2">
        <f t="shared" si="32"/>
        <v>-3333.333333</v>
      </c>
      <c r="E91" s="2">
        <f t="shared" si="32"/>
        <v>-3333.333333</v>
      </c>
      <c r="F91" s="2">
        <f t="shared" si="32"/>
        <v>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3" t="s">
        <v>82</v>
      </c>
      <c r="B92" s="2">
        <f t="shared" si="31"/>
        <v>-75</v>
      </c>
      <c r="C92" s="2">
        <f t="shared" ref="C92:F92" si="33">-C55+B55</f>
        <v>20</v>
      </c>
      <c r="D92" s="2">
        <f t="shared" si="33"/>
        <v>-5</v>
      </c>
      <c r="E92" s="2">
        <f t="shared" si="33"/>
        <v>-5</v>
      </c>
      <c r="F92" s="2">
        <f t="shared" si="33"/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3" t="s">
        <v>83</v>
      </c>
      <c r="B93" s="2">
        <f t="shared" ref="B93:B95" si="35">B67</f>
        <v>354198</v>
      </c>
      <c r="C93" s="2">
        <f t="shared" ref="C93:F93" si="34">C67-B67</f>
        <v>-351948</v>
      </c>
      <c r="D93" s="2">
        <f t="shared" si="34"/>
        <v>375</v>
      </c>
      <c r="E93" s="2">
        <f t="shared" si="34"/>
        <v>375</v>
      </c>
      <c r="F93" s="2">
        <f t="shared" si="34"/>
        <v>375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3" t="s">
        <v>84</v>
      </c>
      <c r="B94" s="2">
        <f t="shared" si="35"/>
        <v>240</v>
      </c>
      <c r="C94" s="2">
        <f t="shared" ref="C94:F94" si="36">C68-B68</f>
        <v>260</v>
      </c>
      <c r="D94" s="2">
        <f t="shared" si="36"/>
        <v>125</v>
      </c>
      <c r="E94" s="2">
        <f t="shared" si="36"/>
        <v>83.33333333</v>
      </c>
      <c r="F94" s="2">
        <f t="shared" si="36"/>
        <v>83.33333333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3" t="s">
        <v>85</v>
      </c>
      <c r="B95" s="17">
        <f t="shared" si="35"/>
        <v>87250.734</v>
      </c>
      <c r="C95" s="17">
        <f t="shared" ref="C95:F95" si="37">C69-B69</f>
        <v>-83155.734</v>
      </c>
      <c r="D95" s="17">
        <f t="shared" si="37"/>
        <v>-967.5</v>
      </c>
      <c r="E95" s="17">
        <f t="shared" si="37"/>
        <v>405</v>
      </c>
      <c r="F95" s="17">
        <f t="shared" si="37"/>
        <v>-405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18" t="s">
        <v>86</v>
      </c>
      <c r="B97" s="4">
        <f t="shared" ref="B97:F97" si="38">SUM(B88:B96)</f>
        <v>-2999791.274</v>
      </c>
      <c r="C97" s="4">
        <f t="shared" si="38"/>
        <v>3838840.954</v>
      </c>
      <c r="D97" s="4">
        <f t="shared" si="38"/>
        <v>49340.83333</v>
      </c>
      <c r="E97" s="4">
        <f t="shared" si="38"/>
        <v>53431.66667</v>
      </c>
      <c r="F97" s="4">
        <f t="shared" si="38"/>
        <v>55200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4" t="s">
        <v>87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3" t="s">
        <v>88</v>
      </c>
      <c r="B100" s="2">
        <f>-B58</f>
        <v>-15000</v>
      </c>
      <c r="C100" s="2">
        <f t="shared" ref="C100:F100" si="39">-C58+B58</f>
        <v>-10000</v>
      </c>
      <c r="D100" s="2">
        <f t="shared" si="39"/>
        <v>-10000</v>
      </c>
      <c r="E100" s="2">
        <f t="shared" si="39"/>
        <v>-10000</v>
      </c>
      <c r="F100" s="2">
        <f t="shared" si="39"/>
        <v>-10000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3" t="s">
        <v>90</v>
      </c>
      <c r="B101" s="2">
        <f>B76+B77</f>
        <v>10000</v>
      </c>
      <c r="C101" s="2">
        <f t="shared" ref="C101:F101" si="40">C76+C77-B76-B77</f>
        <v>0</v>
      </c>
      <c r="D101" s="2">
        <f t="shared" si="40"/>
        <v>0</v>
      </c>
      <c r="E101" s="2">
        <f t="shared" si="40"/>
        <v>0</v>
      </c>
      <c r="F101" s="2">
        <f t="shared" si="40"/>
        <v>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3" t="s">
        <v>125</v>
      </c>
      <c r="B102" s="2">
        <f>+B77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 t="s">
        <v>92</v>
      </c>
      <c r="B103" s="17">
        <f>B72+B66</f>
        <v>0</v>
      </c>
      <c r="C103" s="17">
        <f t="shared" ref="C103:F103" si="41">C72+C66-B72-B66</f>
        <v>0</v>
      </c>
      <c r="D103" s="17">
        <f t="shared" si="41"/>
        <v>0</v>
      </c>
      <c r="E103" s="17">
        <f t="shared" si="41"/>
        <v>0</v>
      </c>
      <c r="F103" s="17">
        <f t="shared" si="41"/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8" t="s">
        <v>93</v>
      </c>
      <c r="B105" s="4">
        <f t="shared" ref="B105:F105" si="42">SUM(B100:B104)</f>
        <v>-5000</v>
      </c>
      <c r="C105" s="4">
        <f t="shared" si="42"/>
        <v>-10000</v>
      </c>
      <c r="D105" s="4">
        <f t="shared" si="42"/>
        <v>-10000</v>
      </c>
      <c r="E105" s="4">
        <f t="shared" si="42"/>
        <v>-10000</v>
      </c>
      <c r="F105" s="4">
        <f t="shared" si="42"/>
        <v>-10000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8" t="s">
        <v>94</v>
      </c>
      <c r="B107" s="4">
        <f t="shared" ref="B107:F107" si="43">B97+B105</f>
        <v>-3004791.274</v>
      </c>
      <c r="C107" s="4">
        <f t="shared" si="43"/>
        <v>3828840.954</v>
      </c>
      <c r="D107" s="4">
        <f t="shared" si="43"/>
        <v>39340.83333</v>
      </c>
      <c r="E107" s="4">
        <f t="shared" si="43"/>
        <v>43431.66667</v>
      </c>
      <c r="F107" s="4">
        <f t="shared" si="43"/>
        <v>45200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3" t="s">
        <v>95</v>
      </c>
      <c r="B109" s="2">
        <v>0.0</v>
      </c>
      <c r="C109" s="2">
        <f t="shared" ref="C109:F109" si="44">B52</f>
        <v>-3004791.274</v>
      </c>
      <c r="D109" s="2">
        <f t="shared" si="44"/>
        <v>824049.68</v>
      </c>
      <c r="E109" s="2">
        <f t="shared" si="44"/>
        <v>863390.5133</v>
      </c>
      <c r="F109" s="2">
        <f t="shared" si="44"/>
        <v>906822.18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8" t="s">
        <v>96</v>
      </c>
      <c r="B110" s="25">
        <f t="shared" ref="B110:F110" si="45">B107+B109</f>
        <v>-3004791.274</v>
      </c>
      <c r="C110" s="25">
        <f t="shared" si="45"/>
        <v>824049.68</v>
      </c>
      <c r="D110" s="25">
        <f t="shared" si="45"/>
        <v>863390.5133</v>
      </c>
      <c r="E110" s="25">
        <f t="shared" si="45"/>
        <v>906822.18</v>
      </c>
      <c r="F110" s="25">
        <f t="shared" si="45"/>
        <v>952022.18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4:F4"/>
    <mergeCell ref="A25:F25"/>
    <mergeCell ref="A49:F49"/>
    <mergeCell ref="A83:E8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31.0"/>
    <col customWidth="1" min="3" max="4" width="14.29"/>
    <col customWidth="1" min="5" max="5" width="9.0"/>
    <col customWidth="1" min="6" max="6" width="4.71"/>
    <col customWidth="1" min="7" max="7" width="23.71"/>
    <col customWidth="1" min="8" max="26" width="10.0"/>
  </cols>
  <sheetData>
    <row r="1" ht="6.0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37.5" customHeight="1">
      <c r="A2" s="38"/>
      <c r="B2" s="39" t="s">
        <v>126</v>
      </c>
      <c r="C2" s="40"/>
      <c r="D2" s="40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9.5" customHeight="1">
      <c r="A3" s="38"/>
      <c r="B3" s="41" t="s">
        <v>127</v>
      </c>
      <c r="C3" s="42"/>
      <c r="D3" s="42"/>
      <c r="E3" s="42"/>
      <c r="F3" s="42"/>
      <c r="G3" s="42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0" customHeight="1">
      <c r="A4" s="38"/>
      <c r="B4" s="43" t="s">
        <v>128</v>
      </c>
      <c r="C4" s="42"/>
      <c r="D4" s="42"/>
      <c r="E4" s="42"/>
      <c r="F4" s="42"/>
      <c r="G4" s="42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3.5" customHeight="1">
      <c r="A5" s="38"/>
      <c r="B5" s="38"/>
      <c r="C5" s="44"/>
      <c r="D5" s="44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3.5" customHeight="1">
      <c r="A6" s="38"/>
      <c r="B6" s="38"/>
      <c r="C6" s="44"/>
      <c r="D6" s="44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3.5" customHeight="1">
      <c r="A7" s="38"/>
      <c r="B7" s="38"/>
      <c r="C7" s="45" t="s">
        <v>129</v>
      </c>
      <c r="D7" s="45" t="s">
        <v>130</v>
      </c>
      <c r="E7" s="45" t="s">
        <v>131</v>
      </c>
      <c r="F7" s="46"/>
      <c r="G7" s="46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3.5" customHeight="1">
      <c r="A8" s="38"/>
      <c r="B8" s="38"/>
      <c r="C8" s="45" t="s">
        <v>132</v>
      </c>
      <c r="D8" s="45" t="s">
        <v>133</v>
      </c>
      <c r="E8" s="45" t="s">
        <v>134</v>
      </c>
      <c r="F8" s="46"/>
      <c r="G8" s="47" t="s">
        <v>135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3.5" customHeight="1">
      <c r="A9" s="38"/>
      <c r="B9" s="48" t="s">
        <v>136</v>
      </c>
      <c r="C9" s="49"/>
      <c r="D9" s="49"/>
      <c r="E9" s="49"/>
      <c r="F9" s="50"/>
      <c r="G9" s="49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3.5" customHeight="1">
      <c r="A10" s="38"/>
      <c r="B10" s="38" t="s">
        <v>137</v>
      </c>
      <c r="C10" s="51"/>
      <c r="D10" s="52" t="str">
        <f>IF(C10,+C10*2,"")</f>
        <v/>
      </c>
      <c r="E10" s="53" t="str">
        <f>IF(AND(SUM($D$48),C10&gt;0),D10/$D$48,"")</f>
        <v/>
      </c>
      <c r="F10" s="54"/>
      <c r="G10" s="5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3.5" customHeight="1">
      <c r="A11" s="38"/>
      <c r="B11" s="38" t="s">
        <v>138</v>
      </c>
      <c r="C11" s="51"/>
      <c r="D11" s="52"/>
      <c r="E11" s="53"/>
      <c r="F11" s="54"/>
      <c r="G11" s="55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3.5" customHeight="1">
      <c r="A12" s="38"/>
      <c r="B12" s="38" t="s">
        <v>139</v>
      </c>
      <c r="C12" s="56"/>
      <c r="D12" s="57" t="str">
        <f>IF(C12,+C12*3,"")</f>
        <v/>
      </c>
      <c r="E12" s="53" t="str">
        <f>IF(AND(SUM($D$48),C12&gt;0),D12/$D$48,"")</f>
        <v/>
      </c>
      <c r="F12" s="54"/>
      <c r="G12" s="55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3.5" customHeight="1">
      <c r="A13" s="38"/>
      <c r="B13" s="38" t="s">
        <v>140</v>
      </c>
      <c r="C13" s="56"/>
      <c r="D13" s="57"/>
      <c r="E13" s="53"/>
      <c r="F13" s="54"/>
      <c r="G13" s="55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3.5" customHeight="1">
      <c r="A14" s="38"/>
      <c r="B14" s="38" t="s">
        <v>141</v>
      </c>
      <c r="C14" s="58">
        <v>4000.0</v>
      </c>
      <c r="D14" s="57">
        <f t="shared" ref="D14:D19" si="1">IF(C14,+C14*3,"")</f>
        <v>12000</v>
      </c>
      <c r="E14" s="53">
        <f t="shared" ref="E14:E23" si="2">IF(AND(SUM($D$48),C14&gt;0),D14/$D$48,"")</f>
        <v>0.9022556391</v>
      </c>
      <c r="F14" s="54"/>
      <c r="G14" s="55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3.5" customHeight="1">
      <c r="A15" s="38"/>
      <c r="B15" s="38" t="s">
        <v>142</v>
      </c>
      <c r="C15" s="56"/>
      <c r="D15" s="57" t="str">
        <f t="shared" si="1"/>
        <v/>
      </c>
      <c r="E15" s="53" t="str">
        <f t="shared" si="2"/>
        <v/>
      </c>
      <c r="F15" s="54"/>
      <c r="G15" s="55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3.5" customHeight="1">
      <c r="A16" s="38"/>
      <c r="B16" s="38" t="s">
        <v>143</v>
      </c>
      <c r="C16" s="56"/>
      <c r="D16" s="57" t="str">
        <f t="shared" si="1"/>
        <v/>
      </c>
      <c r="E16" s="53" t="str">
        <f t="shared" si="2"/>
        <v/>
      </c>
      <c r="F16" s="54"/>
      <c r="G16" s="55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3.5" customHeight="1">
      <c r="A17" s="38"/>
      <c r="B17" s="38" t="s">
        <v>144</v>
      </c>
      <c r="C17" s="56"/>
      <c r="D17" s="57" t="str">
        <f t="shared" si="1"/>
        <v/>
      </c>
      <c r="E17" s="53" t="str">
        <f t="shared" si="2"/>
        <v/>
      </c>
      <c r="F17" s="54"/>
      <c r="G17" s="5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3.5" customHeight="1">
      <c r="A18" s="38"/>
      <c r="B18" s="38" t="s">
        <v>145</v>
      </c>
      <c r="C18" s="56"/>
      <c r="D18" s="57" t="str">
        <f t="shared" si="1"/>
        <v/>
      </c>
      <c r="E18" s="53" t="str">
        <f t="shared" si="2"/>
        <v/>
      </c>
      <c r="F18" s="54"/>
      <c r="G18" s="5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3.5" customHeight="1">
      <c r="A19" s="38"/>
      <c r="B19" s="38" t="s">
        <v>146</v>
      </c>
      <c r="C19" s="56"/>
      <c r="D19" s="57" t="str">
        <f t="shared" si="1"/>
        <v/>
      </c>
      <c r="E19" s="53" t="str">
        <f t="shared" si="2"/>
        <v/>
      </c>
      <c r="F19" s="54"/>
      <c r="G19" s="5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3.5" customHeight="1">
      <c r="A20" s="38"/>
      <c r="B20" s="38" t="s">
        <v>147</v>
      </c>
      <c r="C20" s="56"/>
      <c r="D20" s="57" t="str">
        <f>IF(C20,+C20,"")</f>
        <v/>
      </c>
      <c r="E20" s="53" t="str">
        <f t="shared" si="2"/>
        <v/>
      </c>
      <c r="F20" s="54"/>
      <c r="G20" s="55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3.5" customHeight="1">
      <c r="A21" s="38"/>
      <c r="B21" s="38" t="s">
        <v>148</v>
      </c>
      <c r="C21" s="56"/>
      <c r="D21" s="57" t="str">
        <f t="shared" ref="D21:D23" si="3">IF(C21,+C21*3,"")</f>
        <v/>
      </c>
      <c r="E21" s="53" t="str">
        <f t="shared" si="2"/>
        <v/>
      </c>
      <c r="F21" s="54"/>
      <c r="G21" s="55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3.5" customHeight="1">
      <c r="A22" s="38"/>
      <c r="B22" s="38" t="s">
        <v>149</v>
      </c>
      <c r="C22" s="56"/>
      <c r="D22" s="57" t="str">
        <f t="shared" si="3"/>
        <v/>
      </c>
      <c r="E22" s="53" t="str">
        <f t="shared" si="2"/>
        <v/>
      </c>
      <c r="F22" s="54"/>
      <c r="G22" s="55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3.5" customHeight="1">
      <c r="A23" s="38"/>
      <c r="B23" s="38" t="s">
        <v>150</v>
      </c>
      <c r="C23" s="56"/>
      <c r="D23" s="57" t="str">
        <f t="shared" si="3"/>
        <v/>
      </c>
      <c r="E23" s="53" t="str">
        <f t="shared" si="2"/>
        <v/>
      </c>
      <c r="F23" s="54"/>
      <c r="G23" s="55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3.5" customHeight="1">
      <c r="A24" s="38"/>
      <c r="B24" s="48" t="s">
        <v>151</v>
      </c>
      <c r="C24" s="59"/>
      <c r="D24" s="60">
        <f>IF(SUM(D10:D23),SUM(D10:D23),"")</f>
        <v>12000</v>
      </c>
      <c r="E24" s="61">
        <f>IF(AND(SUM($D$48),SUM(D24)),D24/$D$48,"")</f>
        <v>0.9022556391</v>
      </c>
      <c r="F24" s="62"/>
      <c r="G24" s="50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3.5" customHeight="1">
      <c r="A25" s="38"/>
      <c r="B25" s="38"/>
      <c r="C25" s="38"/>
      <c r="D25" s="38"/>
      <c r="E25" s="33"/>
      <c r="F25" s="33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3.5" customHeight="1">
      <c r="A26" s="38"/>
      <c r="B26" s="38"/>
      <c r="C26" s="38"/>
      <c r="D26" s="38"/>
      <c r="E26" s="33"/>
      <c r="F26" s="33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3.5" customHeight="1">
      <c r="A27" s="38"/>
      <c r="B27" s="48" t="s">
        <v>152</v>
      </c>
      <c r="C27" s="38"/>
      <c r="D27" s="38"/>
      <c r="E27" s="33"/>
      <c r="F27" s="33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3.5" customHeight="1">
      <c r="A28" s="38"/>
      <c r="B28" s="38" t="s">
        <v>153</v>
      </c>
      <c r="C28" s="44"/>
      <c r="D28" s="51"/>
      <c r="E28" s="53" t="str">
        <f>IF(D28,+D28/$D$48,"")</f>
        <v/>
      </c>
      <c r="F28" s="33"/>
      <c r="G28" s="55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3.5" customHeight="1">
      <c r="A29" s="38"/>
      <c r="B29" s="38" t="s">
        <v>154</v>
      </c>
      <c r="C29" s="44"/>
      <c r="D29" s="51"/>
      <c r="E29" s="53"/>
      <c r="F29" s="33"/>
      <c r="G29" s="55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3.5" customHeight="1">
      <c r="A30" s="38"/>
      <c r="B30" s="38" t="s">
        <v>155</v>
      </c>
      <c r="C30" s="44"/>
      <c r="D30" s="56"/>
      <c r="E30" s="53" t="str">
        <f t="shared" ref="E30:E32" si="4">IF(D30,+D30/$D$48,"")</f>
        <v/>
      </c>
      <c r="F30" s="33"/>
      <c r="G30" s="55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3.5" customHeight="1">
      <c r="A31" s="38"/>
      <c r="B31" s="38" t="s">
        <v>156</v>
      </c>
      <c r="C31" s="44"/>
      <c r="D31" s="56"/>
      <c r="E31" s="53" t="str">
        <f t="shared" si="4"/>
        <v/>
      </c>
      <c r="F31" s="33"/>
      <c r="G31" s="55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3.5" customHeight="1">
      <c r="A32" s="38"/>
      <c r="B32" s="38" t="s">
        <v>157</v>
      </c>
      <c r="C32" s="44"/>
      <c r="D32" s="56"/>
      <c r="E32" s="53" t="str">
        <f t="shared" si="4"/>
        <v/>
      </c>
      <c r="F32" s="33"/>
      <c r="G32" s="55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3.5" customHeight="1">
      <c r="A33" s="38"/>
      <c r="B33" s="38" t="s">
        <v>158</v>
      </c>
      <c r="C33" s="44"/>
      <c r="D33" s="56"/>
      <c r="E33" s="53"/>
      <c r="F33" s="33"/>
      <c r="G33" s="55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3.5" customHeight="1">
      <c r="A34" s="38"/>
      <c r="B34" s="38" t="s">
        <v>159</v>
      </c>
      <c r="C34" s="44"/>
      <c r="D34" s="56"/>
      <c r="E34" s="53"/>
      <c r="F34" s="33"/>
      <c r="G34" s="55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3.5" customHeight="1">
      <c r="A35" s="38"/>
      <c r="B35" s="38" t="s">
        <v>149</v>
      </c>
      <c r="C35" s="44"/>
      <c r="D35" s="58">
        <v>1000.0</v>
      </c>
      <c r="E35" s="53">
        <f t="shared" ref="E35:E36" si="5">IF(D35,+D35/$D$48,"")</f>
        <v>0.07518796992</v>
      </c>
      <c r="F35" s="33"/>
      <c r="G35" s="55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3.5" customHeight="1">
      <c r="A36" s="38"/>
      <c r="B36" s="38" t="s">
        <v>160</v>
      </c>
      <c r="C36" s="44"/>
      <c r="D36" s="56"/>
      <c r="E36" s="53" t="str">
        <f t="shared" si="5"/>
        <v/>
      </c>
      <c r="F36" s="33"/>
      <c r="G36" s="55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3.5" customHeight="1">
      <c r="A37" s="38"/>
      <c r="B37" s="38" t="s">
        <v>161</v>
      </c>
      <c r="C37" s="44"/>
      <c r="D37" s="56"/>
      <c r="E37" s="53"/>
      <c r="F37" s="33"/>
      <c r="G37" s="55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3.5" customHeight="1">
      <c r="A38" s="38"/>
      <c r="B38" s="38" t="s">
        <v>162</v>
      </c>
      <c r="C38" s="44"/>
      <c r="D38" s="56"/>
      <c r="E38" s="53" t="str">
        <f>IF(D38,+D38/$D$48,"")</f>
        <v/>
      </c>
      <c r="F38" s="33"/>
      <c r="G38" s="55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3.5" customHeight="1">
      <c r="A39" s="38"/>
      <c r="B39" s="38" t="s">
        <v>163</v>
      </c>
      <c r="C39" s="44"/>
      <c r="D39" s="56"/>
      <c r="E39" s="53"/>
      <c r="F39" s="33"/>
      <c r="G39" s="55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3.5" customHeight="1">
      <c r="A40" s="38"/>
      <c r="B40" s="38" t="s">
        <v>164</v>
      </c>
      <c r="C40" s="44"/>
      <c r="D40" s="56"/>
      <c r="E40" s="53"/>
      <c r="F40" s="33"/>
      <c r="G40" s="55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3.5" customHeight="1">
      <c r="A41" s="38"/>
      <c r="B41" s="38" t="s">
        <v>165</v>
      </c>
      <c r="C41" s="44"/>
      <c r="D41" s="58">
        <v>300.0</v>
      </c>
      <c r="E41" s="53"/>
      <c r="F41" s="33"/>
      <c r="G41" s="55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3.5" customHeight="1">
      <c r="A42" s="38"/>
      <c r="B42" s="38" t="s">
        <v>166</v>
      </c>
      <c r="C42" s="44"/>
      <c r="D42" s="56"/>
      <c r="E42" s="53"/>
      <c r="F42" s="33"/>
      <c r="G42" s="55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3.5" customHeight="1">
      <c r="A43" s="38"/>
      <c r="B43" s="38" t="s">
        <v>55</v>
      </c>
      <c r="C43" s="44"/>
      <c r="D43" s="56"/>
      <c r="E43" s="53" t="str">
        <f t="shared" ref="E43:E44" si="6">IF(D43,+D43/$D$48,"")</f>
        <v/>
      </c>
      <c r="F43" s="33"/>
      <c r="G43" s="55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3.5" customHeight="1">
      <c r="A44" s="38"/>
      <c r="B44" s="38" t="s">
        <v>167</v>
      </c>
      <c r="C44" s="44"/>
      <c r="D44" s="56"/>
      <c r="E44" s="53" t="str">
        <f t="shared" si="6"/>
        <v/>
      </c>
      <c r="F44" s="33"/>
      <c r="G44" s="55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3.5" customHeight="1">
      <c r="A45" s="38"/>
      <c r="B45" s="48" t="s">
        <v>151</v>
      </c>
      <c r="C45" s="38"/>
      <c r="D45" s="60">
        <f>IF(SUM(D28:D44),SUM(D28:D44),"")</f>
        <v>1300</v>
      </c>
      <c r="E45" s="61">
        <f>IF(AND(SUM($D$48),SUM(D45)),D45/$D$48,"")</f>
        <v>0.0977443609</v>
      </c>
      <c r="F45" s="33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3.5" customHeight="1">
      <c r="A46" s="38"/>
      <c r="B46" s="38"/>
      <c r="C46" s="44"/>
      <c r="D46" s="63"/>
      <c r="E46" s="33"/>
      <c r="F46" s="33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3.5" customHeight="1">
      <c r="A47" s="38"/>
      <c r="B47" s="38"/>
      <c r="C47" s="44"/>
      <c r="D47" s="63"/>
      <c r="E47" s="33"/>
      <c r="F47" s="33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3.5" customHeight="1">
      <c r="A48" s="38"/>
      <c r="B48" s="48" t="s">
        <v>168</v>
      </c>
      <c r="C48" s="38"/>
      <c r="D48" s="64">
        <f>IF(SUM(D10:D23,D28:D44),SUM(D10:D23,D28:D44),"")</f>
        <v>13300</v>
      </c>
      <c r="E48" s="65">
        <f>IF(SUM($D$48),SUM(E10:E23)+SUM(E28:E44),"")</f>
        <v>0.977443609</v>
      </c>
      <c r="F48" s="10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2.0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2.0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2.0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2.0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2.0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2.0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2.0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2.0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2.0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2.0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2.0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2.0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37.5" customHeight="1">
      <c r="A61" s="38"/>
      <c r="B61" s="66" t="s">
        <v>169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2.0" customHeight="1">
      <c r="A62" s="38"/>
      <c r="B62" s="38"/>
      <c r="C62" s="45"/>
      <c r="D62" s="45"/>
      <c r="E62" s="45" t="s">
        <v>131</v>
      </c>
      <c r="F62" s="46"/>
      <c r="G62" s="46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2.0" customHeight="1">
      <c r="A63" s="38"/>
      <c r="B63" s="38"/>
      <c r="C63" s="45" t="s">
        <v>170</v>
      </c>
      <c r="D63" s="45" t="s">
        <v>171</v>
      </c>
      <c r="E63" s="45" t="s">
        <v>134</v>
      </c>
      <c r="F63" s="46"/>
      <c r="G63" s="47" t="s">
        <v>172</v>
      </c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2.0" customHeight="1">
      <c r="A64" s="38"/>
      <c r="B64" s="67" t="s">
        <v>173</v>
      </c>
      <c r="C64" s="68"/>
      <c r="D64" s="68"/>
      <c r="E64" s="68"/>
      <c r="F64" s="69"/>
      <c r="G64" s="70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2.0" customHeight="1">
      <c r="A65" s="38"/>
      <c r="B65" s="38" t="s">
        <v>174</v>
      </c>
      <c r="C65" s="71">
        <f>25000*4</f>
        <v>100000</v>
      </c>
      <c r="D65" s="72"/>
      <c r="E65" s="38">
        <f t="shared" ref="E65:E69" si="7">C65/$D$48</f>
        <v>7.518796992</v>
      </c>
      <c r="F65" s="38"/>
      <c r="G65" s="73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2.0" customHeight="1">
      <c r="A66" s="38"/>
      <c r="B66" s="38" t="s">
        <v>175</v>
      </c>
      <c r="C66" s="71">
        <v>0.0</v>
      </c>
      <c r="D66" s="72"/>
      <c r="E66" s="38">
        <f t="shared" si="7"/>
        <v>0</v>
      </c>
      <c r="F66" s="38"/>
      <c r="G66" s="73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2.0" customHeight="1">
      <c r="A67" s="38"/>
      <c r="B67" s="38" t="s">
        <v>176</v>
      </c>
      <c r="C67" s="71">
        <v>0.0</v>
      </c>
      <c r="D67" s="72"/>
      <c r="E67" s="38">
        <f t="shared" si="7"/>
        <v>0</v>
      </c>
      <c r="F67" s="38"/>
      <c r="G67" s="73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2.0" customHeight="1">
      <c r="A68" s="38"/>
      <c r="B68" s="38" t="s">
        <v>177</v>
      </c>
      <c r="C68" s="71">
        <v>0.0</v>
      </c>
      <c r="D68" s="72"/>
      <c r="E68" s="38">
        <f t="shared" si="7"/>
        <v>0</v>
      </c>
      <c r="F68" s="38"/>
      <c r="G68" s="73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2.0" customHeight="1">
      <c r="A69" s="38"/>
      <c r="B69" s="38" t="s">
        <v>178</v>
      </c>
      <c r="C69" s="74"/>
      <c r="D69" s="72"/>
      <c r="E69" s="38">
        <f t="shared" si="7"/>
        <v>0</v>
      </c>
      <c r="F69" s="38"/>
      <c r="G69" s="73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2.0" customHeight="1">
      <c r="A70" s="38"/>
      <c r="B70" s="38"/>
      <c r="C70" s="38"/>
      <c r="D70" s="72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2.0" customHeight="1">
      <c r="A71" s="38"/>
      <c r="B71" s="67" t="s">
        <v>179</v>
      </c>
      <c r="C71" s="38"/>
      <c r="D71" s="72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2.0" customHeight="1">
      <c r="A72" s="38"/>
      <c r="B72" s="38" t="s">
        <v>180</v>
      </c>
      <c r="C72" s="74"/>
      <c r="D72" s="72"/>
      <c r="E72" s="38">
        <f t="shared" ref="E72:E75" si="8">C72/$D$48</f>
        <v>0</v>
      </c>
      <c r="F72" s="38"/>
      <c r="G72" s="73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2.0" customHeight="1">
      <c r="A73" s="38"/>
      <c r="B73" s="38" t="s">
        <v>181</v>
      </c>
      <c r="C73" s="74"/>
      <c r="D73" s="72"/>
      <c r="E73" s="38">
        <f t="shared" si="8"/>
        <v>0</v>
      </c>
      <c r="F73" s="38"/>
      <c r="G73" s="73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2.0" customHeight="1">
      <c r="A74" s="38"/>
      <c r="B74" s="38" t="s">
        <v>182</v>
      </c>
      <c r="C74" s="74"/>
      <c r="D74" s="72"/>
      <c r="E74" s="38">
        <f t="shared" si="8"/>
        <v>0</v>
      </c>
      <c r="F74" s="38"/>
      <c r="G74" s="73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2.0" customHeight="1">
      <c r="A75" s="38"/>
      <c r="B75" s="38" t="s">
        <v>183</v>
      </c>
      <c r="C75" s="74"/>
      <c r="D75" s="72"/>
      <c r="E75" s="38">
        <f t="shared" si="8"/>
        <v>0</v>
      </c>
      <c r="F75" s="38"/>
      <c r="G75" s="73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2.0" customHeight="1">
      <c r="A76" s="38"/>
      <c r="B76" s="38"/>
      <c r="C76" s="38"/>
      <c r="D76" s="72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2.0" customHeight="1">
      <c r="A77" s="38"/>
      <c r="B77" s="67" t="s">
        <v>184</v>
      </c>
      <c r="C77" s="38"/>
      <c r="D77" s="72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2.0" customHeight="1">
      <c r="A78" s="38"/>
      <c r="B78" s="38" t="s">
        <v>185</v>
      </c>
      <c r="C78" s="71">
        <v>0.0</v>
      </c>
      <c r="D78" s="72"/>
      <c r="E78" s="38">
        <f t="shared" ref="E78:E83" si="9">C78/$D$48</f>
        <v>0</v>
      </c>
      <c r="F78" s="38"/>
      <c r="G78" s="73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2.0" customHeight="1">
      <c r="A79" s="38"/>
      <c r="B79" s="38" t="s">
        <v>186</v>
      </c>
      <c r="C79" s="71">
        <v>0.0</v>
      </c>
      <c r="D79" s="72"/>
      <c r="E79" s="38">
        <f t="shared" si="9"/>
        <v>0</v>
      </c>
      <c r="F79" s="38"/>
      <c r="G79" s="73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2.0" customHeight="1">
      <c r="A80" s="38"/>
      <c r="B80" s="38" t="s">
        <v>187</v>
      </c>
      <c r="C80" s="71">
        <v>0.0</v>
      </c>
      <c r="D80" s="72"/>
      <c r="E80" s="38">
        <f t="shared" si="9"/>
        <v>0</v>
      </c>
      <c r="F80" s="38"/>
      <c r="G80" s="73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2.0" customHeight="1">
      <c r="A81" s="38"/>
      <c r="B81" s="38" t="s">
        <v>188</v>
      </c>
      <c r="C81" s="71">
        <v>0.0</v>
      </c>
      <c r="D81" s="72"/>
      <c r="E81" s="38">
        <f t="shared" si="9"/>
        <v>0</v>
      </c>
      <c r="F81" s="38"/>
      <c r="G81" s="73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2.0" customHeight="1">
      <c r="A82" s="38"/>
      <c r="B82" s="38" t="s">
        <v>189</v>
      </c>
      <c r="C82" s="71">
        <v>0.0</v>
      </c>
      <c r="D82" s="72"/>
      <c r="E82" s="38">
        <f t="shared" si="9"/>
        <v>0</v>
      </c>
      <c r="F82" s="38"/>
      <c r="G82" s="73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2.0" customHeight="1">
      <c r="A83" s="38"/>
      <c r="B83" s="38" t="s">
        <v>190</v>
      </c>
      <c r="C83" s="71">
        <v>0.0</v>
      </c>
      <c r="D83" s="72"/>
      <c r="E83" s="38">
        <f t="shared" si="9"/>
        <v>0</v>
      </c>
      <c r="F83" s="38"/>
      <c r="G83" s="73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2.0" customHeight="1">
      <c r="A84" s="38"/>
      <c r="B84" s="38"/>
      <c r="C84" s="38"/>
      <c r="D84" s="72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2.0" customHeight="1">
      <c r="A85" s="38"/>
      <c r="B85" s="67" t="s">
        <v>191</v>
      </c>
      <c r="C85" s="38"/>
      <c r="D85" s="72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2.0" customHeight="1">
      <c r="A86" s="38"/>
      <c r="B86" s="38" t="s">
        <v>192</v>
      </c>
      <c r="C86" s="71">
        <v>400000.0</v>
      </c>
      <c r="D86" s="72"/>
      <c r="E86" s="38">
        <f t="shared" ref="E86:E88" si="10">C86/$D$48</f>
        <v>30.07518797</v>
      </c>
      <c r="F86" s="38"/>
      <c r="G86" s="73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2.0" customHeight="1">
      <c r="A87" s="38"/>
      <c r="B87" s="38" t="s">
        <v>193</v>
      </c>
      <c r="C87" s="74"/>
      <c r="D87" s="72"/>
      <c r="E87" s="38">
        <f t="shared" si="10"/>
        <v>0</v>
      </c>
      <c r="F87" s="38"/>
      <c r="G87" s="73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2.0" customHeight="1">
      <c r="A88" s="38"/>
      <c r="B88" s="38" t="s">
        <v>194</v>
      </c>
      <c r="C88" s="74"/>
      <c r="D88" s="72"/>
      <c r="E88" s="38">
        <f t="shared" si="10"/>
        <v>0</v>
      </c>
      <c r="F88" s="38"/>
      <c r="G88" s="73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2.0" customHeight="1">
      <c r="A89" s="38"/>
      <c r="B89" s="38"/>
      <c r="C89" s="38"/>
      <c r="D89" s="72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2.0" customHeight="1">
      <c r="A90" s="38"/>
      <c r="B90" s="67" t="s">
        <v>195</v>
      </c>
      <c r="C90" s="38"/>
      <c r="D90" s="72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2.0" customHeight="1">
      <c r="A91" s="38"/>
      <c r="B91" s="38" t="s">
        <v>196</v>
      </c>
      <c r="C91" s="74"/>
      <c r="D91" s="72"/>
      <c r="E91" s="38">
        <f>C91/$D$48</f>
        <v>0</v>
      </c>
      <c r="F91" s="38"/>
      <c r="G91" s="73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2.0" customHeight="1">
      <c r="A92" s="38"/>
      <c r="B92" s="38"/>
      <c r="C92" s="38"/>
      <c r="D92" s="72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2.0" customHeight="1">
      <c r="A93" s="38"/>
      <c r="B93" s="67" t="s">
        <v>197</v>
      </c>
      <c r="C93" s="38"/>
      <c r="D93" s="72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2.0" customHeight="1">
      <c r="A94" s="38"/>
      <c r="B94" s="38" t="s">
        <v>198</v>
      </c>
      <c r="C94" s="74"/>
      <c r="D94" s="72"/>
      <c r="E94" s="38">
        <f t="shared" ref="E94:E96" si="11">C94/$D$48</f>
        <v>0</v>
      </c>
      <c r="F94" s="38"/>
      <c r="G94" s="73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2.0" customHeight="1">
      <c r="A95" s="38"/>
      <c r="B95" s="38" t="s">
        <v>199</v>
      </c>
      <c r="C95" s="74"/>
      <c r="D95" s="72"/>
      <c r="E95" s="38">
        <f t="shared" si="11"/>
        <v>0</v>
      </c>
      <c r="F95" s="38"/>
      <c r="G95" s="73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2.0" customHeight="1">
      <c r="A96" s="38"/>
      <c r="B96" s="38" t="s">
        <v>200</v>
      </c>
      <c r="C96" s="74"/>
      <c r="D96" s="72"/>
      <c r="E96" s="38">
        <f t="shared" si="11"/>
        <v>0</v>
      </c>
      <c r="F96" s="38"/>
      <c r="G96" s="73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2.0" customHeight="1">
      <c r="A97" s="38"/>
      <c r="B97" s="38"/>
      <c r="C97" s="38"/>
      <c r="D97" s="72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2.0" customHeight="1">
      <c r="A98" s="38"/>
      <c r="B98" s="48" t="s">
        <v>201</v>
      </c>
      <c r="C98" s="75"/>
      <c r="D98" s="38"/>
      <c r="E98" s="38">
        <f>C98/$D$48</f>
        <v>0</v>
      </c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2.0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2.0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2.0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2.0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2.0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2.0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2.0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2.0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2.0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2.0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2.0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2.0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2.0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2.0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2.0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2.0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2.0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2.0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2.0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2.0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2.0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2.0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2.0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2.0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2.0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2.0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2.0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2.0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2.0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2.0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2.0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2.0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2.0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2.0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2.0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2.0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2.0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2.0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2.0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2.0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2.0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2.0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2.0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2.0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2.0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2.0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2.0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2.0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2.0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2.0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2.0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2.0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2.0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2.0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2.0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2.0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2.0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2.0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2.0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2.0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2.0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2.0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2.0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2.0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2.0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2.0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2.0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2.0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2.0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2.0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2.0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2.0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2.0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2.0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2.0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2.0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2.0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2.0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2.0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2.0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2.0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2.0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2.0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2.0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2.0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2.0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2.0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2.0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2.0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2.0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2.0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2.0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2.0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2.0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2.0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2.0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2.0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2.0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2.0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2.0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2.0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2.0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2.0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2.0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2.0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2.0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2.0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2.0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2.0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2.0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2.0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2.0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2.0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2.0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2.0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2.0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2.0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2.0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2.0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2.0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2.0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2.0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2.0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2.0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2.0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2.0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2.0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2.0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2.0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2.0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2.0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2.0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2.0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2.0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2.0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2.0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2.0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2.0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2.0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2.0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2.0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2.0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2.0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2.0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2.0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2.0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2.0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2.0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2.0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2.0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2.0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2.0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2.0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2.0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2.0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2.0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2.0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2.0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2.0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2.0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2.0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2.0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2.0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2.0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2.0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2.0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2.0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2.0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2.0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2.0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2.0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2.0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2.0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2.0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2.0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2.0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2.0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2.0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2.0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2.0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2.0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2.0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2.0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2.0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2.0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2.0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2.0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2.0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2.0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2.0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2.0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2.0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2.0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2.0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2.0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2.0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2.0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2.0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2.0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2.0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2.0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2.0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2.0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2.0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2.0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2.0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2.0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2.0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2.0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2.0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2.0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2.0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2.0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2.0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2.0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2.0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2.0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2.0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2.0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2.0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2.0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2.0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2.0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2.0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2.0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2.0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2.0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2.0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2.0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2.0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2.0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2.0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2.0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2.0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2.0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2.0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2.0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2.0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2.0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2.0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2.0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2.0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2.0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2.0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2.0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2.0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2.0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2.0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2.0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2.0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2.0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2.0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2.0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2.0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2.0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2.0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2.0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2.0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2.0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2.0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2.0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2.0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2.0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2.0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2.0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2.0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2.0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2.0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2.0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2.0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2.0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2.0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2.0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2.0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2.0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2.0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2.0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2.0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2.0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2.0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2.0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2.0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2.0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2.0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2.0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2.0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2.0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2.0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2.0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2.0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2.0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2.0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2.0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2.0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2.0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2.0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2.0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2.0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2.0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2.0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2.0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2.0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2.0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2.0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2.0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2.0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2.0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2.0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2.0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2.0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2.0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2.0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2.0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2.0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2.0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2.0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2.0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2.0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2.0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2.0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2.0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2.0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2.0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2.0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2.0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2.0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2.0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2.0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2.0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2.0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2.0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2.0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2.0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2.0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2.0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2.0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2.0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2.0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2.0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2.0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2.0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2.0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2.0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2.0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2.0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2.0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2.0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2.0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2.0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2.0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2.0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2.0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2.0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2.0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2.0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2.0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2.0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2.0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2.0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2.0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2.0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2.0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2.0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2.0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2.0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2.0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2.0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2.0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2.0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2.0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2.0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2.0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2.0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2.0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2.0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2.0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2.0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2.0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2.0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2.0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2.0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2.0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2.0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2.0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2.0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2.0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2.0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2.0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2.0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2.0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2.0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2.0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2.0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2.0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2.0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2.0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2.0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2.0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2.0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2.0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2.0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2.0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2.0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2.0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2.0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2.0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2.0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2.0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2.0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2.0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2.0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2.0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2.0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2.0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2.0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2.0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2.0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2.0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2.0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2.0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2.0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2.0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2.0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2.0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2.0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2.0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2.0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2.0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2.0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2.0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2.0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2.0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2.0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2.0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2.0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2.0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2.0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2.0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2.0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2.0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2.0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2.0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2.0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2.0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2.0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2.0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2.0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2.0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2.0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2.0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2.0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2.0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2.0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2.0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2.0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2.0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2.0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2.0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2.0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2.0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2.0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2.0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2.0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2.0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2.0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2.0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2.0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2.0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2.0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2.0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2.0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2.0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2.0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2.0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2.0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2.0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2.0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2.0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2.0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2.0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2.0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2.0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2.0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2.0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2.0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2.0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2.0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2.0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2.0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2.0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2.0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2.0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2.0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2.0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2.0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2.0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2.0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2.0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2.0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2.0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2.0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2.0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2.0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2.0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2.0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2.0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2.0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2.0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2.0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2.0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2.0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2.0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2.0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2.0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2.0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2.0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2.0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2.0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2.0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2.0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2.0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2.0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2.0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2.0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2.0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2.0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2.0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2.0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2.0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2.0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2.0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2.0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2.0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2.0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2.0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2.0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2.0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2.0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2.0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2.0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2.0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2.0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2.0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2.0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2.0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2.0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2.0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2.0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2.0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2.0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2.0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2.0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2.0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2.0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2.0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2.0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2.0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2.0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2.0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2.0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2.0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2.0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2.0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2.0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2.0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2.0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2.0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2.0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2.0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2.0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2.0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2.0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2.0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2.0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2.0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2.0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2.0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2.0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2.0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2.0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2.0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2.0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2.0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2.0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2.0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2.0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2.0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2.0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2.0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2.0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2.0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2.0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2.0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2.0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2.0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2.0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2.0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2.0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2.0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2.0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2.0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2.0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2.0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2.0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2.0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2.0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2.0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2.0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2.0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2.0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2.0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2.0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2.0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2.0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2.0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2.0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2.0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2.0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2.0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2.0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2.0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2.0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2.0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2.0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2.0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2.0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2.0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2.0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2.0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2.0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2.0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2.0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2.0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2.0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2.0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2.0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2.0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2.0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2.0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2.0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2.0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2.0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2.0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2.0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2.0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2.0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2.0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2.0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2.0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2.0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2.0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2.0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2.0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2.0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2.0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2.0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2.0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2.0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2.0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2.0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2.0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2.0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2.0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2.0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2.0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2.0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2.0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2.0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2.0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2.0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2.0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2.0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2.0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2.0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2.0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2.0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2.0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2.0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2.0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2.0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2.0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2.0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2.0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2.0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2.0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2.0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2.0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2.0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2.0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2.0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2.0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2.0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2.0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2.0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2.0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2.0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2.0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2.0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2.0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2.0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2.0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2.0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2.0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2.0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2.0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2.0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2.0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2.0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2.0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2.0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2.0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2.0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2.0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2.0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2.0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2.0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2.0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2.0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2.0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2.0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2.0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2.0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2.0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2.0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2.0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2.0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2.0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2.0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2.0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2.0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2.0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2.0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2.0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2.0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2.0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2.0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2.0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2.0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2.0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2.0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2.0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2.0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2.0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2.0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2.0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2.0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2.0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2.0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2.0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2.0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2.0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2.0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2.0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2.0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2.0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2.0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2.0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2.0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2.0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2.0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2.0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2.0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2.0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2.0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2.0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2.0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2.0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2.0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2.0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2.0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2.0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2.0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2.0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2.0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2.0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2.0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2.0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2.0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2.0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2.0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2.0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2.0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2.0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2.0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2.0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2.0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2.0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2.0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2.0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2.0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2.0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2.0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2.0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2.0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2.0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2.0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2.0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2.0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2.0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2.0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2.0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2.0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2.0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2.0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2.0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2.0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2.0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2.0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2.0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2.0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2.0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2.0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2.0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2.0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2.0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2.0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2.0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2.0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2.0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2.0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2.0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2.0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2.0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2.0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2.0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2.0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2.0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2.0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2.0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2.0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2.0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2.0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2.0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2.0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2.0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2.0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2.0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2.0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2.0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2.0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2.0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2.0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2.0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2.0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2.0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2.0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2.0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2.0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2.0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2.0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2.0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2.0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2.0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2.0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2.0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2.0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2.0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2.0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2.0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2.0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2.0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2.0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2.0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2.0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2.0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2.0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2.0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2.0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2.0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2.0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2.0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2.0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2.0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2.0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2.0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2.0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2.0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2.0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2.0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2.0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2.0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2.0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2.0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2.0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2.0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2.0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2.0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2.0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2.0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2.0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2.0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2.0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2.0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2.0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2.0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2.0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2.0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2.0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2.0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2.0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2.0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2.0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">
    <mergeCell ref="B2:G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71"/>
    <col customWidth="1" min="3" max="3" width="5.71"/>
    <col customWidth="1" min="4" max="4" width="20.71"/>
    <col customWidth="1" min="5" max="5" width="5.71"/>
    <col customWidth="1" min="6" max="6" width="20.71"/>
    <col customWidth="1" min="7" max="7" width="5.71"/>
    <col customWidth="1" min="8" max="8" width="20.71"/>
    <col customWidth="1" min="9" max="9" width="5.71"/>
    <col customWidth="1" min="10" max="10" width="20.71"/>
    <col customWidth="1" min="11" max="15" width="8.86"/>
    <col customWidth="1" min="16" max="26" width="10.0"/>
  </cols>
  <sheetData>
    <row r="1" ht="12.0" customHeight="1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ht="12.0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ht="22.5" customHeight="1">
      <c r="A3" s="77" t="s">
        <v>202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ht="12.0" customHeight="1">
      <c r="A4" s="78" t="s">
        <v>203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</row>
    <row r="5" ht="12.0" customHeigh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</row>
    <row r="6" ht="24.0" customHeight="1">
      <c r="A6" s="79" t="s">
        <v>204</v>
      </c>
      <c r="B6" s="80" t="s">
        <v>205</v>
      </c>
      <c r="C6" s="76"/>
      <c r="D6" s="80" t="s">
        <v>206</v>
      </c>
      <c r="E6" s="76"/>
      <c r="F6" s="80" t="s">
        <v>207</v>
      </c>
      <c r="G6" s="76"/>
      <c r="H6" s="80" t="s">
        <v>208</v>
      </c>
      <c r="I6" s="76"/>
      <c r="J6" s="80" t="s">
        <v>209</v>
      </c>
      <c r="K6" s="76"/>
      <c r="L6" s="76"/>
      <c r="M6" s="76"/>
      <c r="N6" s="76"/>
      <c r="O6" s="76"/>
    </row>
    <row r="7" ht="12.0" customHeigh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</row>
    <row r="8" ht="24.75" customHeight="1">
      <c r="A8" s="81" t="s">
        <v>210</v>
      </c>
      <c r="B8" s="82" t="s">
        <v>211</v>
      </c>
      <c r="C8" s="82"/>
      <c r="D8" s="82" t="s">
        <v>212</v>
      </c>
      <c r="E8" s="82"/>
      <c r="F8" s="82" t="s">
        <v>213</v>
      </c>
      <c r="G8" s="82"/>
      <c r="H8" s="82" t="s">
        <v>214</v>
      </c>
      <c r="I8" s="82"/>
      <c r="J8" s="82" t="s">
        <v>215</v>
      </c>
      <c r="K8" s="82"/>
      <c r="L8" s="82"/>
      <c r="M8" s="82"/>
      <c r="N8" s="82"/>
      <c r="O8" s="82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ht="12.0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</row>
    <row r="10" ht="12.0" customHeigh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</row>
    <row r="11" ht="36.0" customHeight="1">
      <c r="A11" s="84" t="s">
        <v>216</v>
      </c>
      <c r="B11" s="82" t="s">
        <v>217</v>
      </c>
      <c r="C11" s="76"/>
      <c r="D11" s="82" t="s">
        <v>218</v>
      </c>
      <c r="E11" s="76"/>
      <c r="F11" s="82" t="s">
        <v>219</v>
      </c>
      <c r="G11" s="76"/>
      <c r="H11" s="82" t="s">
        <v>220</v>
      </c>
      <c r="I11" s="76"/>
      <c r="J11" s="82" t="s">
        <v>221</v>
      </c>
      <c r="K11" s="76"/>
      <c r="L11" s="76"/>
      <c r="M11" s="76"/>
      <c r="N11" s="76"/>
      <c r="O11" s="76"/>
    </row>
    <row r="12" ht="36.0" customHeight="1">
      <c r="A12" s="76"/>
      <c r="B12" s="82" t="s">
        <v>222</v>
      </c>
      <c r="C12" s="76"/>
      <c r="D12" s="82" t="s">
        <v>223</v>
      </c>
      <c r="E12" s="76"/>
      <c r="F12" s="76"/>
      <c r="G12" s="76"/>
      <c r="H12" s="82" t="s">
        <v>224</v>
      </c>
      <c r="I12" s="76"/>
      <c r="J12" s="76"/>
      <c r="K12" s="76"/>
      <c r="L12" s="76"/>
      <c r="M12" s="76"/>
      <c r="N12" s="76"/>
      <c r="O12" s="76"/>
    </row>
    <row r="13" ht="24.0" customHeight="1">
      <c r="A13" s="76"/>
      <c r="B13" s="82" t="s">
        <v>225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ht="12.0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ht="16.5" customHeight="1">
      <c r="A15" s="79" t="s">
        <v>226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</row>
    <row r="16" ht="12.0" customHeight="1">
      <c r="A16" s="76"/>
      <c r="B16" s="76" t="s">
        <v>227</v>
      </c>
      <c r="C16" s="76"/>
      <c r="D16" s="76" t="s">
        <v>228</v>
      </c>
      <c r="E16" s="76"/>
      <c r="F16" s="76" t="s">
        <v>228</v>
      </c>
      <c r="G16" s="76"/>
      <c r="H16" s="76" t="s">
        <v>229</v>
      </c>
      <c r="I16" s="76"/>
      <c r="J16" s="76" t="s">
        <v>230</v>
      </c>
      <c r="K16" s="76"/>
      <c r="L16" s="76"/>
      <c r="M16" s="76"/>
      <c r="N16" s="76"/>
      <c r="O16" s="76"/>
    </row>
    <row r="17" ht="12.0" customHeight="1">
      <c r="A17" s="76"/>
      <c r="B17" s="76" t="s">
        <v>231</v>
      </c>
      <c r="C17" s="76"/>
      <c r="D17" s="76" t="s">
        <v>142</v>
      </c>
      <c r="E17" s="76"/>
      <c r="F17" s="76" t="s">
        <v>232</v>
      </c>
      <c r="G17" s="76"/>
      <c r="H17" s="76" t="s">
        <v>233</v>
      </c>
      <c r="I17" s="76"/>
      <c r="J17" s="76" t="s">
        <v>234</v>
      </c>
      <c r="K17" s="76"/>
      <c r="L17" s="76"/>
      <c r="M17" s="76"/>
      <c r="N17" s="76"/>
      <c r="O17" s="76"/>
    </row>
    <row r="18" ht="12.0" customHeight="1">
      <c r="A18" s="76"/>
      <c r="B18" s="76" t="s">
        <v>142</v>
      </c>
      <c r="C18" s="76"/>
      <c r="D18" s="76" t="s">
        <v>162</v>
      </c>
      <c r="E18" s="76"/>
      <c r="F18" s="76" t="s">
        <v>162</v>
      </c>
      <c r="G18" s="76"/>
      <c r="H18" s="76" t="s">
        <v>235</v>
      </c>
      <c r="I18" s="76"/>
      <c r="J18" s="76"/>
      <c r="K18" s="76"/>
      <c r="L18" s="76"/>
      <c r="M18" s="76"/>
      <c r="N18" s="76"/>
      <c r="O18" s="76"/>
    </row>
    <row r="19" ht="12.0" customHeight="1">
      <c r="A19" s="76"/>
      <c r="B19" s="76" t="s">
        <v>236</v>
      </c>
      <c r="C19" s="76"/>
      <c r="D19" s="76" t="s">
        <v>237</v>
      </c>
      <c r="E19" s="76"/>
      <c r="F19" s="76" t="s">
        <v>238</v>
      </c>
      <c r="G19" s="76"/>
      <c r="H19" s="76" t="s">
        <v>239</v>
      </c>
      <c r="I19" s="76"/>
      <c r="J19" s="76"/>
      <c r="K19" s="76"/>
      <c r="L19" s="76"/>
      <c r="M19" s="76"/>
      <c r="N19" s="76"/>
      <c r="O19" s="76"/>
    </row>
    <row r="20" ht="12.0" customHeight="1">
      <c r="A20" s="76"/>
      <c r="B20" s="76" t="s">
        <v>162</v>
      </c>
      <c r="C20" s="76"/>
      <c r="D20" s="76"/>
      <c r="E20" s="76"/>
      <c r="F20" s="76" t="s">
        <v>240</v>
      </c>
      <c r="G20" s="76"/>
      <c r="H20" s="76"/>
      <c r="I20" s="76"/>
      <c r="J20" s="76"/>
      <c r="K20" s="76"/>
      <c r="L20" s="76"/>
      <c r="M20" s="76"/>
      <c r="N20" s="76"/>
      <c r="O20" s="76"/>
    </row>
    <row r="21" ht="12.0" customHeight="1">
      <c r="A21" s="76"/>
      <c r="B21" s="76" t="s">
        <v>241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ht="12.0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ht="16.5" customHeight="1">
      <c r="A23" s="79" t="s">
        <v>242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ht="16.5" customHeight="1">
      <c r="A24" s="79"/>
      <c r="B24" s="76" t="s">
        <v>243</v>
      </c>
      <c r="C24" s="76"/>
      <c r="D24" s="76" t="s">
        <v>244</v>
      </c>
      <c r="E24" s="76"/>
      <c r="F24" s="76" t="s">
        <v>245</v>
      </c>
      <c r="G24" s="76"/>
      <c r="H24" s="76" t="s">
        <v>246</v>
      </c>
      <c r="I24" s="76"/>
      <c r="J24" s="76" t="s">
        <v>247</v>
      </c>
      <c r="K24" s="76"/>
      <c r="L24" s="76"/>
      <c r="M24" s="76"/>
      <c r="N24" s="76"/>
      <c r="O24" s="76"/>
    </row>
    <row r="25" ht="16.5" customHeight="1">
      <c r="A25" s="79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ht="12.0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ht="12.0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</row>
    <row r="28" ht="12.0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ht="16.5" customHeight="1">
      <c r="A29" s="79" t="s">
        <v>248</v>
      </c>
      <c r="B29" s="80" t="s">
        <v>205</v>
      </c>
      <c r="C29" s="76"/>
      <c r="D29" s="80" t="s">
        <v>206</v>
      </c>
      <c r="E29" s="76"/>
      <c r="F29" s="80" t="s">
        <v>207</v>
      </c>
      <c r="G29" s="76"/>
      <c r="H29" s="80" t="s">
        <v>208</v>
      </c>
      <c r="I29" s="76"/>
      <c r="J29" s="80" t="s">
        <v>209</v>
      </c>
      <c r="K29" s="76"/>
      <c r="L29" s="76"/>
      <c r="M29" s="76"/>
      <c r="N29" s="76"/>
      <c r="O29" s="76"/>
    </row>
    <row r="30" ht="12.0" customHeight="1">
      <c r="A30" s="76" t="s">
        <v>249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ht="12.0" customHeight="1">
      <c r="A31" s="76" t="s">
        <v>250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ht="12.0" customHeight="1">
      <c r="A32" s="76" t="s">
        <v>251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ht="12.0" customHeight="1">
      <c r="A33" s="76" t="s">
        <v>252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</row>
    <row r="34" ht="12.0" customHeight="1">
      <c r="A34" s="76" t="s">
        <v>253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 ht="12.0" customHeight="1">
      <c r="A35" s="76" t="s">
        <v>254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</row>
    <row r="36" ht="12.0" customHeight="1">
      <c r="A36" s="76" t="s">
        <v>255</v>
      </c>
      <c r="B36" s="85">
        <v>40.0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</row>
    <row r="37" ht="12.0" customHeight="1">
      <c r="A37" s="76" t="s">
        <v>256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ht="12.0" customHeight="1">
      <c r="A38" s="76" t="s">
        <v>257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ht="12.0" customHeight="1">
      <c r="A39" s="76" t="s">
        <v>258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</row>
    <row r="40" ht="12.0" customHeight="1">
      <c r="A40" s="76" t="s">
        <v>259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</row>
    <row r="41" ht="12.0" customHeight="1">
      <c r="A41" s="76" t="s">
        <v>260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</row>
    <row r="42" ht="12.0" customHeight="1">
      <c r="A42" s="76" t="s">
        <v>261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</row>
    <row r="43" ht="12.0" customHeight="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</row>
    <row r="44" ht="12.0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</row>
    <row r="45" ht="16.5" customHeight="1">
      <c r="A45" s="79" t="s">
        <v>134</v>
      </c>
      <c r="B45" s="16">
        <f>SUM(B30:B44)</f>
        <v>40</v>
      </c>
      <c r="D45" s="16">
        <f>SUM(D30:D44)</f>
        <v>0</v>
      </c>
      <c r="F45" s="16">
        <f>SUM(F30:F44)</f>
        <v>0</v>
      </c>
      <c r="H45" s="16">
        <f>SUM(H30:H44)</f>
        <v>0</v>
      </c>
      <c r="J45" s="16">
        <f>SUM(J30:J44)</f>
        <v>0</v>
      </c>
    </row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8.43"/>
    <col customWidth="1" min="4" max="4" width="19.86"/>
    <col customWidth="1" min="5" max="5" width="15.86"/>
    <col customWidth="1" min="6" max="6" width="8.86"/>
    <col customWidth="1" min="7" max="7" width="16.43"/>
    <col customWidth="1" min="8" max="8" width="12.29"/>
    <col customWidth="1" min="9" max="9" width="16.14"/>
    <col customWidth="1" min="10" max="10" width="11.43"/>
    <col customWidth="1" min="11" max="17" width="8.86"/>
    <col customWidth="1" min="18" max="26" width="10.0"/>
  </cols>
  <sheetData>
    <row r="1" ht="15.0" customHeight="1">
      <c r="A1" s="86"/>
      <c r="B1" s="87" t="s">
        <v>262</v>
      </c>
      <c r="C1" s="88"/>
      <c r="D1" s="88"/>
      <c r="E1" s="88"/>
      <c r="F1" s="89"/>
      <c r="G1" s="88"/>
      <c r="H1" s="86"/>
      <c r="I1" s="86"/>
      <c r="J1" s="86"/>
      <c r="K1" s="86"/>
      <c r="L1" s="86"/>
    </row>
    <row r="2" ht="15.0" customHeight="1">
      <c r="A2" s="86"/>
      <c r="B2" s="90"/>
      <c r="C2" s="88"/>
      <c r="D2" s="88"/>
      <c r="E2" s="88"/>
      <c r="F2" s="89"/>
      <c r="G2" s="88"/>
      <c r="H2" s="86"/>
      <c r="I2" s="86"/>
      <c r="J2" s="86"/>
      <c r="K2" s="86"/>
      <c r="L2" s="86"/>
    </row>
    <row r="3" ht="15.0" customHeight="1">
      <c r="A3" s="86"/>
      <c r="B3" s="91" t="s">
        <v>263</v>
      </c>
      <c r="C3" s="92"/>
      <c r="D3" s="86"/>
      <c r="E3" s="93" t="s">
        <v>264</v>
      </c>
      <c r="F3" s="86"/>
      <c r="G3" s="86"/>
      <c r="H3" s="86"/>
      <c r="I3" s="86"/>
      <c r="J3" s="86"/>
      <c r="K3" s="86"/>
      <c r="L3" s="86"/>
      <c r="M3" s="23" t="s">
        <v>265</v>
      </c>
    </row>
    <row r="4" ht="12.0" customHeight="1">
      <c r="A4" s="86"/>
      <c r="B4" s="86"/>
      <c r="C4" s="86"/>
      <c r="D4" s="94"/>
      <c r="E4" s="93" t="s">
        <v>266</v>
      </c>
      <c r="F4" s="86"/>
      <c r="G4" s="86"/>
      <c r="H4" s="86"/>
      <c r="I4" s="86"/>
      <c r="J4" s="86"/>
      <c r="K4" s="86"/>
      <c r="L4" s="86"/>
      <c r="M4" s="23" t="s">
        <v>267</v>
      </c>
      <c r="N4" s="23" t="s">
        <v>268</v>
      </c>
      <c r="O4" s="23" t="s">
        <v>269</v>
      </c>
      <c r="P4" s="23" t="s">
        <v>270</v>
      </c>
      <c r="Q4" s="23" t="s">
        <v>271</v>
      </c>
    </row>
    <row r="5" ht="12.0" customHeight="1">
      <c r="A5" s="86"/>
      <c r="B5" s="86"/>
      <c r="C5" s="86"/>
      <c r="D5" s="94"/>
      <c r="E5" s="94"/>
      <c r="F5" s="86"/>
      <c r="G5" s="86"/>
      <c r="H5" s="86"/>
      <c r="I5" s="86"/>
      <c r="J5" s="86"/>
      <c r="K5" s="86"/>
      <c r="L5" s="86"/>
      <c r="M5" s="23">
        <v>0.0</v>
      </c>
      <c r="N5" s="95">
        <f t="shared" ref="N5:N15" si="1">M5*$E$8</f>
        <v>0</v>
      </c>
      <c r="O5" s="95">
        <f t="shared" ref="O5:O15" si="2">M5*$E$9</f>
        <v>0</v>
      </c>
      <c r="P5" s="95">
        <f t="shared" ref="P5:P15" si="3">$E$11</f>
        <v>2948</v>
      </c>
      <c r="Q5" s="95">
        <f t="shared" ref="Q5:Q15" si="4">P5+O5</f>
        <v>2948</v>
      </c>
    </row>
    <row r="6" ht="12.0" customHeight="1">
      <c r="A6" s="86"/>
      <c r="B6" s="96" t="s">
        <v>3</v>
      </c>
      <c r="C6" s="97"/>
      <c r="D6" s="97"/>
      <c r="E6" s="98"/>
      <c r="F6" s="86"/>
      <c r="G6" s="96" t="s">
        <v>272</v>
      </c>
      <c r="H6" s="97"/>
      <c r="I6" s="97"/>
      <c r="J6" s="98"/>
      <c r="K6" s="86"/>
      <c r="L6" s="86"/>
      <c r="M6" s="23">
        <v>100.0</v>
      </c>
      <c r="N6" s="95">
        <f t="shared" si="1"/>
        <v>5000</v>
      </c>
      <c r="O6" s="95">
        <f t="shared" si="2"/>
        <v>3220</v>
      </c>
      <c r="P6" s="95">
        <f t="shared" si="3"/>
        <v>2948</v>
      </c>
      <c r="Q6" s="95">
        <f t="shared" si="4"/>
        <v>6168</v>
      </c>
    </row>
    <row r="7" ht="12.0" customHeight="1">
      <c r="A7" s="86"/>
      <c r="B7" s="99" t="s">
        <v>273</v>
      </c>
      <c r="C7" s="86"/>
      <c r="D7" s="86"/>
      <c r="E7" s="100"/>
      <c r="F7" s="86"/>
      <c r="G7" s="99" t="s">
        <v>273</v>
      </c>
      <c r="H7" s="86"/>
      <c r="I7" s="86"/>
      <c r="J7" s="100"/>
      <c r="K7" s="86"/>
      <c r="L7" s="86"/>
      <c r="M7" s="23">
        <v>200.0</v>
      </c>
      <c r="N7" s="95">
        <f t="shared" si="1"/>
        <v>10000</v>
      </c>
      <c r="O7" s="95">
        <f t="shared" si="2"/>
        <v>6440</v>
      </c>
      <c r="P7" s="95">
        <f t="shared" si="3"/>
        <v>2948</v>
      </c>
      <c r="Q7" s="95">
        <f t="shared" si="4"/>
        <v>9388</v>
      </c>
    </row>
    <row r="8" ht="12.0" customHeight="1">
      <c r="A8" s="86"/>
      <c r="B8" s="101" t="s">
        <v>274</v>
      </c>
      <c r="C8" s="102"/>
      <c r="D8" s="102"/>
      <c r="E8" s="103">
        <f>Annual!B28/Annual!B9</f>
        <v>50</v>
      </c>
      <c r="F8" s="86"/>
      <c r="G8" s="101" t="s">
        <v>274</v>
      </c>
      <c r="H8" s="102"/>
      <c r="I8" s="102"/>
      <c r="J8" s="103">
        <f>E8</f>
        <v>50</v>
      </c>
      <c r="K8" s="86"/>
      <c r="L8" s="86"/>
      <c r="M8" s="23">
        <v>300.0</v>
      </c>
      <c r="N8" s="95">
        <f t="shared" si="1"/>
        <v>15000</v>
      </c>
      <c r="O8" s="95">
        <f t="shared" si="2"/>
        <v>9660</v>
      </c>
      <c r="P8" s="95">
        <f t="shared" si="3"/>
        <v>2948</v>
      </c>
      <c r="Q8" s="95">
        <f t="shared" si="4"/>
        <v>12608</v>
      </c>
    </row>
    <row r="9" ht="12.0" customHeight="1">
      <c r="A9" s="86"/>
      <c r="B9" s="101" t="s">
        <v>275</v>
      </c>
      <c r="C9" s="102"/>
      <c r="D9" s="102"/>
      <c r="E9" s="103">
        <f>SUM(Monthly!O26:O28)/Monthly!O5</f>
        <v>32.2</v>
      </c>
      <c r="F9" s="86"/>
      <c r="G9" s="101" t="s">
        <v>275</v>
      </c>
      <c r="H9" s="102"/>
      <c r="I9" s="102"/>
      <c r="J9" s="103">
        <f>+E9</f>
        <v>32.2</v>
      </c>
      <c r="K9" s="86"/>
      <c r="L9" s="86"/>
      <c r="M9" s="23">
        <v>400.0</v>
      </c>
      <c r="N9" s="95">
        <f t="shared" si="1"/>
        <v>20000</v>
      </c>
      <c r="O9" s="95">
        <f t="shared" si="2"/>
        <v>12880</v>
      </c>
      <c r="P9" s="95">
        <f t="shared" si="3"/>
        <v>2948</v>
      </c>
      <c r="Q9" s="95">
        <f t="shared" si="4"/>
        <v>15828</v>
      </c>
    </row>
    <row r="10" ht="12.0" customHeight="1">
      <c r="A10" s="86"/>
      <c r="B10" s="101" t="s">
        <v>273</v>
      </c>
      <c r="C10" s="102"/>
      <c r="D10" s="102"/>
      <c r="E10" s="104">
        <f>+E8-E9</f>
        <v>17.8</v>
      </c>
      <c r="F10" s="86"/>
      <c r="G10" s="101" t="s">
        <v>273</v>
      </c>
      <c r="H10" s="102"/>
      <c r="I10" s="102"/>
      <c r="J10" s="104">
        <f>+J8-J9</f>
        <v>17.8</v>
      </c>
      <c r="K10" s="86"/>
      <c r="L10" s="86"/>
      <c r="M10" s="23">
        <v>500.0</v>
      </c>
      <c r="N10" s="95">
        <f t="shared" si="1"/>
        <v>25000</v>
      </c>
      <c r="O10" s="95">
        <f t="shared" si="2"/>
        <v>16100</v>
      </c>
      <c r="P10" s="95">
        <f t="shared" si="3"/>
        <v>2948</v>
      </c>
      <c r="Q10" s="95">
        <f t="shared" si="4"/>
        <v>19048</v>
      </c>
    </row>
    <row r="11" ht="12.0" customHeight="1">
      <c r="A11" s="86"/>
      <c r="B11" s="105" t="s">
        <v>276</v>
      </c>
      <c r="C11" s="102"/>
      <c r="D11" s="102"/>
      <c r="E11" s="103">
        <f>Monthly!O29+Monthly!O33+Monthly!O34</f>
        <v>2948</v>
      </c>
      <c r="F11" s="86"/>
      <c r="G11" s="105" t="s">
        <v>276</v>
      </c>
      <c r="H11" s="102"/>
      <c r="I11" s="102"/>
      <c r="J11" s="103">
        <f>+E11</f>
        <v>2948</v>
      </c>
      <c r="K11" s="86"/>
      <c r="L11" s="86"/>
      <c r="M11" s="23">
        <v>600.0</v>
      </c>
      <c r="N11" s="95">
        <f t="shared" si="1"/>
        <v>30000</v>
      </c>
      <c r="O11" s="95">
        <f t="shared" si="2"/>
        <v>19320</v>
      </c>
      <c r="P11" s="95">
        <f t="shared" si="3"/>
        <v>2948</v>
      </c>
      <c r="Q11" s="95">
        <f t="shared" si="4"/>
        <v>22268</v>
      </c>
    </row>
    <row r="12" ht="12.0" customHeight="1">
      <c r="A12" s="86"/>
      <c r="B12" s="105" t="s">
        <v>277</v>
      </c>
      <c r="C12" s="102"/>
      <c r="D12" s="102"/>
      <c r="E12" s="106">
        <f>E11/E10</f>
        <v>165.6179775</v>
      </c>
      <c r="F12" s="86"/>
      <c r="G12" s="105" t="s">
        <v>277</v>
      </c>
      <c r="H12" s="102"/>
      <c r="I12" s="102"/>
      <c r="J12" s="106">
        <f>J11/J10</f>
        <v>165.6179775</v>
      </c>
      <c r="K12" s="86"/>
      <c r="L12" s="86"/>
      <c r="M12" s="23">
        <v>700.0</v>
      </c>
      <c r="N12" s="95">
        <f t="shared" si="1"/>
        <v>35000</v>
      </c>
      <c r="O12" s="95">
        <f t="shared" si="2"/>
        <v>22540</v>
      </c>
      <c r="P12" s="95">
        <f t="shared" si="3"/>
        <v>2948</v>
      </c>
      <c r="Q12" s="95">
        <f t="shared" si="4"/>
        <v>25488</v>
      </c>
    </row>
    <row r="13" ht="12.0" customHeight="1">
      <c r="A13" s="86"/>
      <c r="B13" s="107" t="s">
        <v>278</v>
      </c>
      <c r="C13" s="108"/>
      <c r="D13" s="108"/>
      <c r="E13" s="109">
        <v>0.25</v>
      </c>
      <c r="F13" s="86"/>
      <c r="G13" s="107" t="s">
        <v>279</v>
      </c>
      <c r="H13" s="108"/>
      <c r="I13" s="108"/>
      <c r="J13" s="109">
        <v>0.05</v>
      </c>
      <c r="K13" s="86"/>
      <c r="L13" s="86"/>
      <c r="M13" s="23">
        <v>800.0</v>
      </c>
      <c r="N13" s="95">
        <f t="shared" si="1"/>
        <v>40000</v>
      </c>
      <c r="O13" s="95">
        <f t="shared" si="2"/>
        <v>25760</v>
      </c>
      <c r="P13" s="95">
        <f t="shared" si="3"/>
        <v>2948</v>
      </c>
      <c r="Q13" s="95">
        <f t="shared" si="4"/>
        <v>28708</v>
      </c>
    </row>
    <row r="14" ht="12.0" customHeight="1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23">
        <v>900.0</v>
      </c>
      <c r="N14" s="95">
        <f t="shared" si="1"/>
        <v>45000</v>
      </c>
      <c r="O14" s="95">
        <f t="shared" si="2"/>
        <v>28980</v>
      </c>
      <c r="P14" s="95">
        <f t="shared" si="3"/>
        <v>2948</v>
      </c>
      <c r="Q14" s="95">
        <f t="shared" si="4"/>
        <v>31928</v>
      </c>
    </row>
    <row r="15" ht="12.0" customHeight="1">
      <c r="A15" s="86"/>
      <c r="B15" s="110" t="s">
        <v>280</v>
      </c>
      <c r="C15" s="111"/>
      <c r="D15" s="111"/>
      <c r="E15" s="112">
        <f>E13</f>
        <v>0.25</v>
      </c>
      <c r="F15" s="86"/>
      <c r="G15" s="110" t="s">
        <v>281</v>
      </c>
      <c r="H15" s="111"/>
      <c r="I15" s="111"/>
      <c r="J15" s="112">
        <f>J13</f>
        <v>0.05</v>
      </c>
      <c r="K15" s="86"/>
      <c r="L15" s="86"/>
      <c r="M15" s="23">
        <v>1000.0</v>
      </c>
      <c r="N15" s="95">
        <f t="shared" si="1"/>
        <v>50000</v>
      </c>
      <c r="O15" s="95">
        <f t="shared" si="2"/>
        <v>32200</v>
      </c>
      <c r="P15" s="95">
        <f t="shared" si="3"/>
        <v>2948</v>
      </c>
      <c r="Q15" s="95">
        <f t="shared" si="4"/>
        <v>35148</v>
      </c>
    </row>
    <row r="16" ht="12.0" customHeight="1">
      <c r="A16" s="86"/>
      <c r="B16" s="113"/>
      <c r="C16" s="86"/>
      <c r="D16" s="86"/>
      <c r="E16" s="100"/>
      <c r="F16" s="86"/>
      <c r="G16" s="113"/>
      <c r="H16" s="86"/>
      <c r="I16" s="86"/>
      <c r="J16" s="100"/>
      <c r="K16" s="86"/>
      <c r="L16" s="86"/>
    </row>
    <row r="17" ht="12.0" customHeight="1">
      <c r="A17" s="86"/>
      <c r="B17" s="114" t="s">
        <v>267</v>
      </c>
      <c r="C17" s="115" t="s">
        <v>282</v>
      </c>
      <c r="D17" s="115" t="s">
        <v>283</v>
      </c>
      <c r="E17" s="116" t="s">
        <v>284</v>
      </c>
      <c r="F17" s="117"/>
      <c r="G17" s="114" t="s">
        <v>285</v>
      </c>
      <c r="H17" s="115" t="s">
        <v>282</v>
      </c>
      <c r="I17" s="115" t="s">
        <v>267</v>
      </c>
      <c r="J17" s="116" t="s">
        <v>286</v>
      </c>
      <c r="K17" s="86"/>
      <c r="L17" s="86"/>
    </row>
    <row r="18" ht="12.0" customHeight="1">
      <c r="A18" s="86"/>
      <c r="B18" s="118">
        <f>E12</f>
        <v>165.6179775</v>
      </c>
      <c r="C18" s="86"/>
      <c r="D18" s="119">
        <f t="shared" ref="D18:D23" si="5">B18*$E$10-$E$11</f>
        <v>0</v>
      </c>
      <c r="E18" s="100"/>
      <c r="F18" s="86"/>
      <c r="G18" s="120">
        <f>$J$8</f>
        <v>50</v>
      </c>
      <c r="H18" s="86"/>
      <c r="I18" s="119">
        <f t="shared" ref="I18:I23" si="6">$J$11/(G18-$J$9)</f>
        <v>165.6179775</v>
      </c>
      <c r="J18" s="100"/>
      <c r="K18" s="86"/>
      <c r="L18" s="86"/>
    </row>
    <row r="19" ht="12.0" customHeight="1">
      <c r="A19" s="86"/>
      <c r="B19" s="118">
        <f t="shared" ref="B19:B23" si="7">B18*(1+C19)</f>
        <v>207.0224719</v>
      </c>
      <c r="C19" s="121">
        <f t="shared" ref="C19:C23" si="8">$E$15</f>
        <v>0.25</v>
      </c>
      <c r="D19" s="119">
        <f t="shared" si="5"/>
        <v>737</v>
      </c>
      <c r="E19" s="122"/>
      <c r="F19" s="86"/>
      <c r="G19" s="120">
        <f t="shared" ref="G19:G23" si="9">G18*(1+H19)</f>
        <v>52.5</v>
      </c>
      <c r="H19" s="121">
        <f t="shared" ref="H19:H23" si="10">$J$13</f>
        <v>0.05</v>
      </c>
      <c r="I19" s="119">
        <f t="shared" si="6"/>
        <v>145.2216749</v>
      </c>
      <c r="J19" s="122"/>
      <c r="K19" s="86"/>
      <c r="L19" s="86"/>
    </row>
    <row r="20" ht="12.0" customHeight="1">
      <c r="A20" s="86"/>
      <c r="B20" s="118">
        <f t="shared" si="7"/>
        <v>258.7780899</v>
      </c>
      <c r="C20" s="121">
        <f t="shared" si="8"/>
        <v>0.25</v>
      </c>
      <c r="D20" s="119">
        <f t="shared" si="5"/>
        <v>1658.25</v>
      </c>
      <c r="E20" s="122">
        <f t="shared" ref="E20:E23" si="11">(D20-D19)/D19</f>
        <v>1.25</v>
      </c>
      <c r="F20" s="86"/>
      <c r="G20" s="120">
        <f t="shared" si="9"/>
        <v>55.125</v>
      </c>
      <c r="H20" s="121">
        <f t="shared" si="10"/>
        <v>0.05</v>
      </c>
      <c r="I20" s="119">
        <f t="shared" si="6"/>
        <v>128.5932388</v>
      </c>
      <c r="J20" s="122">
        <f t="shared" ref="J20:J23" si="12">(I20-I19)/I19</f>
        <v>-0.1145038168</v>
      </c>
      <c r="K20" s="86"/>
      <c r="L20" s="86"/>
    </row>
    <row r="21" ht="12.0" customHeight="1">
      <c r="A21" s="86"/>
      <c r="B21" s="118">
        <f t="shared" si="7"/>
        <v>323.4726124</v>
      </c>
      <c r="C21" s="121">
        <f t="shared" si="8"/>
        <v>0.25</v>
      </c>
      <c r="D21" s="119">
        <f t="shared" si="5"/>
        <v>2809.8125</v>
      </c>
      <c r="E21" s="122">
        <f t="shared" si="11"/>
        <v>0.6944444444</v>
      </c>
      <c r="F21" s="86"/>
      <c r="G21" s="120">
        <f t="shared" si="9"/>
        <v>57.88125</v>
      </c>
      <c r="H21" s="121">
        <f t="shared" si="10"/>
        <v>0.05</v>
      </c>
      <c r="I21" s="119">
        <f t="shared" si="6"/>
        <v>114.7919202</v>
      </c>
      <c r="J21" s="122">
        <f t="shared" si="12"/>
        <v>-0.1073253833</v>
      </c>
      <c r="K21" s="86"/>
      <c r="L21" s="86"/>
    </row>
    <row r="22" ht="12.0" customHeight="1">
      <c r="A22" s="86"/>
      <c r="B22" s="118">
        <f t="shared" si="7"/>
        <v>404.3407654</v>
      </c>
      <c r="C22" s="121">
        <f t="shared" si="8"/>
        <v>0.25</v>
      </c>
      <c r="D22" s="119">
        <f t="shared" si="5"/>
        <v>4249.265625</v>
      </c>
      <c r="E22" s="122">
        <f t="shared" si="11"/>
        <v>0.512295082</v>
      </c>
      <c r="F22" s="86"/>
      <c r="G22" s="120">
        <f t="shared" si="9"/>
        <v>60.7753125</v>
      </c>
      <c r="H22" s="121">
        <f t="shared" si="10"/>
        <v>0.05</v>
      </c>
      <c r="I22" s="119">
        <f t="shared" si="6"/>
        <v>103.1659759</v>
      </c>
      <c r="J22" s="122">
        <f t="shared" si="12"/>
        <v>-0.10127842</v>
      </c>
      <c r="K22" s="86"/>
      <c r="L22" s="86"/>
    </row>
    <row r="23" ht="12.0" customHeight="1">
      <c r="A23" s="86"/>
      <c r="B23" s="118">
        <f t="shared" si="7"/>
        <v>505.4259568</v>
      </c>
      <c r="C23" s="121">
        <f t="shared" si="8"/>
        <v>0.25</v>
      </c>
      <c r="D23" s="119">
        <f t="shared" si="5"/>
        <v>6048.582031</v>
      </c>
      <c r="E23" s="122">
        <f t="shared" si="11"/>
        <v>0.4234417344</v>
      </c>
      <c r="F23" s="86"/>
      <c r="G23" s="120">
        <f t="shared" si="9"/>
        <v>63.81407813</v>
      </c>
      <c r="H23" s="121">
        <f t="shared" si="10"/>
        <v>0.05</v>
      </c>
      <c r="I23" s="119">
        <f t="shared" si="6"/>
        <v>93.24959559</v>
      </c>
      <c r="J23" s="122">
        <f t="shared" si="12"/>
        <v>-0.09612064641</v>
      </c>
      <c r="K23" s="86"/>
      <c r="L23" s="86"/>
    </row>
    <row r="24" ht="12.0" customHeight="1">
      <c r="A24" s="86"/>
      <c r="B24" s="118"/>
      <c r="C24" s="86"/>
      <c r="D24" s="119"/>
      <c r="E24" s="100"/>
      <c r="F24" s="86"/>
      <c r="G24" s="118"/>
      <c r="H24" s="86"/>
      <c r="I24" s="119"/>
      <c r="J24" s="100"/>
      <c r="K24" s="86"/>
      <c r="L24" s="86"/>
    </row>
    <row r="25" ht="12.0" customHeight="1">
      <c r="A25" s="86"/>
      <c r="B25" s="123" t="s">
        <v>267</v>
      </c>
      <c r="C25" s="115" t="s">
        <v>286</v>
      </c>
      <c r="D25" s="124" t="s">
        <v>287</v>
      </c>
      <c r="E25" s="116" t="s">
        <v>286</v>
      </c>
      <c r="F25" s="117"/>
      <c r="G25" s="123" t="s">
        <v>285</v>
      </c>
      <c r="H25" s="115" t="s">
        <v>286</v>
      </c>
      <c r="I25" s="124" t="s">
        <v>287</v>
      </c>
      <c r="J25" s="116" t="s">
        <v>286</v>
      </c>
      <c r="K25" s="86"/>
      <c r="L25" s="86"/>
    </row>
    <row r="26" ht="12.0" customHeight="1">
      <c r="A26" s="86"/>
      <c r="B26" s="118">
        <f>B18</f>
        <v>165.6179775</v>
      </c>
      <c r="C26" s="121">
        <f t="shared" ref="C26:C31" si="13">$C$19</f>
        <v>0.25</v>
      </c>
      <c r="D26" s="119">
        <f t="shared" ref="D26:D31" si="14">(B26*$E$10)-$E$11</f>
        <v>0</v>
      </c>
      <c r="E26" s="100"/>
      <c r="F26" s="86"/>
      <c r="G26" s="120">
        <f>G18</f>
        <v>50</v>
      </c>
      <c r="H26" s="121">
        <f t="shared" ref="H26:H31" si="15">$J$13</f>
        <v>0.05</v>
      </c>
      <c r="I26" s="119">
        <f t="shared" ref="I26:I31" si="16">((G26-$J$9)*$I$18)-$J$11</f>
        <v>0</v>
      </c>
      <c r="J26" s="100"/>
      <c r="K26" s="86"/>
      <c r="L26" s="86"/>
    </row>
    <row r="27" ht="12.0" customHeight="1">
      <c r="A27" s="86"/>
      <c r="B27" s="118">
        <f t="shared" ref="B27:B31" si="17">B26*(1-C27)</f>
        <v>124.2134831</v>
      </c>
      <c r="C27" s="121">
        <f t="shared" si="13"/>
        <v>0.25</v>
      </c>
      <c r="D27" s="119">
        <f t="shared" si="14"/>
        <v>-737</v>
      </c>
      <c r="E27" s="100"/>
      <c r="F27" s="86"/>
      <c r="G27" s="120">
        <f t="shared" ref="G27:G31" si="18">G26*(1-H27)</f>
        <v>47.5</v>
      </c>
      <c r="H27" s="121">
        <f t="shared" si="15"/>
        <v>0.05</v>
      </c>
      <c r="I27" s="119">
        <f t="shared" si="16"/>
        <v>-414.0449438</v>
      </c>
      <c r="J27" s="100"/>
      <c r="K27" s="86"/>
      <c r="L27" s="86"/>
    </row>
    <row r="28" ht="12.0" customHeight="1">
      <c r="A28" s="86"/>
      <c r="B28" s="118">
        <f t="shared" si="17"/>
        <v>93.16011236</v>
      </c>
      <c r="C28" s="121">
        <f t="shared" si="13"/>
        <v>0.25</v>
      </c>
      <c r="D28" s="119">
        <f t="shared" si="14"/>
        <v>-1289.75</v>
      </c>
      <c r="E28" s="122">
        <f t="shared" ref="E28:E31" si="19">(D28-D27)/D27</f>
        <v>0.75</v>
      </c>
      <c r="F28" s="86"/>
      <c r="G28" s="120">
        <f t="shared" si="18"/>
        <v>45.125</v>
      </c>
      <c r="H28" s="121">
        <f t="shared" si="15"/>
        <v>0.05</v>
      </c>
      <c r="I28" s="119">
        <f t="shared" si="16"/>
        <v>-807.3876404</v>
      </c>
      <c r="J28" s="122">
        <f t="shared" ref="J28:J31" si="20">(I28-I27)/I27</f>
        <v>0.95</v>
      </c>
      <c r="K28" s="86"/>
      <c r="L28" s="86"/>
    </row>
    <row r="29" ht="12.0" customHeight="1">
      <c r="A29" s="86"/>
      <c r="B29" s="118">
        <f t="shared" si="17"/>
        <v>69.87008427</v>
      </c>
      <c r="C29" s="121">
        <f t="shared" si="13"/>
        <v>0.25</v>
      </c>
      <c r="D29" s="119">
        <f t="shared" si="14"/>
        <v>-1704.3125</v>
      </c>
      <c r="E29" s="122">
        <f t="shared" si="19"/>
        <v>0.3214285714</v>
      </c>
      <c r="F29" s="86"/>
      <c r="G29" s="120">
        <f t="shared" si="18"/>
        <v>42.86875</v>
      </c>
      <c r="H29" s="121">
        <f t="shared" si="15"/>
        <v>0.05</v>
      </c>
      <c r="I29" s="119">
        <f t="shared" si="16"/>
        <v>-1181.063202</v>
      </c>
      <c r="J29" s="122">
        <f t="shared" si="20"/>
        <v>0.4628205128</v>
      </c>
      <c r="K29" s="86"/>
      <c r="L29" s="86"/>
    </row>
    <row r="30" ht="12.0" customHeight="1">
      <c r="A30" s="86"/>
      <c r="B30" s="118">
        <f t="shared" si="17"/>
        <v>52.4025632</v>
      </c>
      <c r="C30" s="121">
        <f t="shared" si="13"/>
        <v>0.25</v>
      </c>
      <c r="D30" s="119">
        <f t="shared" si="14"/>
        <v>-2015.234375</v>
      </c>
      <c r="E30" s="122">
        <f t="shared" si="19"/>
        <v>0.1824324324</v>
      </c>
      <c r="F30" s="86"/>
      <c r="G30" s="120">
        <f t="shared" si="18"/>
        <v>40.7253125</v>
      </c>
      <c r="H30" s="121">
        <f t="shared" si="15"/>
        <v>0.05</v>
      </c>
      <c r="I30" s="119">
        <f t="shared" si="16"/>
        <v>-1536.054986</v>
      </c>
      <c r="J30" s="122">
        <f t="shared" si="20"/>
        <v>0.3005696757</v>
      </c>
      <c r="K30" s="86"/>
      <c r="L30" s="86"/>
    </row>
    <row r="31" ht="12.0" customHeight="1">
      <c r="A31" s="86"/>
      <c r="B31" s="125">
        <f t="shared" si="17"/>
        <v>39.3019224</v>
      </c>
      <c r="C31" s="126">
        <f t="shared" si="13"/>
        <v>0.25</v>
      </c>
      <c r="D31" s="127">
        <f t="shared" si="14"/>
        <v>-2248.425781</v>
      </c>
      <c r="E31" s="128">
        <f t="shared" si="19"/>
        <v>0.1157142857</v>
      </c>
      <c r="F31" s="86"/>
      <c r="G31" s="129">
        <f t="shared" si="18"/>
        <v>38.68904688</v>
      </c>
      <c r="H31" s="126">
        <f t="shared" si="15"/>
        <v>0.05</v>
      </c>
      <c r="I31" s="127">
        <f t="shared" si="16"/>
        <v>-1873.29718</v>
      </c>
      <c r="J31" s="128">
        <f t="shared" si="20"/>
        <v>0.2195508609</v>
      </c>
      <c r="K31" s="86"/>
      <c r="L31" s="86"/>
    </row>
    <row r="32" ht="12.0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</row>
    <row r="33" ht="12.0" customHeight="1">
      <c r="A33" s="86"/>
      <c r="B33" s="86"/>
      <c r="C33" s="86"/>
      <c r="D33" s="86"/>
      <c r="E33" s="86"/>
      <c r="F33" s="86"/>
      <c r="G33" s="86"/>
      <c r="H33" s="130"/>
      <c r="I33" s="86"/>
      <c r="J33" s="86"/>
      <c r="K33" s="86"/>
      <c r="L33" s="86"/>
    </row>
    <row r="34" ht="12.0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ht="12.0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</row>
    <row r="36" ht="12.0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</row>
    <row r="37" ht="12.0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</row>
    <row r="38" ht="12.0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</row>
    <row r="39" ht="12.0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</row>
    <row r="40" ht="12.0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</row>
    <row r="41" ht="12.0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</row>
    <row r="42" ht="12.0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</row>
    <row r="43" ht="12.0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</row>
    <row r="44" ht="12.0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</row>
    <row r="45" ht="12.0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</row>
    <row r="46" ht="12.0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</row>
    <row r="47" ht="12.0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</row>
    <row r="48" ht="12.0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</row>
    <row r="49" ht="12.0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</row>
    <row r="50" ht="12.0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</row>
    <row r="51" ht="12.0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</row>
    <row r="52" ht="12.0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</row>
    <row r="53" ht="12.0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</row>
    <row r="54" ht="12.0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</row>
    <row r="55" ht="12.0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</row>
    <row r="56" ht="12.0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</row>
    <row r="57" ht="12.0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</row>
    <row r="58" ht="12.0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</row>
    <row r="59" ht="12.0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</row>
    <row r="60" ht="12.0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</row>
    <row r="61" ht="12.0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</row>
    <row r="62" ht="12.0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</row>
    <row r="63" ht="12.0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</row>
    <row r="64" ht="12.0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</row>
    <row r="65" ht="12.0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</row>
    <row r="66" ht="12.0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</row>
    <row r="67" ht="12.0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</row>
    <row r="68" ht="12.0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</row>
    <row r="69" ht="12.0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</row>
    <row r="70" ht="12.0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</row>
    <row r="71" ht="12.0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</row>
    <row r="72" ht="12.0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</row>
    <row r="73" ht="12.0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</row>
    <row r="74" ht="12.0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</row>
    <row r="75" ht="12.0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</row>
    <row r="76" ht="12.0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</row>
    <row r="77" ht="12.0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</row>
    <row r="78" ht="12.0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</row>
    <row r="79" ht="12.0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</row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9.86"/>
    <col customWidth="1" min="3" max="21" width="8.86"/>
    <col customWidth="1" min="22" max="26" width="10.0"/>
  </cols>
  <sheetData>
    <row r="1" ht="15.75" customHeight="1">
      <c r="A1" s="131"/>
      <c r="B1" s="90" t="s">
        <v>288</v>
      </c>
      <c r="C1" s="90"/>
      <c r="D1" s="90"/>
      <c r="E1" s="132"/>
      <c r="F1" s="132"/>
      <c r="G1" s="132"/>
      <c r="H1" s="132"/>
      <c r="I1" s="132"/>
      <c r="J1" s="132"/>
      <c r="K1" s="132"/>
      <c r="L1" s="132"/>
      <c r="M1" s="132"/>
      <c r="N1" s="131"/>
      <c r="O1" s="131"/>
      <c r="P1" s="131"/>
      <c r="Q1" s="131"/>
      <c r="R1" s="131"/>
      <c r="S1" s="131"/>
      <c r="T1" s="131"/>
      <c r="U1" s="131"/>
    </row>
    <row r="2" ht="15.75" customHeight="1">
      <c r="A2" s="131"/>
      <c r="B2" s="133" t="s">
        <v>3</v>
      </c>
      <c r="C2" s="134"/>
      <c r="D2" s="134"/>
      <c r="E2" s="135">
        <v>1.0</v>
      </c>
      <c r="F2" s="135">
        <v>2.0</v>
      </c>
      <c r="G2" s="135">
        <v>3.0</v>
      </c>
      <c r="H2" s="135">
        <v>4.0</v>
      </c>
      <c r="I2" s="135">
        <v>5.0</v>
      </c>
      <c r="J2" s="132"/>
      <c r="K2" s="132"/>
      <c r="L2" s="132"/>
      <c r="M2" s="132"/>
      <c r="N2" s="131"/>
      <c r="O2" s="131"/>
      <c r="P2" s="131"/>
      <c r="Q2" s="131"/>
      <c r="R2" s="131"/>
      <c r="S2" s="131"/>
      <c r="T2" s="131"/>
      <c r="U2" s="131"/>
    </row>
    <row r="3" ht="15.75" customHeight="1">
      <c r="A3" s="131"/>
      <c r="B3" s="136" t="s">
        <v>289</v>
      </c>
      <c r="C3" s="137"/>
      <c r="D3" s="137"/>
      <c r="E3" s="138"/>
      <c r="F3" s="138"/>
      <c r="G3" s="138"/>
      <c r="H3" s="138"/>
      <c r="I3" s="138"/>
      <c r="J3" s="132"/>
      <c r="K3" s="132"/>
      <c r="L3" s="132"/>
      <c r="M3" s="132"/>
      <c r="N3" s="131"/>
      <c r="O3" s="131"/>
      <c r="P3" s="131"/>
      <c r="Q3" s="131"/>
      <c r="R3" s="131"/>
      <c r="S3" s="131"/>
      <c r="T3" s="131"/>
      <c r="U3" s="131"/>
    </row>
    <row r="4" ht="15.75" customHeight="1">
      <c r="A4" s="131"/>
      <c r="B4" s="139" t="s">
        <v>290</v>
      </c>
      <c r="C4" s="137"/>
      <c r="D4" s="137"/>
      <c r="E4" s="140">
        <v>1.96</v>
      </c>
      <c r="F4" s="140">
        <v>2.0</v>
      </c>
      <c r="G4" s="140">
        <v>2.02</v>
      </c>
      <c r="H4" s="140">
        <v>2.04</v>
      </c>
      <c r="I4" s="140">
        <v>2.06</v>
      </c>
      <c r="J4" s="132"/>
      <c r="K4" s="132"/>
      <c r="L4" s="132"/>
      <c r="M4" s="132"/>
      <c r="N4" s="131"/>
      <c r="O4" s="131"/>
      <c r="P4" s="131"/>
      <c r="Q4" s="131"/>
      <c r="R4" s="131"/>
      <c r="S4" s="131"/>
      <c r="T4" s="131"/>
      <c r="U4" s="131"/>
    </row>
    <row r="5" ht="15.75" customHeight="1">
      <c r="A5" s="131"/>
      <c r="B5" s="139" t="s">
        <v>291</v>
      </c>
      <c r="C5" s="137"/>
      <c r="D5" s="137"/>
      <c r="E5" s="141">
        <v>600000.0</v>
      </c>
      <c r="F5" s="141">
        <v>720000.0</v>
      </c>
      <c r="G5" s="141">
        <v>810000.0</v>
      </c>
      <c r="H5" s="141">
        <v>840000.0</v>
      </c>
      <c r="I5" s="141">
        <v>850000.0</v>
      </c>
      <c r="J5" s="132"/>
      <c r="K5" s="132"/>
      <c r="L5" s="132"/>
      <c r="M5" s="132"/>
      <c r="N5" s="131"/>
      <c r="O5" s="131"/>
      <c r="P5" s="131"/>
      <c r="Q5" s="131"/>
      <c r="R5" s="131"/>
      <c r="S5" s="131"/>
      <c r="T5" s="131"/>
      <c r="U5" s="131"/>
    </row>
    <row r="6" ht="15.75" customHeight="1">
      <c r="A6" s="131"/>
      <c r="B6" s="139" t="s">
        <v>276</v>
      </c>
      <c r="C6" s="137"/>
      <c r="D6" s="137"/>
      <c r="E6" s="141">
        <v>120000.0</v>
      </c>
      <c r="F6" s="141">
        <v>120000.0</v>
      </c>
      <c r="G6" s="141">
        <v>120000.0</v>
      </c>
      <c r="H6" s="141">
        <v>120000.0</v>
      </c>
      <c r="I6" s="141">
        <v>120000.0</v>
      </c>
      <c r="J6" s="132"/>
      <c r="K6" s="132"/>
      <c r="L6" s="132"/>
      <c r="M6" s="132"/>
      <c r="N6" s="131"/>
      <c r="O6" s="131"/>
      <c r="P6" s="131"/>
      <c r="Q6" s="131"/>
      <c r="R6" s="131"/>
      <c r="S6" s="131"/>
      <c r="T6" s="131"/>
      <c r="U6" s="131"/>
    </row>
    <row r="7" ht="15.75" customHeight="1">
      <c r="A7" s="131"/>
      <c r="B7" s="142" t="s">
        <v>292</v>
      </c>
      <c r="C7" s="143"/>
      <c r="D7" s="143"/>
      <c r="E7" s="144">
        <v>1.46</v>
      </c>
      <c r="F7" s="144">
        <v>1.46</v>
      </c>
      <c r="G7" s="144">
        <v>1.4</v>
      </c>
      <c r="H7" s="144">
        <v>1.36</v>
      </c>
      <c r="I7" s="144">
        <v>1.36</v>
      </c>
      <c r="J7" s="132"/>
      <c r="K7" s="132"/>
      <c r="L7" s="132"/>
      <c r="M7" s="132"/>
      <c r="N7" s="131"/>
      <c r="O7" s="131"/>
      <c r="P7" s="131"/>
      <c r="Q7" s="131"/>
      <c r="R7" s="131"/>
      <c r="S7" s="131"/>
      <c r="T7" s="131"/>
      <c r="U7" s="131"/>
    </row>
    <row r="8" ht="15.75" customHeight="1">
      <c r="A8" s="131"/>
      <c r="B8" s="86"/>
      <c r="C8" s="145"/>
      <c r="D8" s="146"/>
      <c r="E8" s="146"/>
      <c r="F8" s="146"/>
      <c r="G8" s="147"/>
      <c r="H8" s="146"/>
      <c r="I8" s="146"/>
      <c r="J8" s="132"/>
      <c r="K8" s="132"/>
      <c r="L8" s="132"/>
      <c r="M8" s="132"/>
      <c r="N8" s="131"/>
      <c r="O8" s="131"/>
      <c r="P8" s="131"/>
      <c r="Q8" s="131"/>
      <c r="R8" s="131"/>
      <c r="S8" s="131"/>
      <c r="T8" s="131"/>
      <c r="U8" s="131"/>
    </row>
    <row r="9" ht="12.0" customHeight="1">
      <c r="A9" s="131"/>
      <c r="B9" s="131" t="s">
        <v>293</v>
      </c>
      <c r="C9" s="131"/>
      <c r="D9" s="131"/>
      <c r="E9" s="148">
        <f>E31</f>
        <v>-98000</v>
      </c>
      <c r="F9" s="148">
        <f t="shared" ref="F9:S9" si="1">E9+F31</f>
        <v>-120000</v>
      </c>
      <c r="G9" s="148">
        <f t="shared" si="1"/>
        <v>-136350</v>
      </c>
      <c r="H9" s="148">
        <f t="shared" si="1"/>
        <v>-142800</v>
      </c>
      <c r="I9" s="148">
        <f t="shared" si="1"/>
        <v>-145916.6667</v>
      </c>
      <c r="J9" s="148">
        <f t="shared" si="1"/>
        <v>-145916.6667</v>
      </c>
      <c r="K9" s="148">
        <f t="shared" si="1"/>
        <v>-145916.6667</v>
      </c>
      <c r="L9" s="148">
        <f t="shared" si="1"/>
        <v>-145916.6667</v>
      </c>
      <c r="M9" s="148">
        <f t="shared" si="1"/>
        <v>-145916.6667</v>
      </c>
      <c r="N9" s="148">
        <f t="shared" si="1"/>
        <v>-145916.6667</v>
      </c>
      <c r="O9" s="148">
        <f t="shared" si="1"/>
        <v>-145916.6667</v>
      </c>
      <c r="P9" s="148">
        <f t="shared" si="1"/>
        <v>-145916.6667</v>
      </c>
      <c r="Q9" s="148">
        <f t="shared" si="1"/>
        <v>-145916.6667</v>
      </c>
      <c r="R9" s="148">
        <f t="shared" si="1"/>
        <v>-145916.6667</v>
      </c>
      <c r="S9" s="148">
        <f t="shared" si="1"/>
        <v>-145916.6667</v>
      </c>
      <c r="T9" s="131"/>
      <c r="U9" s="131"/>
    </row>
    <row r="10" ht="12.0" customHeight="1">
      <c r="A10" s="131"/>
      <c r="B10" s="131"/>
      <c r="C10" s="131"/>
      <c r="D10" s="131"/>
      <c r="E10" s="137">
        <f>MIN(E12:L12)*E11</f>
        <v>0</v>
      </c>
      <c r="F10" s="137">
        <f t="shared" ref="F10:L10" si="2">MIN(F12:L12)*F11</f>
        <v>0</v>
      </c>
      <c r="G10" s="137">
        <f t="shared" si="2"/>
        <v>0</v>
      </c>
      <c r="H10" s="137">
        <f t="shared" si="2"/>
        <v>0</v>
      </c>
      <c r="I10" s="137">
        <f t="shared" si="2"/>
        <v>0</v>
      </c>
      <c r="J10" s="137">
        <f t="shared" si="2"/>
        <v>0</v>
      </c>
      <c r="K10" s="137">
        <f t="shared" si="2"/>
        <v>26261.40832</v>
      </c>
      <c r="L10" s="137">
        <f t="shared" si="2"/>
        <v>26261.40832</v>
      </c>
      <c r="M10" s="131"/>
      <c r="N10" s="131"/>
      <c r="O10" s="131"/>
      <c r="P10" s="131"/>
      <c r="Q10" s="131"/>
      <c r="R10" s="131"/>
      <c r="S10" s="131"/>
      <c r="T10" s="131"/>
      <c r="U10" s="131"/>
    </row>
    <row r="11" ht="12.0" customHeight="1">
      <c r="A11" s="131"/>
      <c r="B11" s="131"/>
      <c r="C11" s="131"/>
      <c r="D11" s="131"/>
      <c r="E11" s="131">
        <f>IF((E12&gt;0),1,0)*E12</f>
        <v>0</v>
      </c>
      <c r="F11" s="131">
        <f t="shared" ref="F11:L11" si="3">IF((F12&gt;0),1,0)</f>
        <v>0</v>
      </c>
      <c r="G11" s="131">
        <f t="shared" si="3"/>
        <v>0</v>
      </c>
      <c r="H11" s="131">
        <f t="shared" si="3"/>
        <v>0</v>
      </c>
      <c r="I11" s="131">
        <f t="shared" si="3"/>
        <v>0</v>
      </c>
      <c r="J11" s="131">
        <f t="shared" si="3"/>
        <v>0</v>
      </c>
      <c r="K11" s="131">
        <f t="shared" si="3"/>
        <v>1</v>
      </c>
      <c r="L11" s="131">
        <f t="shared" si="3"/>
        <v>1</v>
      </c>
      <c r="M11" s="131"/>
      <c r="N11" s="131"/>
      <c r="O11" s="131"/>
      <c r="P11" s="131"/>
      <c r="Q11" s="131"/>
      <c r="R11" s="131"/>
      <c r="S11" s="131"/>
      <c r="T11" s="131"/>
      <c r="U11" s="131"/>
    </row>
    <row r="12" ht="12.0" customHeight="1">
      <c r="A12" s="131"/>
      <c r="B12" s="131"/>
      <c r="C12" s="131"/>
      <c r="D12" s="131"/>
      <c r="E12" s="137">
        <f t="shared" ref="E12:L12" si="4">D37</f>
        <v>-685000</v>
      </c>
      <c r="F12" s="137">
        <f t="shared" si="4"/>
        <v>-634712.5</v>
      </c>
      <c r="G12" s="137">
        <f t="shared" si="4"/>
        <v>-496861.8056</v>
      </c>
      <c r="H12" s="137">
        <f t="shared" si="4"/>
        <v>-332779.0509</v>
      </c>
      <c r="I12" s="137">
        <f t="shared" si="4"/>
        <v>-167976.2924</v>
      </c>
      <c r="J12" s="137">
        <f t="shared" si="4"/>
        <v>-22605.78811</v>
      </c>
      <c r="K12" s="137">
        <f t="shared" si="4"/>
        <v>26261.40832</v>
      </c>
      <c r="L12" s="137">
        <f t="shared" si="4"/>
        <v>26261.40832</v>
      </c>
      <c r="M12" s="131"/>
      <c r="N12" s="131"/>
      <c r="O12" s="131"/>
      <c r="P12" s="131"/>
      <c r="Q12" s="131"/>
      <c r="R12" s="131"/>
      <c r="S12" s="131"/>
      <c r="T12" s="131"/>
      <c r="U12" s="131"/>
    </row>
    <row r="13" ht="12.0" customHeight="1">
      <c r="A13" s="131"/>
      <c r="B13" s="133" t="s">
        <v>3</v>
      </c>
      <c r="C13" s="149" t="s">
        <v>294</v>
      </c>
      <c r="D13" s="150">
        <v>0.0</v>
      </c>
      <c r="E13" s="151">
        <v>1.0</v>
      </c>
      <c r="F13" s="151">
        <f t="shared" ref="F13:S13" si="5">E13+1</f>
        <v>2</v>
      </c>
      <c r="G13" s="151">
        <f t="shared" si="5"/>
        <v>3</v>
      </c>
      <c r="H13" s="151">
        <f t="shared" si="5"/>
        <v>4</v>
      </c>
      <c r="I13" s="151">
        <f t="shared" si="5"/>
        <v>5</v>
      </c>
      <c r="J13" s="151">
        <f t="shared" si="5"/>
        <v>6</v>
      </c>
      <c r="K13" s="152">
        <f t="shared" si="5"/>
        <v>7</v>
      </c>
      <c r="L13" s="152">
        <f t="shared" si="5"/>
        <v>8</v>
      </c>
      <c r="M13" s="152">
        <f t="shared" si="5"/>
        <v>9</v>
      </c>
      <c r="N13" s="152">
        <f t="shared" si="5"/>
        <v>10</v>
      </c>
      <c r="O13" s="152">
        <f t="shared" si="5"/>
        <v>11</v>
      </c>
      <c r="P13" s="152">
        <f t="shared" si="5"/>
        <v>12</v>
      </c>
      <c r="Q13" s="152">
        <f t="shared" si="5"/>
        <v>13</v>
      </c>
      <c r="R13" s="152">
        <f t="shared" si="5"/>
        <v>14</v>
      </c>
      <c r="S13" s="151">
        <f t="shared" si="5"/>
        <v>15</v>
      </c>
      <c r="T13" s="131"/>
      <c r="U13" s="131"/>
    </row>
    <row r="14" ht="12.0" customHeight="1">
      <c r="A14" s="131"/>
      <c r="B14" s="153" t="s">
        <v>295</v>
      </c>
      <c r="C14" s="154">
        <f>SUM(D14:S14)</f>
        <v>-539083.3333</v>
      </c>
      <c r="D14" s="155">
        <v>-685000.0</v>
      </c>
      <c r="E14" s="156">
        <f t="shared" ref="E14:J14" si="6">IF(E19&lt;1,(E9*-1),0)</f>
        <v>0</v>
      </c>
      <c r="F14" s="156">
        <f t="shared" si="6"/>
        <v>0</v>
      </c>
      <c r="G14" s="156">
        <f t="shared" si="6"/>
        <v>0</v>
      </c>
      <c r="H14" s="156">
        <f t="shared" si="6"/>
        <v>0</v>
      </c>
      <c r="I14" s="156">
        <f t="shared" si="6"/>
        <v>0</v>
      </c>
      <c r="J14" s="156">
        <f t="shared" si="6"/>
        <v>145916.6667</v>
      </c>
      <c r="K14" s="157"/>
      <c r="L14" s="158"/>
      <c r="M14" s="158"/>
      <c r="N14" s="158"/>
      <c r="O14" s="158"/>
      <c r="P14" s="158"/>
      <c r="Q14" s="158"/>
      <c r="R14" s="158"/>
      <c r="S14" s="159"/>
      <c r="T14" s="131"/>
      <c r="U14" s="131"/>
    </row>
    <row r="15" ht="12.0" customHeight="1">
      <c r="A15" s="131"/>
      <c r="B15" s="160" t="s">
        <v>296</v>
      </c>
      <c r="C15" s="161"/>
      <c r="D15" s="162"/>
      <c r="E15" s="163">
        <v>30.0</v>
      </c>
      <c r="F15" s="163">
        <v>30.0</v>
      </c>
      <c r="G15" s="163">
        <v>30.0</v>
      </c>
      <c r="H15" s="163">
        <v>30.0</v>
      </c>
      <c r="I15" s="163">
        <v>30.0</v>
      </c>
      <c r="J15" s="163"/>
      <c r="K15" s="164"/>
      <c r="L15" s="165"/>
      <c r="M15" s="165"/>
      <c r="N15" s="165"/>
      <c r="O15" s="165"/>
      <c r="P15" s="165"/>
      <c r="Q15" s="165"/>
      <c r="R15" s="165"/>
      <c r="S15" s="166"/>
      <c r="T15" s="131"/>
      <c r="U15" s="131"/>
    </row>
    <row r="16" ht="12.0" customHeight="1">
      <c r="A16" s="131"/>
      <c r="B16" s="160" t="s">
        <v>297</v>
      </c>
      <c r="C16" s="161"/>
      <c r="D16" s="162"/>
      <c r="E16" s="163">
        <v>25.0</v>
      </c>
      <c r="F16" s="163">
        <v>25.0</v>
      </c>
      <c r="G16" s="163">
        <v>25.0</v>
      </c>
      <c r="H16" s="163">
        <v>25.0</v>
      </c>
      <c r="I16" s="163">
        <v>25.0</v>
      </c>
      <c r="J16" s="163"/>
      <c r="K16" s="164"/>
      <c r="L16" s="165"/>
      <c r="M16" s="165"/>
      <c r="N16" s="165"/>
      <c r="O16" s="165"/>
      <c r="P16" s="165"/>
      <c r="Q16" s="165"/>
      <c r="R16" s="165"/>
      <c r="S16" s="166"/>
      <c r="T16" s="131"/>
      <c r="U16" s="131"/>
    </row>
    <row r="17" ht="12.0" customHeight="1">
      <c r="A17" s="131"/>
      <c r="B17" s="160" t="s">
        <v>298</v>
      </c>
      <c r="C17" s="161"/>
      <c r="D17" s="162"/>
      <c r="E17" s="163">
        <v>25.0</v>
      </c>
      <c r="F17" s="163">
        <v>25.0</v>
      </c>
      <c r="G17" s="163">
        <v>25.0</v>
      </c>
      <c r="H17" s="163">
        <v>25.0</v>
      </c>
      <c r="I17" s="163">
        <v>25.0</v>
      </c>
      <c r="J17" s="163"/>
      <c r="K17" s="164"/>
      <c r="L17" s="165"/>
      <c r="M17" s="165"/>
      <c r="N17" s="165"/>
      <c r="O17" s="165"/>
      <c r="P17" s="165"/>
      <c r="Q17" s="165"/>
      <c r="R17" s="165"/>
      <c r="S17" s="166"/>
      <c r="T17" s="131"/>
      <c r="U17" s="131"/>
    </row>
    <row r="18" ht="12.0" customHeight="1">
      <c r="A18" s="131"/>
      <c r="B18" s="160" t="s">
        <v>299</v>
      </c>
      <c r="C18" s="161"/>
      <c r="D18" s="162"/>
      <c r="E18" s="163"/>
      <c r="F18" s="163"/>
      <c r="G18" s="163"/>
      <c r="H18" s="163"/>
      <c r="I18" s="163"/>
      <c r="J18" s="163"/>
      <c r="K18" s="164"/>
      <c r="L18" s="165"/>
      <c r="M18" s="165"/>
      <c r="N18" s="165"/>
      <c r="O18" s="165"/>
      <c r="P18" s="165"/>
      <c r="Q18" s="165"/>
      <c r="R18" s="165"/>
      <c r="S18" s="166"/>
      <c r="T18" s="131"/>
      <c r="U18" s="131"/>
    </row>
    <row r="19" ht="12.0" customHeight="1">
      <c r="A19" s="131"/>
      <c r="B19" s="160" t="s">
        <v>268</v>
      </c>
      <c r="C19" s="161"/>
      <c r="D19" s="162"/>
      <c r="E19" s="163">
        <f t="shared" ref="E19:I19" si="7">+E4*E5</f>
        <v>1176000</v>
      </c>
      <c r="F19" s="163">
        <f t="shared" si="7"/>
        <v>1440000</v>
      </c>
      <c r="G19" s="163">
        <f t="shared" si="7"/>
        <v>1636200</v>
      </c>
      <c r="H19" s="163">
        <f t="shared" si="7"/>
        <v>1713600</v>
      </c>
      <c r="I19" s="163">
        <f t="shared" si="7"/>
        <v>1751000</v>
      </c>
      <c r="J19" s="163"/>
      <c r="K19" s="164"/>
      <c r="L19" s="165"/>
      <c r="M19" s="165"/>
      <c r="N19" s="165"/>
      <c r="O19" s="165"/>
      <c r="P19" s="165"/>
      <c r="Q19" s="165"/>
      <c r="R19" s="165"/>
      <c r="S19" s="166"/>
      <c r="T19" s="131"/>
      <c r="U19" s="131"/>
    </row>
    <row r="20" ht="12.0" customHeight="1">
      <c r="A20" s="131"/>
      <c r="B20" s="160" t="s">
        <v>300</v>
      </c>
      <c r="C20" s="161"/>
      <c r="D20" s="162"/>
      <c r="E20" s="163">
        <f t="shared" ref="E20:I20" si="8">+E7*E5</f>
        <v>876000</v>
      </c>
      <c r="F20" s="163">
        <f t="shared" si="8"/>
        <v>1051200</v>
      </c>
      <c r="G20" s="163">
        <f t="shared" si="8"/>
        <v>1134000</v>
      </c>
      <c r="H20" s="163">
        <f t="shared" si="8"/>
        <v>1142400</v>
      </c>
      <c r="I20" s="163">
        <f t="shared" si="8"/>
        <v>1156000</v>
      </c>
      <c r="J20" s="163"/>
      <c r="K20" s="164"/>
      <c r="L20" s="165"/>
      <c r="M20" s="165"/>
      <c r="N20" s="165"/>
      <c r="O20" s="165"/>
      <c r="P20" s="165"/>
      <c r="Q20" s="165"/>
      <c r="R20" s="165"/>
      <c r="S20" s="166"/>
      <c r="T20" s="131"/>
      <c r="U20" s="131"/>
    </row>
    <row r="21" ht="12.0" customHeight="1">
      <c r="A21" s="131"/>
      <c r="B21" s="160" t="s">
        <v>301</v>
      </c>
      <c r="C21" s="161"/>
      <c r="D21" s="162"/>
      <c r="E21" s="163">
        <f t="shared" ref="E21:I21" si="9">+E6</f>
        <v>120000</v>
      </c>
      <c r="F21" s="163">
        <f t="shared" si="9"/>
        <v>120000</v>
      </c>
      <c r="G21" s="163">
        <f t="shared" si="9"/>
        <v>120000</v>
      </c>
      <c r="H21" s="163">
        <f t="shared" si="9"/>
        <v>120000</v>
      </c>
      <c r="I21" s="163">
        <f t="shared" si="9"/>
        <v>120000</v>
      </c>
      <c r="J21" s="163"/>
      <c r="K21" s="164"/>
      <c r="L21" s="165"/>
      <c r="M21" s="165"/>
      <c r="N21" s="165"/>
      <c r="O21" s="165"/>
      <c r="P21" s="165"/>
      <c r="Q21" s="165"/>
      <c r="R21" s="165"/>
      <c r="S21" s="166"/>
      <c r="T21" s="131"/>
      <c r="U21" s="131"/>
    </row>
    <row r="22" ht="12.0" customHeight="1">
      <c r="A22" s="131"/>
      <c r="B22" s="160" t="s">
        <v>302</v>
      </c>
      <c r="C22" s="167">
        <f>SUM(E22:S22)</f>
        <v>1757200</v>
      </c>
      <c r="D22" s="168"/>
      <c r="E22" s="169">
        <f t="shared" ref="E22:I22" si="10">+E19-E20-E21</f>
        <v>180000</v>
      </c>
      <c r="F22" s="169">
        <f t="shared" si="10"/>
        <v>268800</v>
      </c>
      <c r="G22" s="169">
        <f t="shared" si="10"/>
        <v>382200</v>
      </c>
      <c r="H22" s="169">
        <f t="shared" si="10"/>
        <v>451200</v>
      </c>
      <c r="I22" s="169">
        <f t="shared" si="10"/>
        <v>475000</v>
      </c>
      <c r="J22" s="169"/>
      <c r="K22" s="170"/>
      <c r="L22" s="169"/>
      <c r="M22" s="169"/>
      <c r="N22" s="169"/>
      <c r="O22" s="169"/>
      <c r="P22" s="169"/>
      <c r="Q22" s="169"/>
      <c r="R22" s="169"/>
      <c r="S22" s="171"/>
      <c r="T22" s="131"/>
      <c r="U22" s="131"/>
    </row>
    <row r="23" ht="12.0" customHeight="1">
      <c r="A23" s="131"/>
      <c r="B23" s="172" t="s">
        <v>80</v>
      </c>
      <c r="C23" s="161">
        <v>5.0</v>
      </c>
      <c r="D23" s="173"/>
      <c r="E23" s="165">
        <f t="shared" ref="E23:I23" si="11">+$C$14/$C$23*-1</f>
        <v>107816.6667</v>
      </c>
      <c r="F23" s="165">
        <f t="shared" si="11"/>
        <v>107816.6667</v>
      </c>
      <c r="G23" s="165">
        <f t="shared" si="11"/>
        <v>107816.6667</v>
      </c>
      <c r="H23" s="165">
        <f t="shared" si="11"/>
        <v>107816.6667</v>
      </c>
      <c r="I23" s="165">
        <f t="shared" si="11"/>
        <v>107816.6667</v>
      </c>
      <c r="J23" s="165"/>
      <c r="K23" s="165"/>
      <c r="L23" s="165"/>
      <c r="M23" s="165"/>
      <c r="N23" s="165"/>
      <c r="O23" s="165"/>
      <c r="P23" s="165"/>
      <c r="Q23" s="165"/>
      <c r="R23" s="165"/>
      <c r="S23" s="166"/>
      <c r="T23" s="131"/>
      <c r="U23" s="131"/>
    </row>
    <row r="24" ht="12.0" customHeight="1">
      <c r="A24" s="131"/>
      <c r="B24" s="172" t="s">
        <v>303</v>
      </c>
      <c r="C24" s="174">
        <v>0.3</v>
      </c>
      <c r="D24" s="175"/>
      <c r="E24" s="176">
        <f>+C24</f>
        <v>0.3</v>
      </c>
      <c r="F24" s="176">
        <f t="shared" ref="F24:S24" si="12">+E24</f>
        <v>0.3</v>
      </c>
      <c r="G24" s="176">
        <f t="shared" si="12"/>
        <v>0.3</v>
      </c>
      <c r="H24" s="176">
        <f t="shared" si="12"/>
        <v>0.3</v>
      </c>
      <c r="I24" s="176">
        <f t="shared" si="12"/>
        <v>0.3</v>
      </c>
      <c r="J24" s="176">
        <f t="shared" si="12"/>
        <v>0.3</v>
      </c>
      <c r="K24" s="176">
        <f t="shared" si="12"/>
        <v>0.3</v>
      </c>
      <c r="L24" s="176">
        <f t="shared" si="12"/>
        <v>0.3</v>
      </c>
      <c r="M24" s="176">
        <f t="shared" si="12"/>
        <v>0.3</v>
      </c>
      <c r="N24" s="176">
        <f t="shared" si="12"/>
        <v>0.3</v>
      </c>
      <c r="O24" s="176">
        <f t="shared" si="12"/>
        <v>0.3</v>
      </c>
      <c r="P24" s="176">
        <f t="shared" si="12"/>
        <v>0.3</v>
      </c>
      <c r="Q24" s="176">
        <f t="shared" si="12"/>
        <v>0.3</v>
      </c>
      <c r="R24" s="176">
        <f t="shared" si="12"/>
        <v>0.3</v>
      </c>
      <c r="S24" s="176">
        <f t="shared" si="12"/>
        <v>0.3</v>
      </c>
      <c r="T24" s="131"/>
      <c r="U24" s="131"/>
    </row>
    <row r="25" ht="12.0" customHeight="1">
      <c r="A25" s="131"/>
      <c r="B25" s="177" t="s">
        <v>304</v>
      </c>
      <c r="C25" s="178">
        <v>0.2</v>
      </c>
      <c r="D25" s="8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31"/>
      <c r="U25" s="131"/>
    </row>
    <row r="26" ht="12.0" customHeight="1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</row>
    <row r="27" ht="12.0" customHeight="1">
      <c r="A27" s="131"/>
      <c r="B27" s="179"/>
      <c r="C27" s="180" t="s">
        <v>294</v>
      </c>
      <c r="D27" s="181">
        <v>0.0</v>
      </c>
      <c r="E27" s="182">
        <v>1.0</v>
      </c>
      <c r="F27" s="182">
        <f t="shared" ref="F27:S27" si="13">E27+1</f>
        <v>2</v>
      </c>
      <c r="G27" s="182">
        <f t="shared" si="13"/>
        <v>3</v>
      </c>
      <c r="H27" s="182">
        <f t="shared" si="13"/>
        <v>4</v>
      </c>
      <c r="I27" s="182">
        <f t="shared" si="13"/>
        <v>5</v>
      </c>
      <c r="J27" s="182">
        <f t="shared" si="13"/>
        <v>6</v>
      </c>
      <c r="K27" s="183">
        <f t="shared" si="13"/>
        <v>7</v>
      </c>
      <c r="L27" s="183">
        <f t="shared" si="13"/>
        <v>8</v>
      </c>
      <c r="M27" s="183">
        <f t="shared" si="13"/>
        <v>9</v>
      </c>
      <c r="N27" s="183">
        <f t="shared" si="13"/>
        <v>10</v>
      </c>
      <c r="O27" s="183">
        <f t="shared" si="13"/>
        <v>11</v>
      </c>
      <c r="P27" s="183">
        <f t="shared" si="13"/>
        <v>12</v>
      </c>
      <c r="Q27" s="183">
        <f t="shared" si="13"/>
        <v>13</v>
      </c>
      <c r="R27" s="183">
        <f t="shared" si="13"/>
        <v>14</v>
      </c>
      <c r="S27" s="182">
        <f t="shared" si="13"/>
        <v>15</v>
      </c>
      <c r="T27" s="131"/>
      <c r="U27" s="131"/>
    </row>
    <row r="28" ht="12.0" customHeight="1">
      <c r="A28" s="184"/>
      <c r="B28" s="185" t="s">
        <v>303</v>
      </c>
      <c r="C28" s="186"/>
      <c r="D28" s="187"/>
      <c r="E28" s="188">
        <f t="shared" ref="E28:S28" si="14">+E24</f>
        <v>0.3</v>
      </c>
      <c r="F28" s="188">
        <f t="shared" si="14"/>
        <v>0.3</v>
      </c>
      <c r="G28" s="188">
        <f t="shared" si="14"/>
        <v>0.3</v>
      </c>
      <c r="H28" s="188">
        <f t="shared" si="14"/>
        <v>0.3</v>
      </c>
      <c r="I28" s="188">
        <f t="shared" si="14"/>
        <v>0.3</v>
      </c>
      <c r="J28" s="188">
        <f t="shared" si="14"/>
        <v>0.3</v>
      </c>
      <c r="K28" s="188">
        <f t="shared" si="14"/>
        <v>0.3</v>
      </c>
      <c r="L28" s="188">
        <f t="shared" si="14"/>
        <v>0.3</v>
      </c>
      <c r="M28" s="188">
        <f t="shared" si="14"/>
        <v>0.3</v>
      </c>
      <c r="N28" s="188">
        <f t="shared" si="14"/>
        <v>0.3</v>
      </c>
      <c r="O28" s="188">
        <f t="shared" si="14"/>
        <v>0.3</v>
      </c>
      <c r="P28" s="188">
        <f t="shared" si="14"/>
        <v>0.3</v>
      </c>
      <c r="Q28" s="188">
        <f t="shared" si="14"/>
        <v>0.3</v>
      </c>
      <c r="R28" s="188">
        <f t="shared" si="14"/>
        <v>0.3</v>
      </c>
      <c r="S28" s="188">
        <f t="shared" si="14"/>
        <v>0.3</v>
      </c>
      <c r="T28" s="184"/>
      <c r="U28" s="131"/>
    </row>
    <row r="29" ht="12.0" customHeight="1">
      <c r="A29" s="131"/>
      <c r="B29" s="189" t="s">
        <v>305</v>
      </c>
      <c r="C29" s="190">
        <f t="shared" ref="C29:C30" si="16">SUM(E29:S29)</f>
        <v>1230040</v>
      </c>
      <c r="D29" s="191"/>
      <c r="E29" s="192">
        <f t="shared" ref="E29:S29" si="15">E22*(1-E28)</f>
        <v>126000</v>
      </c>
      <c r="F29" s="192">
        <f t="shared" si="15"/>
        <v>188160</v>
      </c>
      <c r="G29" s="192">
        <f t="shared" si="15"/>
        <v>267540</v>
      </c>
      <c r="H29" s="192">
        <f t="shared" si="15"/>
        <v>315840</v>
      </c>
      <c r="I29" s="192">
        <f t="shared" si="15"/>
        <v>332500</v>
      </c>
      <c r="J29" s="192">
        <f t="shared" si="15"/>
        <v>0</v>
      </c>
      <c r="K29" s="193">
        <f t="shared" si="15"/>
        <v>0</v>
      </c>
      <c r="L29" s="192">
        <f t="shared" si="15"/>
        <v>0</v>
      </c>
      <c r="M29" s="192">
        <f t="shared" si="15"/>
        <v>0</v>
      </c>
      <c r="N29" s="192">
        <f t="shared" si="15"/>
        <v>0</v>
      </c>
      <c r="O29" s="192">
        <f t="shared" si="15"/>
        <v>0</v>
      </c>
      <c r="P29" s="192">
        <f t="shared" si="15"/>
        <v>0</v>
      </c>
      <c r="Q29" s="192">
        <f t="shared" si="15"/>
        <v>0</v>
      </c>
      <c r="R29" s="192">
        <f t="shared" si="15"/>
        <v>0</v>
      </c>
      <c r="S29" s="194">
        <f t="shared" si="15"/>
        <v>0</v>
      </c>
      <c r="T29" s="131"/>
      <c r="U29" s="131"/>
    </row>
    <row r="30" ht="12.0" customHeight="1">
      <c r="A30" s="131"/>
      <c r="B30" s="189" t="s">
        <v>306</v>
      </c>
      <c r="C30" s="195">
        <f t="shared" si="16"/>
        <v>161725</v>
      </c>
      <c r="D30" s="196"/>
      <c r="E30" s="197">
        <f t="shared" ref="E30:S30" si="17">E23*E28</f>
        <v>32345</v>
      </c>
      <c r="F30" s="197">
        <f t="shared" si="17"/>
        <v>32345</v>
      </c>
      <c r="G30" s="197">
        <f t="shared" si="17"/>
        <v>32345</v>
      </c>
      <c r="H30" s="197">
        <f t="shared" si="17"/>
        <v>32345</v>
      </c>
      <c r="I30" s="197">
        <f t="shared" si="17"/>
        <v>32345</v>
      </c>
      <c r="J30" s="197">
        <f t="shared" si="17"/>
        <v>0</v>
      </c>
      <c r="K30" s="197">
        <f t="shared" si="17"/>
        <v>0</v>
      </c>
      <c r="L30" s="197">
        <f t="shared" si="17"/>
        <v>0</v>
      </c>
      <c r="M30" s="197">
        <f t="shared" si="17"/>
        <v>0</v>
      </c>
      <c r="N30" s="197">
        <f t="shared" si="17"/>
        <v>0</v>
      </c>
      <c r="O30" s="197">
        <f t="shared" si="17"/>
        <v>0</v>
      </c>
      <c r="P30" s="197">
        <f t="shared" si="17"/>
        <v>0</v>
      </c>
      <c r="Q30" s="197">
        <f t="shared" si="17"/>
        <v>0</v>
      </c>
      <c r="R30" s="197">
        <f t="shared" si="17"/>
        <v>0</v>
      </c>
      <c r="S30" s="198">
        <f t="shared" si="17"/>
        <v>0</v>
      </c>
      <c r="T30" s="131"/>
      <c r="U30" s="131"/>
    </row>
    <row r="31" ht="12.0" customHeight="1">
      <c r="A31" s="131"/>
      <c r="B31" s="189" t="s">
        <v>307</v>
      </c>
      <c r="C31" s="199"/>
      <c r="D31" s="200"/>
      <c r="E31" s="201">
        <f>E19*((E15+E16-E17)/360)*-1</f>
        <v>-98000</v>
      </c>
      <c r="F31" s="201">
        <f t="shared" ref="F31:Q31" si="18">(F19-E19)*((F15+F16-F17)/360)*-1</f>
        <v>-22000</v>
      </c>
      <c r="G31" s="201">
        <f t="shared" si="18"/>
        <v>-16350</v>
      </c>
      <c r="H31" s="201">
        <f t="shared" si="18"/>
        <v>-6450</v>
      </c>
      <c r="I31" s="201">
        <f t="shared" si="18"/>
        <v>-3116.666667</v>
      </c>
      <c r="J31" s="201">
        <f t="shared" si="18"/>
        <v>0</v>
      </c>
      <c r="K31" s="201">
        <f t="shared" si="18"/>
        <v>0</v>
      </c>
      <c r="L31" s="201">
        <f t="shared" si="18"/>
        <v>0</v>
      </c>
      <c r="M31" s="201">
        <f t="shared" si="18"/>
        <v>0</v>
      </c>
      <c r="N31" s="201">
        <f t="shared" si="18"/>
        <v>0</v>
      </c>
      <c r="O31" s="201">
        <f t="shared" si="18"/>
        <v>0</v>
      </c>
      <c r="P31" s="201">
        <f t="shared" si="18"/>
        <v>0</v>
      </c>
      <c r="Q31" s="201">
        <f t="shared" si="18"/>
        <v>0</v>
      </c>
      <c r="R31" s="201"/>
      <c r="S31" s="202"/>
      <c r="T31" s="131"/>
      <c r="U31" s="131"/>
    </row>
    <row r="32" ht="12.0" customHeight="1">
      <c r="A32" s="131"/>
      <c r="B32" s="189" t="s">
        <v>308</v>
      </c>
      <c r="C32" s="203">
        <f>C14+C29+C30</f>
        <v>852681.6667</v>
      </c>
      <c r="D32" s="200">
        <f>D14</f>
        <v>-685000</v>
      </c>
      <c r="E32" s="201">
        <f t="shared" ref="E32:S32" si="19">E29+E30+E14+E31</f>
        <v>60345</v>
      </c>
      <c r="F32" s="201">
        <f t="shared" si="19"/>
        <v>198505</v>
      </c>
      <c r="G32" s="201">
        <f t="shared" si="19"/>
        <v>283535</v>
      </c>
      <c r="H32" s="201">
        <f t="shared" si="19"/>
        <v>341735</v>
      </c>
      <c r="I32" s="201">
        <f t="shared" si="19"/>
        <v>361728.3333</v>
      </c>
      <c r="J32" s="201">
        <f t="shared" si="19"/>
        <v>145916.6667</v>
      </c>
      <c r="K32" s="201">
        <f t="shared" si="19"/>
        <v>0</v>
      </c>
      <c r="L32" s="201">
        <f t="shared" si="19"/>
        <v>0</v>
      </c>
      <c r="M32" s="201">
        <f t="shared" si="19"/>
        <v>0</v>
      </c>
      <c r="N32" s="201">
        <f t="shared" si="19"/>
        <v>0</v>
      </c>
      <c r="O32" s="201">
        <f t="shared" si="19"/>
        <v>0</v>
      </c>
      <c r="P32" s="201">
        <f t="shared" si="19"/>
        <v>0</v>
      </c>
      <c r="Q32" s="201">
        <f t="shared" si="19"/>
        <v>0</v>
      </c>
      <c r="R32" s="201">
        <f t="shared" si="19"/>
        <v>0</v>
      </c>
      <c r="S32" s="201">
        <f t="shared" si="19"/>
        <v>0</v>
      </c>
      <c r="T32" s="131"/>
      <c r="U32" s="131"/>
    </row>
    <row r="33" ht="12.0" customHeight="1">
      <c r="A33" s="204"/>
      <c r="B33" s="189" t="str">
        <f>"PV Factor @"&amp;" "&amp;C25*100&amp;"%"</f>
        <v>PV Factor @ 20%</v>
      </c>
      <c r="C33" s="203"/>
      <c r="D33" s="205">
        <f t="shared" ref="D33:S33" si="20">-PV($C$25,D13, ,1,D13)</f>
        <v>1</v>
      </c>
      <c r="E33" s="206">
        <f t="shared" si="20"/>
        <v>0.8333333333</v>
      </c>
      <c r="F33" s="206">
        <f t="shared" si="20"/>
        <v>0.6944444444</v>
      </c>
      <c r="G33" s="206">
        <f t="shared" si="20"/>
        <v>0.5787037037</v>
      </c>
      <c r="H33" s="206">
        <f t="shared" si="20"/>
        <v>0.4822530864</v>
      </c>
      <c r="I33" s="206">
        <f t="shared" si="20"/>
        <v>0.401877572</v>
      </c>
      <c r="J33" s="206">
        <f t="shared" si="20"/>
        <v>0.3348979767</v>
      </c>
      <c r="K33" s="207">
        <f t="shared" si="20"/>
        <v>0.2790816472</v>
      </c>
      <c r="L33" s="206">
        <f t="shared" si="20"/>
        <v>0.2325680394</v>
      </c>
      <c r="M33" s="206">
        <f t="shared" si="20"/>
        <v>0.1938066995</v>
      </c>
      <c r="N33" s="206">
        <f t="shared" si="20"/>
        <v>0.1615055829</v>
      </c>
      <c r="O33" s="206">
        <f t="shared" si="20"/>
        <v>0.1345879857</v>
      </c>
      <c r="P33" s="206">
        <f t="shared" si="20"/>
        <v>0.1121566548</v>
      </c>
      <c r="Q33" s="206">
        <f t="shared" si="20"/>
        <v>0.09346387899</v>
      </c>
      <c r="R33" s="206">
        <f t="shared" si="20"/>
        <v>0.07788656582</v>
      </c>
      <c r="S33" s="208">
        <f t="shared" si="20"/>
        <v>0.06490547152</v>
      </c>
      <c r="T33" s="204"/>
      <c r="U33" s="131"/>
    </row>
    <row r="34" ht="12.0" customHeight="1">
      <c r="A34" s="131"/>
      <c r="B34" s="189" t="s">
        <v>309</v>
      </c>
      <c r="C34" s="186">
        <f>SUM(D34:S34)</f>
        <v>-636132.8036</v>
      </c>
      <c r="D34" s="209">
        <f t="shared" ref="D34:S34" si="21">D14*D33</f>
        <v>-685000</v>
      </c>
      <c r="E34" s="210">
        <f t="shared" si="21"/>
        <v>0</v>
      </c>
      <c r="F34" s="210">
        <f t="shared" si="21"/>
        <v>0</v>
      </c>
      <c r="G34" s="210">
        <f t="shared" si="21"/>
        <v>0</v>
      </c>
      <c r="H34" s="210">
        <f t="shared" si="21"/>
        <v>0</v>
      </c>
      <c r="I34" s="210">
        <f t="shared" si="21"/>
        <v>0</v>
      </c>
      <c r="J34" s="210">
        <f t="shared" si="21"/>
        <v>48867.19643</v>
      </c>
      <c r="K34" s="211">
        <f t="shared" si="21"/>
        <v>0</v>
      </c>
      <c r="L34" s="210">
        <f t="shared" si="21"/>
        <v>0</v>
      </c>
      <c r="M34" s="210">
        <f t="shared" si="21"/>
        <v>0</v>
      </c>
      <c r="N34" s="210">
        <f t="shared" si="21"/>
        <v>0</v>
      </c>
      <c r="O34" s="210">
        <f t="shared" si="21"/>
        <v>0</v>
      </c>
      <c r="P34" s="210">
        <f t="shared" si="21"/>
        <v>0</v>
      </c>
      <c r="Q34" s="210">
        <f t="shared" si="21"/>
        <v>0</v>
      </c>
      <c r="R34" s="210">
        <f t="shared" si="21"/>
        <v>0</v>
      </c>
      <c r="S34" s="212">
        <f t="shared" si="21"/>
        <v>0</v>
      </c>
      <c r="T34" s="131"/>
      <c r="U34" s="131"/>
    </row>
    <row r="35" ht="12.0" customHeight="1">
      <c r="A35" s="131"/>
      <c r="B35" s="189" t="s">
        <v>310</v>
      </c>
      <c r="C35" s="195">
        <f>SUM(E35:S35)</f>
        <v>773163.5127</v>
      </c>
      <c r="D35" s="196"/>
      <c r="E35" s="197">
        <f t="shared" ref="E35:S35" si="22">E33*(E29+E30)</f>
        <v>131954.1667</v>
      </c>
      <c r="F35" s="197">
        <f t="shared" si="22"/>
        <v>153128.4722</v>
      </c>
      <c r="G35" s="197">
        <f t="shared" si="22"/>
        <v>173544.5602</v>
      </c>
      <c r="H35" s="197">
        <f t="shared" si="22"/>
        <v>167913.2909</v>
      </c>
      <c r="I35" s="197">
        <f t="shared" si="22"/>
        <v>146623.0228</v>
      </c>
      <c r="J35" s="197">
        <f t="shared" si="22"/>
        <v>0</v>
      </c>
      <c r="K35" s="213">
        <f t="shared" si="22"/>
        <v>0</v>
      </c>
      <c r="L35" s="197">
        <f t="shared" si="22"/>
        <v>0</v>
      </c>
      <c r="M35" s="197">
        <f t="shared" si="22"/>
        <v>0</v>
      </c>
      <c r="N35" s="197">
        <f t="shared" si="22"/>
        <v>0</v>
      </c>
      <c r="O35" s="197">
        <f t="shared" si="22"/>
        <v>0</v>
      </c>
      <c r="P35" s="197">
        <f t="shared" si="22"/>
        <v>0</v>
      </c>
      <c r="Q35" s="197">
        <f t="shared" si="22"/>
        <v>0</v>
      </c>
      <c r="R35" s="197">
        <f t="shared" si="22"/>
        <v>0</v>
      </c>
      <c r="S35" s="198">
        <f t="shared" si="22"/>
        <v>0</v>
      </c>
      <c r="T35" s="131"/>
      <c r="U35" s="131"/>
    </row>
    <row r="36" ht="12.0" customHeight="1">
      <c r="A36" s="131"/>
      <c r="B36" s="189" t="s">
        <v>311</v>
      </c>
      <c r="C36" s="186"/>
      <c r="D36" s="209">
        <f t="shared" ref="D36:S36" si="23">D32*D33</f>
        <v>-685000</v>
      </c>
      <c r="E36" s="210">
        <f t="shared" si="23"/>
        <v>50287.5</v>
      </c>
      <c r="F36" s="210">
        <f t="shared" si="23"/>
        <v>137850.6944</v>
      </c>
      <c r="G36" s="210">
        <f t="shared" si="23"/>
        <v>164082.7546</v>
      </c>
      <c r="H36" s="210">
        <f t="shared" si="23"/>
        <v>164802.7585</v>
      </c>
      <c r="I36" s="210">
        <f t="shared" si="23"/>
        <v>145370.5043</v>
      </c>
      <c r="J36" s="210">
        <f t="shared" si="23"/>
        <v>48867.19643</v>
      </c>
      <c r="K36" s="211">
        <f t="shared" si="23"/>
        <v>0</v>
      </c>
      <c r="L36" s="210">
        <f t="shared" si="23"/>
        <v>0</v>
      </c>
      <c r="M36" s="210">
        <f t="shared" si="23"/>
        <v>0</v>
      </c>
      <c r="N36" s="210">
        <f t="shared" si="23"/>
        <v>0</v>
      </c>
      <c r="O36" s="210">
        <f t="shared" si="23"/>
        <v>0</v>
      </c>
      <c r="P36" s="210">
        <f t="shared" si="23"/>
        <v>0</v>
      </c>
      <c r="Q36" s="210">
        <f t="shared" si="23"/>
        <v>0</v>
      </c>
      <c r="R36" s="210">
        <f t="shared" si="23"/>
        <v>0</v>
      </c>
      <c r="S36" s="212">
        <f t="shared" si="23"/>
        <v>0</v>
      </c>
      <c r="T36" s="131"/>
      <c r="U36" s="131"/>
    </row>
    <row r="37" ht="12.0" customHeight="1">
      <c r="A37" s="131"/>
      <c r="B37" s="214" t="s">
        <v>312</v>
      </c>
      <c r="C37" s="215"/>
      <c r="D37" s="216">
        <f>D36</f>
        <v>-685000</v>
      </c>
      <c r="E37" s="216">
        <f t="shared" ref="E37:S37" si="24">D37+E36</f>
        <v>-634712.5</v>
      </c>
      <c r="F37" s="216">
        <f t="shared" si="24"/>
        <v>-496861.8056</v>
      </c>
      <c r="G37" s="216">
        <f t="shared" si="24"/>
        <v>-332779.0509</v>
      </c>
      <c r="H37" s="216">
        <f t="shared" si="24"/>
        <v>-167976.2924</v>
      </c>
      <c r="I37" s="216">
        <f t="shared" si="24"/>
        <v>-22605.78811</v>
      </c>
      <c r="J37" s="216">
        <f t="shared" si="24"/>
        <v>26261.40832</v>
      </c>
      <c r="K37" s="217">
        <f t="shared" si="24"/>
        <v>26261.40832</v>
      </c>
      <c r="L37" s="216">
        <f t="shared" si="24"/>
        <v>26261.40832</v>
      </c>
      <c r="M37" s="216">
        <f t="shared" si="24"/>
        <v>26261.40832</v>
      </c>
      <c r="N37" s="216">
        <f t="shared" si="24"/>
        <v>26261.40832</v>
      </c>
      <c r="O37" s="216">
        <f t="shared" si="24"/>
        <v>26261.40832</v>
      </c>
      <c r="P37" s="216">
        <f t="shared" si="24"/>
        <v>26261.40832</v>
      </c>
      <c r="Q37" s="216">
        <f t="shared" si="24"/>
        <v>26261.40832</v>
      </c>
      <c r="R37" s="216">
        <f t="shared" si="24"/>
        <v>26261.40832</v>
      </c>
      <c r="S37" s="218">
        <f t="shared" si="24"/>
        <v>26261.40832</v>
      </c>
      <c r="T37" s="131"/>
      <c r="U37" s="131"/>
    </row>
    <row r="38" ht="12.0" customHeight="1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</row>
    <row r="39" ht="12.0" customHeight="1">
      <c r="A39" s="131"/>
      <c r="B39" s="153" t="str">
        <f>"Net present value @"&amp;" "&amp;C25*100&amp;"%"</f>
        <v>Net present value @ 20%</v>
      </c>
      <c r="C39" s="219">
        <f>S37</f>
        <v>26261.40832</v>
      </c>
      <c r="D39" s="220"/>
      <c r="E39" s="221"/>
      <c r="F39" s="221"/>
      <c r="G39" s="221"/>
      <c r="H39" s="221"/>
      <c r="I39" s="221"/>
      <c r="J39" s="221"/>
      <c r="K39" s="222"/>
      <c r="L39" s="222"/>
      <c r="M39" s="222"/>
      <c r="N39" s="222"/>
      <c r="O39" s="222"/>
      <c r="P39" s="222"/>
      <c r="Q39" s="222"/>
      <c r="R39" s="222"/>
      <c r="S39" s="223"/>
      <c r="T39" s="131"/>
      <c r="U39" s="131"/>
    </row>
    <row r="40" ht="12.0" customHeight="1">
      <c r="A40" s="131"/>
      <c r="B40" s="189" t="str">
        <f>"Profitability index (BCR) @"&amp;" "&amp;C25*100&amp;"%"</f>
        <v>Profitability index (BCR) @ 20%</v>
      </c>
      <c r="C40" s="224">
        <f>-C35/C34</f>
        <v>1.21541211</v>
      </c>
      <c r="D40" s="225"/>
      <c r="E40" s="226"/>
      <c r="F40" s="226"/>
      <c r="G40" s="226"/>
      <c r="H40" s="226"/>
      <c r="I40" s="226"/>
      <c r="J40" s="226"/>
      <c r="K40" s="227"/>
      <c r="L40" s="227"/>
      <c r="M40" s="227"/>
      <c r="N40" s="227"/>
      <c r="O40" s="227"/>
      <c r="P40" s="227"/>
      <c r="Q40" s="227"/>
      <c r="R40" s="227"/>
      <c r="S40" s="228"/>
      <c r="T40" s="131"/>
      <c r="U40" s="131"/>
    </row>
    <row r="41" ht="12.0" customHeight="1">
      <c r="A41" s="131"/>
      <c r="B41" s="189" t="s">
        <v>313</v>
      </c>
      <c r="C41" s="229">
        <f>IRR(D32:S32,0.2)</f>
        <v>0.2129635849</v>
      </c>
      <c r="D41" s="225"/>
      <c r="E41" s="226"/>
      <c r="F41" s="226"/>
      <c r="G41" s="226"/>
      <c r="H41" s="226"/>
      <c r="I41" s="226"/>
      <c r="J41" s="226"/>
      <c r="K41" s="227"/>
      <c r="L41" s="227"/>
      <c r="M41" s="227"/>
      <c r="N41" s="227"/>
      <c r="O41" s="227"/>
      <c r="P41" s="227"/>
      <c r="Q41" s="227"/>
      <c r="R41" s="227"/>
      <c r="S41" s="228"/>
      <c r="T41" s="131"/>
      <c r="U41" s="131"/>
    </row>
    <row r="42" ht="21.0" customHeight="1">
      <c r="A42" s="131"/>
      <c r="B42" s="230" t="str">
        <f>"Present value payback @"&amp;" "&amp;C25*100&amp;"%"</f>
        <v>Present value payback @ 20%</v>
      </c>
      <c r="C42" s="219">
        <f>HLOOKUP(0,D10:S13,4)</f>
        <v>6</v>
      </c>
      <c r="D42" s="231" t="s">
        <v>314</v>
      </c>
      <c r="E42" s="232" t="str">
        <f t="shared" ref="E42:S42" si="25">IF((E37&gt;0)*(D37&lt;=0)=1,"*"," ")</f>
        <v> </v>
      </c>
      <c r="F42" s="232" t="str">
        <f t="shared" si="25"/>
        <v> </v>
      </c>
      <c r="G42" s="232" t="str">
        <f t="shared" si="25"/>
        <v> </v>
      </c>
      <c r="H42" s="232" t="str">
        <f t="shared" si="25"/>
        <v> </v>
      </c>
      <c r="I42" s="232" t="str">
        <f t="shared" si="25"/>
        <v> </v>
      </c>
      <c r="J42" s="233" t="str">
        <f t="shared" si="25"/>
        <v>*</v>
      </c>
      <c r="K42" s="232" t="str">
        <f t="shared" si="25"/>
        <v> </v>
      </c>
      <c r="L42" s="232" t="str">
        <f t="shared" si="25"/>
        <v> </v>
      </c>
      <c r="M42" s="232" t="str">
        <f t="shared" si="25"/>
        <v> </v>
      </c>
      <c r="N42" s="232" t="str">
        <f t="shared" si="25"/>
        <v> </v>
      </c>
      <c r="O42" s="232" t="str">
        <f t="shared" si="25"/>
        <v> </v>
      </c>
      <c r="P42" s="232" t="str">
        <f t="shared" si="25"/>
        <v> </v>
      </c>
      <c r="Q42" s="232" t="str">
        <f t="shared" si="25"/>
        <v> </v>
      </c>
      <c r="R42" s="232" t="str">
        <f t="shared" si="25"/>
        <v> </v>
      </c>
      <c r="S42" s="234" t="str">
        <f t="shared" si="25"/>
        <v> </v>
      </c>
      <c r="T42" s="131"/>
      <c r="U42" s="131"/>
    </row>
    <row r="43" ht="12.0" customHeight="1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</row>
    <row r="44" ht="12.0" customHeight="1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</row>
    <row r="45" ht="12.0" customHeight="1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</row>
    <row r="46" ht="12.0" customHeight="1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</row>
    <row r="47" ht="12.0" customHeight="1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</row>
    <row r="48" ht="12.0" customHeight="1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</row>
    <row r="49" ht="12.0" customHeight="1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</row>
    <row r="50" ht="12.0" customHeight="1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</row>
    <row r="51" ht="12.0" customHeight="1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</row>
    <row r="52" ht="12.0" customHeight="1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</row>
    <row r="53" ht="12.0" customHeight="1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</row>
    <row r="54" ht="12.0" customHeight="1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</row>
    <row r="55" ht="12.0" customHeight="1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</row>
    <row r="56" ht="12.0" customHeight="1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</row>
    <row r="57" ht="12.0" customHeight="1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</row>
    <row r="58" ht="12.0" customHeight="1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235"/>
      <c r="S58" s="131"/>
      <c r="T58" s="236"/>
      <c r="U58" s="131"/>
    </row>
    <row r="59" ht="12.0" customHeight="1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235"/>
      <c r="S59" s="131"/>
      <c r="T59" s="236"/>
      <c r="U59" s="131"/>
    </row>
    <row r="60" ht="12.0" customHeight="1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237"/>
      <c r="U60" s="131"/>
    </row>
    <row r="61" ht="12.0" customHeight="1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</row>
    <row r="62" ht="12.0" customHeight="1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</row>
    <row r="63" ht="12.0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</row>
    <row r="64" ht="12.0" customHeight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</row>
    <row r="65" ht="12.0" customHeight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</row>
    <row r="66" ht="12.0" customHeight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</row>
    <row r="67" ht="12.0" customHeight="1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</row>
    <row r="68" ht="12.0" customHeight="1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</row>
    <row r="69" ht="12.0" customHeight="1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</row>
    <row r="70" ht="12.0" customHeight="1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</row>
    <row r="71" ht="12.0" customHeight="1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</row>
    <row r="72" ht="12.0" customHeight="1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</row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15.0"/>
    <col customWidth="1" min="4" max="4" width="11.71"/>
    <col customWidth="1" min="5" max="6" width="14.0"/>
    <col customWidth="1" min="7" max="7" width="19.86"/>
    <col customWidth="1" min="8" max="10" width="11.71"/>
    <col customWidth="1" min="11" max="11" width="13.86"/>
    <col customWidth="1" min="12" max="12" width="5.43"/>
    <col customWidth="1" min="14" max="25" width="11.71"/>
    <col customWidth="1" min="26" max="26" width="10.0"/>
  </cols>
  <sheetData>
    <row r="1" ht="12.0" customHeight="1">
      <c r="A1" s="67" t="s">
        <v>315</v>
      </c>
      <c r="B1" s="238">
        <v>60.0</v>
      </c>
      <c r="C1" s="38" t="s">
        <v>316</v>
      </c>
      <c r="D1" s="38"/>
      <c r="E1" s="38"/>
      <c r="F1" s="239"/>
      <c r="G1" s="240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0" customHeight="1">
      <c r="A2" s="67" t="s">
        <v>317</v>
      </c>
      <c r="B2" s="241">
        <v>0.1</v>
      </c>
      <c r="C2" s="38"/>
      <c r="D2" s="38"/>
      <c r="E2" s="38"/>
      <c r="F2" s="239"/>
      <c r="G2" s="2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0" customHeight="1">
      <c r="A3" s="67" t="s">
        <v>318</v>
      </c>
      <c r="B3" s="242">
        <v>0.0</v>
      </c>
      <c r="C3" s="38"/>
      <c r="D3" s="38"/>
      <c r="E3" s="38"/>
      <c r="F3" s="239"/>
      <c r="G3" s="2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0" customHeight="1">
      <c r="A4" s="67" t="s">
        <v>319</v>
      </c>
      <c r="B4" s="243">
        <v>0.0</v>
      </c>
      <c r="C4" s="38"/>
      <c r="D4" s="38"/>
      <c r="E4" s="38"/>
      <c r="F4" s="239"/>
      <c r="G4" s="240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.0" customHeight="1">
      <c r="A5" s="38"/>
      <c r="B5" s="38"/>
      <c r="C5" s="38"/>
      <c r="D5" s="38"/>
      <c r="E5" s="38"/>
      <c r="F5" s="239"/>
      <c r="G5" s="240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0" customHeight="1">
      <c r="A6" s="67" t="s">
        <v>320</v>
      </c>
      <c r="B6" s="244">
        <f>B3*(((1-(1+B2/12))/(1-(1+B2/12)^B1))+B2/12)</f>
        <v>0</v>
      </c>
      <c r="C6" s="38"/>
      <c r="D6" s="38"/>
      <c r="E6" s="38"/>
      <c r="F6" s="239"/>
      <c r="G6" s="240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0" customHeight="1">
      <c r="A7" s="67" t="s">
        <v>321</v>
      </c>
      <c r="B7" s="244">
        <f>B6+B4</f>
        <v>0</v>
      </c>
      <c r="C7" s="38"/>
      <c r="D7" s="38"/>
      <c r="E7" s="38"/>
      <c r="F7" s="239"/>
      <c r="G7" s="245" t="s">
        <v>322</v>
      </c>
      <c r="H7" s="38"/>
      <c r="I7" s="38"/>
      <c r="J7" s="38"/>
      <c r="K7" s="38"/>
      <c r="L7" s="38"/>
      <c r="M7" s="38"/>
      <c r="N7" s="38" t="s">
        <v>323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0" customHeight="1">
      <c r="A8" s="67" t="s">
        <v>324</v>
      </c>
      <c r="B8" s="244">
        <f>SUM(B12:B997)</f>
        <v>0</v>
      </c>
      <c r="C8" s="38"/>
      <c r="D8" s="38"/>
      <c r="E8" s="38"/>
      <c r="F8" s="239"/>
      <c r="G8" s="240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0" customHeight="1">
      <c r="A9" s="38"/>
      <c r="B9" s="38"/>
      <c r="C9" s="38"/>
      <c r="D9" s="38"/>
      <c r="E9" s="38"/>
      <c r="F9" s="239"/>
      <c r="G9" s="240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0" customHeight="1">
      <c r="A10" s="67" t="s">
        <v>325</v>
      </c>
      <c r="B10" s="67" t="s">
        <v>326</v>
      </c>
      <c r="C10" s="67" t="s">
        <v>318</v>
      </c>
      <c r="D10" s="67" t="s">
        <v>327</v>
      </c>
      <c r="E10" s="67" t="s">
        <v>328</v>
      </c>
      <c r="F10" s="246" t="s">
        <v>329</v>
      </c>
      <c r="G10" s="245" t="s">
        <v>325</v>
      </c>
      <c r="H10" s="67" t="s">
        <v>326</v>
      </c>
      <c r="I10" s="67" t="s">
        <v>318</v>
      </c>
      <c r="J10" s="38" t="s">
        <v>71</v>
      </c>
      <c r="K10" s="38" t="s">
        <v>330</v>
      </c>
      <c r="L10" s="38"/>
      <c r="M10" s="38"/>
      <c r="N10" s="23" t="s">
        <v>4</v>
      </c>
      <c r="O10" s="23" t="s">
        <v>5</v>
      </c>
      <c r="P10" s="23" t="s">
        <v>6</v>
      </c>
      <c r="Q10" s="23" t="s">
        <v>7</v>
      </c>
      <c r="R10" s="23" t="s">
        <v>8</v>
      </c>
      <c r="S10" s="23" t="s">
        <v>9</v>
      </c>
      <c r="T10" s="23" t="s">
        <v>10</v>
      </c>
      <c r="U10" s="23" t="s">
        <v>11</v>
      </c>
      <c r="V10" s="23" t="s">
        <v>12</v>
      </c>
      <c r="W10" s="23" t="s">
        <v>13</v>
      </c>
      <c r="X10" s="23" t="s">
        <v>14</v>
      </c>
      <c r="Y10" s="23" t="s">
        <v>15</v>
      </c>
      <c r="Z10" s="38"/>
    </row>
    <row r="11" ht="12.0" customHeight="1">
      <c r="A11" s="244">
        <f>B3</f>
        <v>0</v>
      </c>
      <c r="B11" s="38"/>
      <c r="C11" s="38"/>
      <c r="D11" s="38"/>
      <c r="E11" s="38"/>
      <c r="F11" s="239"/>
      <c r="G11" s="240"/>
      <c r="H11" s="38"/>
      <c r="I11" s="38"/>
      <c r="J11" s="247">
        <f t="shared" ref="J11:J19" si="2">+G12</f>
        <v>0</v>
      </c>
      <c r="K11" s="247">
        <f t="shared" ref="K11:K19" si="3">+I12</f>
        <v>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0" customHeight="1">
      <c r="A12" s="244">
        <f t="shared" ref="A12:A371" si="4">A11-C12-E12</f>
        <v>0</v>
      </c>
      <c r="B12" s="244">
        <f t="shared" ref="B12:B371" si="5">A11*$B$2/12</f>
        <v>0</v>
      </c>
      <c r="C12" s="244">
        <f t="shared" ref="C12:C371" si="6">MIN(A11,$B$7-B12)</f>
        <v>0</v>
      </c>
      <c r="D12" s="38">
        <v>1.0</v>
      </c>
      <c r="E12" s="243"/>
      <c r="F12" s="239">
        <v>1.0</v>
      </c>
      <c r="G12" s="240">
        <f>A23</f>
        <v>0</v>
      </c>
      <c r="H12" s="247">
        <f t="shared" ref="H12:I12" si="1">SUM(B12:B23)</f>
        <v>0</v>
      </c>
      <c r="I12" s="247">
        <f t="shared" si="1"/>
        <v>0</v>
      </c>
      <c r="J12" s="247">
        <f t="shared" si="2"/>
        <v>0</v>
      </c>
      <c r="K12" s="248">
        <f t="shared" si="3"/>
        <v>0</v>
      </c>
      <c r="L12" s="38"/>
      <c r="M12" s="38" t="s">
        <v>326</v>
      </c>
      <c r="N12" s="244">
        <f>B12</f>
        <v>0</v>
      </c>
      <c r="O12" s="244">
        <f>B13</f>
        <v>0</v>
      </c>
      <c r="P12" s="244">
        <f>B14</f>
        <v>0</v>
      </c>
      <c r="Q12" s="244">
        <f>B15</f>
        <v>0</v>
      </c>
      <c r="R12" s="244">
        <f>B16</f>
        <v>0</v>
      </c>
      <c r="S12" s="244">
        <f>B17</f>
        <v>0</v>
      </c>
      <c r="T12" s="244">
        <f>B18</f>
        <v>0</v>
      </c>
      <c r="U12" s="244">
        <f>B19</f>
        <v>0</v>
      </c>
      <c r="V12" s="244">
        <f>B20</f>
        <v>0</v>
      </c>
      <c r="W12" s="244">
        <f>B21</f>
        <v>0</v>
      </c>
      <c r="X12" s="244">
        <f>B22</f>
        <v>0</v>
      </c>
      <c r="Y12" s="244">
        <f>B23</f>
        <v>0</v>
      </c>
      <c r="Z12" s="38"/>
    </row>
    <row r="13" ht="12.0" customHeight="1">
      <c r="A13" s="244">
        <f t="shared" si="4"/>
        <v>0</v>
      </c>
      <c r="B13" s="244">
        <f t="shared" si="5"/>
        <v>0</v>
      </c>
      <c r="C13" s="244">
        <f t="shared" si="6"/>
        <v>0</v>
      </c>
      <c r="D13" s="38">
        <v>2.0</v>
      </c>
      <c r="E13" s="243"/>
      <c r="F13" s="239">
        <v>2.0</v>
      </c>
      <c r="G13" s="240">
        <f>A35</f>
        <v>0</v>
      </c>
      <c r="H13" s="248">
        <f t="shared" ref="H13:I13" si="7">SUM(B24:B35)</f>
        <v>0</v>
      </c>
      <c r="I13" s="248">
        <f t="shared" si="7"/>
        <v>0</v>
      </c>
      <c r="J13" s="247">
        <f t="shared" si="2"/>
        <v>0</v>
      </c>
      <c r="K13" s="248">
        <f t="shared" si="3"/>
        <v>0</v>
      </c>
      <c r="L13" s="38"/>
      <c r="M13" s="38" t="s">
        <v>318</v>
      </c>
      <c r="N13" s="244">
        <f>+C12</f>
        <v>0</v>
      </c>
      <c r="O13" s="244">
        <f>+C13</f>
        <v>0</v>
      </c>
      <c r="P13" s="244">
        <f>+C14</f>
        <v>0</v>
      </c>
      <c r="Q13" s="244">
        <f>+C15</f>
        <v>0</v>
      </c>
      <c r="R13" s="244">
        <f>+C16</f>
        <v>0</v>
      </c>
      <c r="S13" s="244">
        <f>+C17</f>
        <v>0</v>
      </c>
      <c r="T13" s="244">
        <f>+C18</f>
        <v>0</v>
      </c>
      <c r="U13" s="244">
        <f>+C19</f>
        <v>0</v>
      </c>
      <c r="V13" s="244">
        <f>+C20</f>
        <v>0</v>
      </c>
      <c r="W13" s="244">
        <f>+C21</f>
        <v>0</v>
      </c>
      <c r="X13" s="244">
        <f>+C22</f>
        <v>0</v>
      </c>
      <c r="Y13" s="244">
        <f>+C23</f>
        <v>0</v>
      </c>
      <c r="Z13" s="38"/>
    </row>
    <row r="14" ht="12.0" customHeight="1">
      <c r="A14" s="244">
        <f t="shared" si="4"/>
        <v>0</v>
      </c>
      <c r="B14" s="244">
        <f t="shared" si="5"/>
        <v>0</v>
      </c>
      <c r="C14" s="244">
        <f t="shared" si="6"/>
        <v>0</v>
      </c>
      <c r="D14" s="38">
        <v>3.0</v>
      </c>
      <c r="E14" s="243"/>
      <c r="F14" s="239">
        <v>3.0</v>
      </c>
      <c r="G14" s="240">
        <f>A47</f>
        <v>0</v>
      </c>
      <c r="H14" s="248">
        <f t="shared" ref="H14:I14" si="8">SUM(B36:B47)</f>
        <v>0</v>
      </c>
      <c r="I14" s="248">
        <f t="shared" si="8"/>
        <v>0</v>
      </c>
      <c r="J14" s="247">
        <f t="shared" si="2"/>
        <v>0</v>
      </c>
      <c r="K14" s="247">
        <f t="shared" si="3"/>
        <v>0</v>
      </c>
      <c r="L14" s="38"/>
      <c r="M14" s="38" t="s">
        <v>71</v>
      </c>
      <c r="N14" s="244">
        <f>+$B$3-N13-N15</f>
        <v>0</v>
      </c>
      <c r="O14" s="244">
        <f t="shared" ref="O14:Y14" si="9">+N14-O13-(O15-N15)</f>
        <v>0</v>
      </c>
      <c r="P14" s="244">
        <f t="shared" si="9"/>
        <v>0</v>
      </c>
      <c r="Q14" s="244">
        <f t="shared" si="9"/>
        <v>0</v>
      </c>
      <c r="R14" s="244">
        <f t="shared" si="9"/>
        <v>0</v>
      </c>
      <c r="S14" s="244">
        <f t="shared" si="9"/>
        <v>0</v>
      </c>
      <c r="T14" s="244">
        <f t="shared" si="9"/>
        <v>0</v>
      </c>
      <c r="U14" s="244">
        <f t="shared" si="9"/>
        <v>0</v>
      </c>
      <c r="V14" s="244">
        <f t="shared" si="9"/>
        <v>0</v>
      </c>
      <c r="W14" s="244">
        <f t="shared" si="9"/>
        <v>0</v>
      </c>
      <c r="X14" s="244">
        <f t="shared" si="9"/>
        <v>0</v>
      </c>
      <c r="Y14" s="244">
        <f t="shared" si="9"/>
        <v>0</v>
      </c>
      <c r="Z14" s="38"/>
    </row>
    <row r="15" ht="12.0" customHeight="1">
      <c r="A15" s="244">
        <f t="shared" si="4"/>
        <v>0</v>
      </c>
      <c r="B15" s="244">
        <f t="shared" si="5"/>
        <v>0</v>
      </c>
      <c r="C15" s="244">
        <f t="shared" si="6"/>
        <v>0</v>
      </c>
      <c r="D15" s="38">
        <v>4.0</v>
      </c>
      <c r="E15" s="243"/>
      <c r="F15" s="239">
        <v>4.0</v>
      </c>
      <c r="G15" s="240">
        <f>A59</f>
        <v>0</v>
      </c>
      <c r="H15" s="247">
        <f t="shared" ref="H15:I15" si="10">SUM(B48:B59)</f>
        <v>0</v>
      </c>
      <c r="I15" s="247">
        <f t="shared" si="10"/>
        <v>0</v>
      </c>
      <c r="J15" s="247">
        <f t="shared" si="2"/>
        <v>0</v>
      </c>
      <c r="K15" s="247">
        <f t="shared" si="3"/>
        <v>0</v>
      </c>
      <c r="L15" s="38"/>
      <c r="M15" s="38" t="s">
        <v>330</v>
      </c>
      <c r="N15" s="244">
        <f>SUM(C13:C24)</f>
        <v>0</v>
      </c>
      <c r="O15" s="244">
        <f>SUM(C14:C25)</f>
        <v>0</v>
      </c>
      <c r="P15" s="244">
        <f>SUM(C15:C26)</f>
        <v>0</v>
      </c>
      <c r="Q15" s="244">
        <f>SUM(C16:C27)</f>
        <v>0</v>
      </c>
      <c r="R15" s="244">
        <f>SUM(C17:C28)</f>
        <v>0</v>
      </c>
      <c r="S15" s="244">
        <f>SUM(C18:C29)</f>
        <v>0</v>
      </c>
      <c r="T15" s="244">
        <f>SUM(C19:C30)</f>
        <v>0</v>
      </c>
      <c r="U15" s="244">
        <f>SUM(C20:C31)</f>
        <v>0</v>
      </c>
      <c r="V15" s="244">
        <f>SUM(C21:C32)</f>
        <v>0</v>
      </c>
      <c r="W15" s="244">
        <f>SUM(C22:C33)</f>
        <v>0</v>
      </c>
      <c r="X15" s="244">
        <f>SUM(C23:C34)</f>
        <v>0</v>
      </c>
      <c r="Y15" s="244">
        <f>SUM(C24:C35)</f>
        <v>0</v>
      </c>
      <c r="Z15" s="38"/>
    </row>
    <row r="16" ht="12.0" customHeight="1">
      <c r="A16" s="244">
        <f t="shared" si="4"/>
        <v>0</v>
      </c>
      <c r="B16" s="244">
        <f t="shared" si="5"/>
        <v>0</v>
      </c>
      <c r="C16" s="244">
        <f t="shared" si="6"/>
        <v>0</v>
      </c>
      <c r="D16" s="38">
        <v>5.0</v>
      </c>
      <c r="E16" s="243"/>
      <c r="F16" s="239">
        <v>5.0</v>
      </c>
      <c r="G16" s="240">
        <f>A71</f>
        <v>0</v>
      </c>
      <c r="H16" s="247">
        <f t="shared" ref="H16:I16" si="11">SUM(B60:B71)</f>
        <v>0</v>
      </c>
      <c r="I16" s="247">
        <f t="shared" si="11"/>
        <v>0</v>
      </c>
      <c r="J16" s="247">
        <f t="shared" si="2"/>
        <v>0</v>
      </c>
      <c r="K16" s="247">
        <f t="shared" si="3"/>
        <v>0</v>
      </c>
      <c r="L16" s="38"/>
      <c r="M16" s="38" t="s">
        <v>331</v>
      </c>
      <c r="N16" s="244">
        <f t="shared" ref="N16:Y16" si="12">+N15+N14</f>
        <v>0</v>
      </c>
      <c r="O16" s="244">
        <f t="shared" si="12"/>
        <v>0</v>
      </c>
      <c r="P16" s="244">
        <f t="shared" si="12"/>
        <v>0</v>
      </c>
      <c r="Q16" s="244">
        <f t="shared" si="12"/>
        <v>0</v>
      </c>
      <c r="R16" s="244">
        <f t="shared" si="12"/>
        <v>0</v>
      </c>
      <c r="S16" s="244">
        <f t="shared" si="12"/>
        <v>0</v>
      </c>
      <c r="T16" s="244">
        <f t="shared" si="12"/>
        <v>0</v>
      </c>
      <c r="U16" s="244">
        <f t="shared" si="12"/>
        <v>0</v>
      </c>
      <c r="V16" s="244">
        <f t="shared" si="12"/>
        <v>0</v>
      </c>
      <c r="W16" s="244">
        <f t="shared" si="12"/>
        <v>0</v>
      </c>
      <c r="X16" s="244">
        <f t="shared" si="12"/>
        <v>0</v>
      </c>
      <c r="Y16" s="244">
        <f t="shared" si="12"/>
        <v>0</v>
      </c>
      <c r="Z16" s="38"/>
    </row>
    <row r="17" ht="12.0" customHeight="1">
      <c r="A17" s="244">
        <f t="shared" si="4"/>
        <v>0</v>
      </c>
      <c r="B17" s="244">
        <f t="shared" si="5"/>
        <v>0</v>
      </c>
      <c r="C17" s="244">
        <f t="shared" si="6"/>
        <v>0</v>
      </c>
      <c r="D17" s="38">
        <v>6.0</v>
      </c>
      <c r="E17" s="243"/>
      <c r="F17" s="239">
        <v>6.0</v>
      </c>
      <c r="G17" s="240">
        <f>A83</f>
        <v>0</v>
      </c>
      <c r="H17" s="247">
        <f t="shared" ref="H17:I17" si="13">SUM(B72:B83)</f>
        <v>0</v>
      </c>
      <c r="I17" s="247">
        <f t="shared" si="13"/>
        <v>0</v>
      </c>
      <c r="J17" s="247">
        <f t="shared" si="2"/>
        <v>0</v>
      </c>
      <c r="K17" s="247">
        <f t="shared" si="3"/>
        <v>0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2.0" customHeight="1">
      <c r="A18" s="244">
        <f t="shared" si="4"/>
        <v>0</v>
      </c>
      <c r="B18" s="244">
        <f t="shared" si="5"/>
        <v>0</v>
      </c>
      <c r="C18" s="244">
        <f t="shared" si="6"/>
        <v>0</v>
      </c>
      <c r="D18" s="38">
        <v>7.0</v>
      </c>
      <c r="E18" s="243"/>
      <c r="F18" s="239">
        <v>7.0</v>
      </c>
      <c r="G18" s="240">
        <f>A95</f>
        <v>0</v>
      </c>
      <c r="H18" s="247">
        <f t="shared" ref="H18:I18" si="14">+SUM(B84:B95)</f>
        <v>0</v>
      </c>
      <c r="I18" s="247">
        <f t="shared" si="14"/>
        <v>0</v>
      </c>
      <c r="J18" s="247">
        <f t="shared" si="2"/>
        <v>0</v>
      </c>
      <c r="K18" s="247">
        <f t="shared" si="3"/>
        <v>0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2.0" customHeight="1">
      <c r="A19" s="244">
        <f t="shared" si="4"/>
        <v>0</v>
      </c>
      <c r="B19" s="244">
        <f t="shared" si="5"/>
        <v>0</v>
      </c>
      <c r="C19" s="244">
        <f t="shared" si="6"/>
        <v>0</v>
      </c>
      <c r="D19" s="38">
        <v>8.0</v>
      </c>
      <c r="E19" s="243"/>
      <c r="F19" s="239">
        <v>8.0</v>
      </c>
      <c r="G19" s="240">
        <f>A107</f>
        <v>0</v>
      </c>
      <c r="H19" s="247">
        <f t="shared" ref="H19:I19" si="15">SUM(B96:B107)</f>
        <v>0</v>
      </c>
      <c r="I19" s="247">
        <f t="shared" si="15"/>
        <v>0</v>
      </c>
      <c r="J19" s="247">
        <f t="shared" si="2"/>
        <v>0</v>
      </c>
      <c r="K19" s="247">
        <f t="shared" si="3"/>
        <v>0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2.0" customHeight="1">
      <c r="A20" s="244">
        <f t="shared" si="4"/>
        <v>0</v>
      </c>
      <c r="B20" s="244">
        <f t="shared" si="5"/>
        <v>0</v>
      </c>
      <c r="C20" s="244">
        <f t="shared" si="6"/>
        <v>0</v>
      </c>
      <c r="D20" s="38">
        <v>9.0</v>
      </c>
      <c r="E20" s="243"/>
      <c r="F20" s="239">
        <v>9.0</v>
      </c>
      <c r="G20" s="240">
        <f>A119</f>
        <v>0</v>
      </c>
      <c r="H20" s="247">
        <f t="shared" ref="H20:I20" si="16">SUM(B108:B119)</f>
        <v>0</v>
      </c>
      <c r="I20" s="247">
        <f t="shared" si="16"/>
        <v>0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2.0" customHeight="1">
      <c r="A21" s="244">
        <f t="shared" si="4"/>
        <v>0</v>
      </c>
      <c r="B21" s="244">
        <f t="shared" si="5"/>
        <v>0</v>
      </c>
      <c r="C21" s="244">
        <f t="shared" si="6"/>
        <v>0</v>
      </c>
      <c r="D21" s="38">
        <v>10.0</v>
      </c>
      <c r="E21" s="243"/>
      <c r="F21" s="239">
        <v>10.0</v>
      </c>
      <c r="G21" s="240">
        <f>A131</f>
        <v>0</v>
      </c>
      <c r="H21" s="247">
        <f t="shared" ref="H21:I21" si="17">SUM(B120:B131)</f>
        <v>0</v>
      </c>
      <c r="I21" s="247">
        <f t="shared" si="17"/>
        <v>0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2.0" customHeight="1">
      <c r="A22" s="244">
        <f t="shared" si="4"/>
        <v>0</v>
      </c>
      <c r="B22" s="244">
        <f t="shared" si="5"/>
        <v>0</v>
      </c>
      <c r="C22" s="244">
        <f t="shared" si="6"/>
        <v>0</v>
      </c>
      <c r="D22" s="38">
        <v>11.0</v>
      </c>
      <c r="E22" s="243"/>
      <c r="F22" s="239">
        <v>11.0</v>
      </c>
      <c r="G22" s="240">
        <f>A143</f>
        <v>0</v>
      </c>
      <c r="H22" s="249">
        <f t="shared" ref="H22:I22" si="18">SUM(B132:B143)</f>
        <v>0</v>
      </c>
      <c r="I22" s="249">
        <f t="shared" si="18"/>
        <v>0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2.0" customHeight="1">
      <c r="A23" s="244">
        <f t="shared" si="4"/>
        <v>0</v>
      </c>
      <c r="B23" s="244">
        <f t="shared" si="5"/>
        <v>0</v>
      </c>
      <c r="C23" s="244">
        <f t="shared" si="6"/>
        <v>0</v>
      </c>
      <c r="D23" s="38">
        <v>12.0</v>
      </c>
      <c r="E23" s="243"/>
      <c r="F23" s="239">
        <v>12.0</v>
      </c>
      <c r="G23" s="240">
        <f>A155</f>
        <v>0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2.0" customHeight="1">
      <c r="A24" s="244">
        <f t="shared" si="4"/>
        <v>0</v>
      </c>
      <c r="B24" s="244">
        <f t="shared" si="5"/>
        <v>0</v>
      </c>
      <c r="C24" s="244">
        <f t="shared" si="6"/>
        <v>0</v>
      </c>
      <c r="D24" s="38">
        <v>13.0</v>
      </c>
      <c r="E24" s="243"/>
      <c r="F24" s="239">
        <v>13.0</v>
      </c>
      <c r="G24" s="240">
        <f>A167</f>
        <v>0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2.0" customHeight="1">
      <c r="A25" s="244">
        <f t="shared" si="4"/>
        <v>0</v>
      </c>
      <c r="B25" s="244">
        <f t="shared" si="5"/>
        <v>0</v>
      </c>
      <c r="C25" s="244">
        <f t="shared" si="6"/>
        <v>0</v>
      </c>
      <c r="D25" s="38">
        <v>14.0</v>
      </c>
      <c r="E25" s="243"/>
      <c r="F25" s="239">
        <v>14.0</v>
      </c>
      <c r="G25" s="240">
        <f>A179</f>
        <v>0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2.0" customHeight="1">
      <c r="A26" s="244">
        <f t="shared" si="4"/>
        <v>0</v>
      </c>
      <c r="B26" s="244">
        <f t="shared" si="5"/>
        <v>0</v>
      </c>
      <c r="C26" s="244">
        <f t="shared" si="6"/>
        <v>0</v>
      </c>
      <c r="D26" s="38">
        <v>15.0</v>
      </c>
      <c r="E26" s="243"/>
      <c r="F26" s="239">
        <v>15.0</v>
      </c>
      <c r="G26" s="240">
        <f>A191</f>
        <v>0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2.0" customHeight="1">
      <c r="A27" s="244">
        <f t="shared" si="4"/>
        <v>0</v>
      </c>
      <c r="B27" s="244">
        <f t="shared" si="5"/>
        <v>0</v>
      </c>
      <c r="C27" s="244">
        <f t="shared" si="6"/>
        <v>0</v>
      </c>
      <c r="D27" s="38">
        <v>16.0</v>
      </c>
      <c r="E27" s="243"/>
      <c r="F27" s="239">
        <v>16.0</v>
      </c>
      <c r="G27" s="24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2.0" customHeight="1">
      <c r="A28" s="244">
        <f t="shared" si="4"/>
        <v>0</v>
      </c>
      <c r="B28" s="244">
        <f t="shared" si="5"/>
        <v>0</v>
      </c>
      <c r="C28" s="244">
        <f t="shared" si="6"/>
        <v>0</v>
      </c>
      <c r="D28" s="38">
        <v>17.0</v>
      </c>
      <c r="E28" s="243"/>
      <c r="F28" s="239">
        <v>17.0</v>
      </c>
      <c r="G28" s="240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2.0" customHeight="1">
      <c r="A29" s="244">
        <f t="shared" si="4"/>
        <v>0</v>
      </c>
      <c r="B29" s="244">
        <f t="shared" si="5"/>
        <v>0</v>
      </c>
      <c r="C29" s="244">
        <f t="shared" si="6"/>
        <v>0</v>
      </c>
      <c r="D29" s="38">
        <v>18.0</v>
      </c>
      <c r="E29" s="243"/>
      <c r="F29" s="239">
        <v>18.0</v>
      </c>
      <c r="G29" s="240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2.0" customHeight="1">
      <c r="A30" s="244">
        <f t="shared" si="4"/>
        <v>0</v>
      </c>
      <c r="B30" s="244">
        <f t="shared" si="5"/>
        <v>0</v>
      </c>
      <c r="C30" s="244">
        <f t="shared" si="6"/>
        <v>0</v>
      </c>
      <c r="D30" s="38">
        <v>19.0</v>
      </c>
      <c r="E30" s="243"/>
      <c r="F30" s="239">
        <v>19.0</v>
      </c>
      <c r="G30" s="24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2.0" customHeight="1">
      <c r="A31" s="244">
        <f t="shared" si="4"/>
        <v>0</v>
      </c>
      <c r="B31" s="244">
        <f t="shared" si="5"/>
        <v>0</v>
      </c>
      <c r="C31" s="244">
        <f t="shared" si="6"/>
        <v>0</v>
      </c>
      <c r="D31" s="38">
        <v>20.0</v>
      </c>
      <c r="E31" s="243"/>
      <c r="F31" s="239">
        <v>20.0</v>
      </c>
      <c r="G31" s="240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2.0" customHeight="1">
      <c r="A32" s="244">
        <f t="shared" si="4"/>
        <v>0</v>
      </c>
      <c r="B32" s="244">
        <f t="shared" si="5"/>
        <v>0</v>
      </c>
      <c r="C32" s="244">
        <f t="shared" si="6"/>
        <v>0</v>
      </c>
      <c r="D32" s="38">
        <v>21.0</v>
      </c>
      <c r="E32" s="243"/>
      <c r="F32" s="239">
        <v>21.0</v>
      </c>
      <c r="G32" s="240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2.0" customHeight="1">
      <c r="A33" s="244">
        <f t="shared" si="4"/>
        <v>0</v>
      </c>
      <c r="B33" s="244">
        <f t="shared" si="5"/>
        <v>0</v>
      </c>
      <c r="C33" s="244">
        <f t="shared" si="6"/>
        <v>0</v>
      </c>
      <c r="D33" s="38">
        <v>22.0</v>
      </c>
      <c r="E33" s="243"/>
      <c r="F33" s="239">
        <v>22.0</v>
      </c>
      <c r="G33" s="240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2.0" customHeight="1">
      <c r="A34" s="244">
        <f t="shared" si="4"/>
        <v>0</v>
      </c>
      <c r="B34" s="244">
        <f t="shared" si="5"/>
        <v>0</v>
      </c>
      <c r="C34" s="244">
        <f t="shared" si="6"/>
        <v>0</v>
      </c>
      <c r="D34" s="38">
        <v>23.0</v>
      </c>
      <c r="E34" s="243"/>
      <c r="F34" s="239">
        <v>23.0</v>
      </c>
      <c r="G34" s="240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2.0" customHeight="1">
      <c r="A35" s="244">
        <f t="shared" si="4"/>
        <v>0</v>
      </c>
      <c r="B35" s="244">
        <f t="shared" si="5"/>
        <v>0</v>
      </c>
      <c r="C35" s="244">
        <f t="shared" si="6"/>
        <v>0</v>
      </c>
      <c r="D35" s="38">
        <v>24.0</v>
      </c>
      <c r="E35" s="243"/>
      <c r="F35" s="239">
        <v>24.0</v>
      </c>
      <c r="G35" s="240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2.0" customHeight="1">
      <c r="A36" s="244">
        <f t="shared" si="4"/>
        <v>0</v>
      </c>
      <c r="B36" s="244">
        <f t="shared" si="5"/>
        <v>0</v>
      </c>
      <c r="C36" s="244">
        <f t="shared" si="6"/>
        <v>0</v>
      </c>
      <c r="D36" s="38">
        <v>25.0</v>
      </c>
      <c r="E36" s="243"/>
      <c r="F36" s="239">
        <v>25.0</v>
      </c>
      <c r="G36" s="240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2.0" customHeight="1">
      <c r="A37" s="244">
        <f t="shared" si="4"/>
        <v>0</v>
      </c>
      <c r="B37" s="244">
        <f t="shared" si="5"/>
        <v>0</v>
      </c>
      <c r="C37" s="244">
        <f t="shared" si="6"/>
        <v>0</v>
      </c>
      <c r="D37" s="38">
        <v>26.0</v>
      </c>
      <c r="E37" s="243"/>
      <c r="F37" s="239">
        <v>26.0</v>
      </c>
      <c r="G37" s="240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2.0" customHeight="1">
      <c r="A38" s="244">
        <f t="shared" si="4"/>
        <v>0</v>
      </c>
      <c r="B38" s="244">
        <f t="shared" si="5"/>
        <v>0</v>
      </c>
      <c r="C38" s="244">
        <f t="shared" si="6"/>
        <v>0</v>
      </c>
      <c r="D38" s="38">
        <v>27.0</v>
      </c>
      <c r="E38" s="243"/>
      <c r="F38" s="239">
        <v>27.0</v>
      </c>
      <c r="G38" s="240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2.0" customHeight="1">
      <c r="A39" s="244">
        <f t="shared" si="4"/>
        <v>0</v>
      </c>
      <c r="B39" s="244">
        <f t="shared" si="5"/>
        <v>0</v>
      </c>
      <c r="C39" s="244">
        <f t="shared" si="6"/>
        <v>0</v>
      </c>
      <c r="D39" s="38">
        <v>28.0</v>
      </c>
      <c r="E39" s="243"/>
      <c r="F39" s="239">
        <v>28.0</v>
      </c>
      <c r="G39" s="240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2.0" customHeight="1">
      <c r="A40" s="244">
        <f t="shared" si="4"/>
        <v>0</v>
      </c>
      <c r="B40" s="244">
        <f t="shared" si="5"/>
        <v>0</v>
      </c>
      <c r="C40" s="244">
        <f t="shared" si="6"/>
        <v>0</v>
      </c>
      <c r="D40" s="38">
        <v>29.0</v>
      </c>
      <c r="E40" s="243"/>
      <c r="F40" s="239">
        <v>29.0</v>
      </c>
      <c r="G40" s="240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2.0" customHeight="1">
      <c r="A41" s="244">
        <f t="shared" si="4"/>
        <v>0</v>
      </c>
      <c r="B41" s="244">
        <f t="shared" si="5"/>
        <v>0</v>
      </c>
      <c r="C41" s="244">
        <f t="shared" si="6"/>
        <v>0</v>
      </c>
      <c r="D41" s="38">
        <v>30.0</v>
      </c>
      <c r="E41" s="243"/>
      <c r="F41" s="239">
        <v>30.0</v>
      </c>
      <c r="G41" s="240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2.0" customHeight="1">
      <c r="A42" s="244">
        <f t="shared" si="4"/>
        <v>0</v>
      </c>
      <c r="B42" s="244">
        <f t="shared" si="5"/>
        <v>0</v>
      </c>
      <c r="C42" s="244">
        <f t="shared" si="6"/>
        <v>0</v>
      </c>
      <c r="D42" s="38">
        <v>31.0</v>
      </c>
      <c r="E42" s="243"/>
      <c r="F42" s="239"/>
      <c r="G42" s="240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2.0" customHeight="1">
      <c r="A43" s="244">
        <f t="shared" si="4"/>
        <v>0</v>
      </c>
      <c r="B43" s="244">
        <f t="shared" si="5"/>
        <v>0</v>
      </c>
      <c r="C43" s="244">
        <f t="shared" si="6"/>
        <v>0</v>
      </c>
      <c r="D43" s="38">
        <v>32.0</v>
      </c>
      <c r="E43" s="243"/>
      <c r="F43" s="239"/>
      <c r="G43" s="240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2.0" customHeight="1">
      <c r="A44" s="244">
        <f t="shared" si="4"/>
        <v>0</v>
      </c>
      <c r="B44" s="244">
        <f t="shared" si="5"/>
        <v>0</v>
      </c>
      <c r="C44" s="244">
        <f t="shared" si="6"/>
        <v>0</v>
      </c>
      <c r="D44" s="38">
        <v>33.0</v>
      </c>
      <c r="E44" s="243"/>
      <c r="F44" s="239"/>
      <c r="G44" s="240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2.0" customHeight="1">
      <c r="A45" s="244">
        <f t="shared" si="4"/>
        <v>0</v>
      </c>
      <c r="B45" s="244">
        <f t="shared" si="5"/>
        <v>0</v>
      </c>
      <c r="C45" s="244">
        <f t="shared" si="6"/>
        <v>0</v>
      </c>
      <c r="D45" s="38">
        <v>34.0</v>
      </c>
      <c r="E45" s="243"/>
      <c r="F45" s="239"/>
      <c r="G45" s="240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2.0" customHeight="1">
      <c r="A46" s="244">
        <f t="shared" si="4"/>
        <v>0</v>
      </c>
      <c r="B46" s="244">
        <f t="shared" si="5"/>
        <v>0</v>
      </c>
      <c r="C46" s="244">
        <f t="shared" si="6"/>
        <v>0</v>
      </c>
      <c r="D46" s="38">
        <v>35.0</v>
      </c>
      <c r="E46" s="243"/>
      <c r="F46" s="239"/>
      <c r="G46" s="240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2.0" customHeight="1">
      <c r="A47" s="244">
        <f t="shared" si="4"/>
        <v>0</v>
      </c>
      <c r="B47" s="244">
        <f t="shared" si="5"/>
        <v>0</v>
      </c>
      <c r="C47" s="244">
        <f t="shared" si="6"/>
        <v>0</v>
      </c>
      <c r="D47" s="38">
        <v>36.0</v>
      </c>
      <c r="E47" s="243"/>
      <c r="F47" s="239"/>
      <c r="G47" s="240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2.0" customHeight="1">
      <c r="A48" s="244">
        <f t="shared" si="4"/>
        <v>0</v>
      </c>
      <c r="B48" s="244">
        <f t="shared" si="5"/>
        <v>0</v>
      </c>
      <c r="C48" s="244">
        <f t="shared" si="6"/>
        <v>0</v>
      </c>
      <c r="D48" s="38">
        <v>37.0</v>
      </c>
      <c r="E48" s="243"/>
      <c r="F48" s="239"/>
      <c r="G48" s="240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2.0" customHeight="1">
      <c r="A49" s="244">
        <f t="shared" si="4"/>
        <v>0</v>
      </c>
      <c r="B49" s="244">
        <f t="shared" si="5"/>
        <v>0</v>
      </c>
      <c r="C49" s="244">
        <f t="shared" si="6"/>
        <v>0</v>
      </c>
      <c r="D49" s="38">
        <v>38.0</v>
      </c>
      <c r="E49" s="243"/>
      <c r="F49" s="239"/>
      <c r="G49" s="240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2.0" customHeight="1">
      <c r="A50" s="244">
        <f t="shared" si="4"/>
        <v>0</v>
      </c>
      <c r="B50" s="244">
        <f t="shared" si="5"/>
        <v>0</v>
      </c>
      <c r="C50" s="244">
        <f t="shared" si="6"/>
        <v>0</v>
      </c>
      <c r="D50" s="38">
        <v>39.0</v>
      </c>
      <c r="E50" s="243"/>
      <c r="F50" s="239"/>
      <c r="G50" s="240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2.0" customHeight="1">
      <c r="A51" s="244">
        <f t="shared" si="4"/>
        <v>0</v>
      </c>
      <c r="B51" s="244">
        <f t="shared" si="5"/>
        <v>0</v>
      </c>
      <c r="C51" s="244">
        <f t="shared" si="6"/>
        <v>0</v>
      </c>
      <c r="D51" s="38">
        <v>40.0</v>
      </c>
      <c r="E51" s="243"/>
      <c r="F51" s="239"/>
      <c r="G51" s="240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2.0" customHeight="1">
      <c r="A52" s="244">
        <f t="shared" si="4"/>
        <v>0</v>
      </c>
      <c r="B52" s="244">
        <f t="shared" si="5"/>
        <v>0</v>
      </c>
      <c r="C52" s="244">
        <f t="shared" si="6"/>
        <v>0</v>
      </c>
      <c r="D52" s="38">
        <v>41.0</v>
      </c>
      <c r="E52" s="243"/>
      <c r="F52" s="239"/>
      <c r="G52" s="240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2.0" customHeight="1">
      <c r="A53" s="244">
        <f t="shared" si="4"/>
        <v>0</v>
      </c>
      <c r="B53" s="244">
        <f t="shared" si="5"/>
        <v>0</v>
      </c>
      <c r="C53" s="244">
        <f t="shared" si="6"/>
        <v>0</v>
      </c>
      <c r="D53" s="38">
        <v>42.0</v>
      </c>
      <c r="E53" s="243"/>
      <c r="F53" s="239"/>
      <c r="G53" s="240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2.0" customHeight="1">
      <c r="A54" s="244">
        <f t="shared" si="4"/>
        <v>0</v>
      </c>
      <c r="B54" s="244">
        <f t="shared" si="5"/>
        <v>0</v>
      </c>
      <c r="C54" s="244">
        <f t="shared" si="6"/>
        <v>0</v>
      </c>
      <c r="D54" s="38">
        <v>43.0</v>
      </c>
      <c r="E54" s="243"/>
      <c r="F54" s="239"/>
      <c r="G54" s="240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2.0" customHeight="1">
      <c r="A55" s="244">
        <f t="shared" si="4"/>
        <v>0</v>
      </c>
      <c r="B55" s="244">
        <f t="shared" si="5"/>
        <v>0</v>
      </c>
      <c r="C55" s="244">
        <f t="shared" si="6"/>
        <v>0</v>
      </c>
      <c r="D55" s="38">
        <v>44.0</v>
      </c>
      <c r="E55" s="243"/>
      <c r="F55" s="239"/>
      <c r="G55" s="240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2.0" customHeight="1">
      <c r="A56" s="244">
        <f t="shared" si="4"/>
        <v>0</v>
      </c>
      <c r="B56" s="244">
        <f t="shared" si="5"/>
        <v>0</v>
      </c>
      <c r="C56" s="244">
        <f t="shared" si="6"/>
        <v>0</v>
      </c>
      <c r="D56" s="38">
        <v>45.0</v>
      </c>
      <c r="E56" s="243"/>
      <c r="F56" s="239"/>
      <c r="G56" s="240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2.0" customHeight="1">
      <c r="A57" s="244">
        <f t="shared" si="4"/>
        <v>0</v>
      </c>
      <c r="B57" s="244">
        <f t="shared" si="5"/>
        <v>0</v>
      </c>
      <c r="C57" s="244">
        <f t="shared" si="6"/>
        <v>0</v>
      </c>
      <c r="D57" s="38">
        <v>46.0</v>
      </c>
      <c r="E57" s="243"/>
      <c r="F57" s="239"/>
      <c r="G57" s="240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2.0" customHeight="1">
      <c r="A58" s="244">
        <f t="shared" si="4"/>
        <v>0</v>
      </c>
      <c r="B58" s="244">
        <f t="shared" si="5"/>
        <v>0</v>
      </c>
      <c r="C58" s="244">
        <f t="shared" si="6"/>
        <v>0</v>
      </c>
      <c r="D58" s="38">
        <v>47.0</v>
      </c>
      <c r="E58" s="243"/>
      <c r="F58" s="239"/>
      <c r="G58" s="240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2.0" customHeight="1">
      <c r="A59" s="244">
        <f t="shared" si="4"/>
        <v>0</v>
      </c>
      <c r="B59" s="244">
        <f t="shared" si="5"/>
        <v>0</v>
      </c>
      <c r="C59" s="244">
        <f t="shared" si="6"/>
        <v>0</v>
      </c>
      <c r="D59" s="38">
        <v>48.0</v>
      </c>
      <c r="E59" s="243"/>
      <c r="F59" s="239"/>
      <c r="G59" s="240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2.0" customHeight="1">
      <c r="A60" s="244">
        <f t="shared" si="4"/>
        <v>0</v>
      </c>
      <c r="B60" s="244">
        <f t="shared" si="5"/>
        <v>0</v>
      </c>
      <c r="C60" s="244">
        <f t="shared" si="6"/>
        <v>0</v>
      </c>
      <c r="D60" s="38">
        <v>49.0</v>
      </c>
      <c r="E60" s="243"/>
      <c r="F60" s="239"/>
      <c r="G60" s="240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2.0" customHeight="1">
      <c r="A61" s="244">
        <f t="shared" si="4"/>
        <v>0</v>
      </c>
      <c r="B61" s="244">
        <f t="shared" si="5"/>
        <v>0</v>
      </c>
      <c r="C61" s="244">
        <f t="shared" si="6"/>
        <v>0</v>
      </c>
      <c r="D61" s="38">
        <v>50.0</v>
      </c>
      <c r="E61" s="243"/>
      <c r="F61" s="239"/>
      <c r="G61" s="240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2.0" customHeight="1">
      <c r="A62" s="244">
        <f t="shared" si="4"/>
        <v>0</v>
      </c>
      <c r="B62" s="244">
        <f t="shared" si="5"/>
        <v>0</v>
      </c>
      <c r="C62" s="244">
        <f t="shared" si="6"/>
        <v>0</v>
      </c>
      <c r="D62" s="38">
        <v>51.0</v>
      </c>
      <c r="E62" s="243"/>
      <c r="F62" s="239"/>
      <c r="G62" s="240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2.0" customHeight="1">
      <c r="A63" s="244">
        <f t="shared" si="4"/>
        <v>0</v>
      </c>
      <c r="B63" s="244">
        <f t="shared" si="5"/>
        <v>0</v>
      </c>
      <c r="C63" s="244">
        <f t="shared" si="6"/>
        <v>0</v>
      </c>
      <c r="D63" s="38">
        <v>52.0</v>
      </c>
      <c r="E63" s="243"/>
      <c r="F63" s="239"/>
      <c r="G63" s="240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2.0" customHeight="1">
      <c r="A64" s="244">
        <f t="shared" si="4"/>
        <v>0</v>
      </c>
      <c r="B64" s="244">
        <f t="shared" si="5"/>
        <v>0</v>
      </c>
      <c r="C64" s="244">
        <f t="shared" si="6"/>
        <v>0</v>
      </c>
      <c r="D64" s="38">
        <v>53.0</v>
      </c>
      <c r="E64" s="243"/>
      <c r="F64" s="239"/>
      <c r="G64" s="240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2.0" customHeight="1">
      <c r="A65" s="244">
        <f t="shared" si="4"/>
        <v>0</v>
      </c>
      <c r="B65" s="244">
        <f t="shared" si="5"/>
        <v>0</v>
      </c>
      <c r="C65" s="244">
        <f t="shared" si="6"/>
        <v>0</v>
      </c>
      <c r="D65" s="38">
        <v>54.0</v>
      </c>
      <c r="E65" s="243"/>
      <c r="F65" s="239"/>
      <c r="G65" s="240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2.0" customHeight="1">
      <c r="A66" s="244">
        <f t="shared" si="4"/>
        <v>0</v>
      </c>
      <c r="B66" s="244">
        <f t="shared" si="5"/>
        <v>0</v>
      </c>
      <c r="C66" s="244">
        <f t="shared" si="6"/>
        <v>0</v>
      </c>
      <c r="D66" s="38">
        <v>55.0</v>
      </c>
      <c r="E66" s="243"/>
      <c r="F66" s="239"/>
      <c r="G66" s="240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2.0" customHeight="1">
      <c r="A67" s="244">
        <f t="shared" si="4"/>
        <v>0</v>
      </c>
      <c r="B67" s="244">
        <f t="shared" si="5"/>
        <v>0</v>
      </c>
      <c r="C67" s="244">
        <f t="shared" si="6"/>
        <v>0</v>
      </c>
      <c r="D67" s="38">
        <v>56.0</v>
      </c>
      <c r="E67" s="243"/>
      <c r="F67" s="239"/>
      <c r="G67" s="240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2.0" customHeight="1">
      <c r="A68" s="244">
        <f t="shared" si="4"/>
        <v>0</v>
      </c>
      <c r="B68" s="244">
        <f t="shared" si="5"/>
        <v>0</v>
      </c>
      <c r="C68" s="244">
        <f t="shared" si="6"/>
        <v>0</v>
      </c>
      <c r="D68" s="38">
        <v>57.0</v>
      </c>
      <c r="E68" s="243"/>
      <c r="F68" s="239"/>
      <c r="G68" s="240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2.0" customHeight="1">
      <c r="A69" s="244">
        <f t="shared" si="4"/>
        <v>0</v>
      </c>
      <c r="B69" s="244">
        <f t="shared" si="5"/>
        <v>0</v>
      </c>
      <c r="C69" s="244">
        <f t="shared" si="6"/>
        <v>0</v>
      </c>
      <c r="D69" s="38">
        <v>58.0</v>
      </c>
      <c r="E69" s="243"/>
      <c r="F69" s="239"/>
      <c r="G69" s="240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2.0" customHeight="1">
      <c r="A70" s="244">
        <f t="shared" si="4"/>
        <v>0</v>
      </c>
      <c r="B70" s="244">
        <f t="shared" si="5"/>
        <v>0</v>
      </c>
      <c r="C70" s="244">
        <f t="shared" si="6"/>
        <v>0</v>
      </c>
      <c r="D70" s="38">
        <v>59.0</v>
      </c>
      <c r="E70" s="243"/>
      <c r="F70" s="239"/>
      <c r="G70" s="240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2.0" customHeight="1">
      <c r="A71" s="244">
        <f t="shared" si="4"/>
        <v>0</v>
      </c>
      <c r="B71" s="244">
        <f t="shared" si="5"/>
        <v>0</v>
      </c>
      <c r="C71" s="244">
        <f t="shared" si="6"/>
        <v>0</v>
      </c>
      <c r="D71" s="38">
        <v>60.0</v>
      </c>
      <c r="E71" s="243"/>
      <c r="F71" s="239"/>
      <c r="G71" s="240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2.0" customHeight="1">
      <c r="A72" s="244">
        <f t="shared" si="4"/>
        <v>0</v>
      </c>
      <c r="B72" s="244">
        <f t="shared" si="5"/>
        <v>0</v>
      </c>
      <c r="C72" s="244">
        <f t="shared" si="6"/>
        <v>0</v>
      </c>
      <c r="D72" s="38">
        <v>61.0</v>
      </c>
      <c r="E72" s="243"/>
      <c r="F72" s="239"/>
      <c r="G72" s="240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2.0" customHeight="1">
      <c r="A73" s="244">
        <f t="shared" si="4"/>
        <v>0</v>
      </c>
      <c r="B73" s="244">
        <f t="shared" si="5"/>
        <v>0</v>
      </c>
      <c r="C73" s="244">
        <f t="shared" si="6"/>
        <v>0</v>
      </c>
      <c r="D73" s="38">
        <v>62.0</v>
      </c>
      <c r="E73" s="243"/>
      <c r="F73" s="239"/>
      <c r="G73" s="240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2.0" customHeight="1">
      <c r="A74" s="244">
        <f t="shared" si="4"/>
        <v>0</v>
      </c>
      <c r="B74" s="244">
        <f t="shared" si="5"/>
        <v>0</v>
      </c>
      <c r="C74" s="244">
        <f t="shared" si="6"/>
        <v>0</v>
      </c>
      <c r="D74" s="38">
        <v>63.0</v>
      </c>
      <c r="E74" s="243"/>
      <c r="F74" s="239"/>
      <c r="G74" s="240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2.0" customHeight="1">
      <c r="A75" s="244">
        <f t="shared" si="4"/>
        <v>0</v>
      </c>
      <c r="B75" s="244">
        <f t="shared" si="5"/>
        <v>0</v>
      </c>
      <c r="C75" s="244">
        <f t="shared" si="6"/>
        <v>0</v>
      </c>
      <c r="D75" s="38">
        <v>64.0</v>
      </c>
      <c r="E75" s="243"/>
      <c r="F75" s="239"/>
      <c r="G75" s="240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2.0" customHeight="1">
      <c r="A76" s="244">
        <f t="shared" si="4"/>
        <v>0</v>
      </c>
      <c r="B76" s="244">
        <f t="shared" si="5"/>
        <v>0</v>
      </c>
      <c r="C76" s="244">
        <f t="shared" si="6"/>
        <v>0</v>
      </c>
      <c r="D76" s="38">
        <v>65.0</v>
      </c>
      <c r="E76" s="243"/>
      <c r="F76" s="239"/>
      <c r="G76" s="240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2.0" customHeight="1">
      <c r="A77" s="244">
        <f t="shared" si="4"/>
        <v>0</v>
      </c>
      <c r="B77" s="244">
        <f t="shared" si="5"/>
        <v>0</v>
      </c>
      <c r="C77" s="244">
        <f t="shared" si="6"/>
        <v>0</v>
      </c>
      <c r="D77" s="38">
        <v>66.0</v>
      </c>
      <c r="E77" s="243"/>
      <c r="F77" s="239"/>
      <c r="G77" s="240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2.0" customHeight="1">
      <c r="A78" s="244">
        <f t="shared" si="4"/>
        <v>0</v>
      </c>
      <c r="B78" s="244">
        <f t="shared" si="5"/>
        <v>0</v>
      </c>
      <c r="C78" s="244">
        <f t="shared" si="6"/>
        <v>0</v>
      </c>
      <c r="D78" s="38">
        <v>67.0</v>
      </c>
      <c r="E78" s="243"/>
      <c r="F78" s="239"/>
      <c r="G78" s="240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2.0" customHeight="1">
      <c r="A79" s="244">
        <f t="shared" si="4"/>
        <v>0</v>
      </c>
      <c r="B79" s="244">
        <f t="shared" si="5"/>
        <v>0</v>
      </c>
      <c r="C79" s="244">
        <f t="shared" si="6"/>
        <v>0</v>
      </c>
      <c r="D79" s="38">
        <v>68.0</v>
      </c>
      <c r="E79" s="243"/>
      <c r="F79" s="239"/>
      <c r="G79" s="240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2.0" customHeight="1">
      <c r="A80" s="244">
        <f t="shared" si="4"/>
        <v>0</v>
      </c>
      <c r="B80" s="244">
        <f t="shared" si="5"/>
        <v>0</v>
      </c>
      <c r="C80" s="244">
        <f t="shared" si="6"/>
        <v>0</v>
      </c>
      <c r="D80" s="38">
        <v>69.0</v>
      </c>
      <c r="E80" s="243"/>
      <c r="F80" s="239"/>
      <c r="G80" s="240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2.0" customHeight="1">
      <c r="A81" s="244">
        <f t="shared" si="4"/>
        <v>0</v>
      </c>
      <c r="B81" s="244">
        <f t="shared" si="5"/>
        <v>0</v>
      </c>
      <c r="C81" s="244">
        <f t="shared" si="6"/>
        <v>0</v>
      </c>
      <c r="D81" s="38">
        <v>70.0</v>
      </c>
      <c r="E81" s="243"/>
      <c r="F81" s="239"/>
      <c r="G81" s="240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2.0" customHeight="1">
      <c r="A82" s="244">
        <f t="shared" si="4"/>
        <v>0</v>
      </c>
      <c r="B82" s="244">
        <f t="shared" si="5"/>
        <v>0</v>
      </c>
      <c r="C82" s="244">
        <f t="shared" si="6"/>
        <v>0</v>
      </c>
      <c r="D82" s="38">
        <v>71.0</v>
      </c>
      <c r="E82" s="243"/>
      <c r="F82" s="239"/>
      <c r="G82" s="240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2.0" customHeight="1">
      <c r="A83" s="244">
        <f t="shared" si="4"/>
        <v>0</v>
      </c>
      <c r="B83" s="244">
        <f t="shared" si="5"/>
        <v>0</v>
      </c>
      <c r="C83" s="244">
        <f t="shared" si="6"/>
        <v>0</v>
      </c>
      <c r="D83" s="38">
        <v>72.0</v>
      </c>
      <c r="E83" s="243"/>
      <c r="F83" s="239"/>
      <c r="G83" s="240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2.0" customHeight="1">
      <c r="A84" s="244">
        <f t="shared" si="4"/>
        <v>0</v>
      </c>
      <c r="B84" s="244">
        <f t="shared" si="5"/>
        <v>0</v>
      </c>
      <c r="C84" s="244">
        <f t="shared" si="6"/>
        <v>0</v>
      </c>
      <c r="D84" s="38">
        <v>73.0</v>
      </c>
      <c r="E84" s="243"/>
      <c r="F84" s="239"/>
      <c r="G84" s="240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2.0" customHeight="1">
      <c r="A85" s="244">
        <f t="shared" si="4"/>
        <v>0</v>
      </c>
      <c r="B85" s="244">
        <f t="shared" si="5"/>
        <v>0</v>
      </c>
      <c r="C85" s="244">
        <f t="shared" si="6"/>
        <v>0</v>
      </c>
      <c r="D85" s="38">
        <v>74.0</v>
      </c>
      <c r="E85" s="243"/>
      <c r="F85" s="239"/>
      <c r="G85" s="240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2.0" customHeight="1">
      <c r="A86" s="244">
        <f t="shared" si="4"/>
        <v>0</v>
      </c>
      <c r="B86" s="244">
        <f t="shared" si="5"/>
        <v>0</v>
      </c>
      <c r="C86" s="244">
        <f t="shared" si="6"/>
        <v>0</v>
      </c>
      <c r="D86" s="38">
        <v>75.0</v>
      </c>
      <c r="E86" s="243"/>
      <c r="F86" s="239"/>
      <c r="G86" s="240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2.0" customHeight="1">
      <c r="A87" s="244">
        <f t="shared" si="4"/>
        <v>0</v>
      </c>
      <c r="B87" s="244">
        <f t="shared" si="5"/>
        <v>0</v>
      </c>
      <c r="C87" s="244">
        <f t="shared" si="6"/>
        <v>0</v>
      </c>
      <c r="D87" s="38">
        <v>76.0</v>
      </c>
      <c r="E87" s="243"/>
      <c r="F87" s="239"/>
      <c r="G87" s="240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2.0" customHeight="1">
      <c r="A88" s="244">
        <f t="shared" si="4"/>
        <v>0</v>
      </c>
      <c r="B88" s="244">
        <f t="shared" si="5"/>
        <v>0</v>
      </c>
      <c r="C88" s="244">
        <f t="shared" si="6"/>
        <v>0</v>
      </c>
      <c r="D88" s="38">
        <v>77.0</v>
      </c>
      <c r="E88" s="243"/>
      <c r="F88" s="239"/>
      <c r="G88" s="240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2.0" customHeight="1">
      <c r="A89" s="244">
        <f t="shared" si="4"/>
        <v>0</v>
      </c>
      <c r="B89" s="244">
        <f t="shared" si="5"/>
        <v>0</v>
      </c>
      <c r="C89" s="244">
        <f t="shared" si="6"/>
        <v>0</v>
      </c>
      <c r="D89" s="38">
        <v>78.0</v>
      </c>
      <c r="E89" s="243"/>
      <c r="F89" s="239"/>
      <c r="G89" s="240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2.0" customHeight="1">
      <c r="A90" s="244">
        <f t="shared" si="4"/>
        <v>0</v>
      </c>
      <c r="B90" s="244">
        <f t="shared" si="5"/>
        <v>0</v>
      </c>
      <c r="C90" s="244">
        <f t="shared" si="6"/>
        <v>0</v>
      </c>
      <c r="D90" s="38">
        <v>79.0</v>
      </c>
      <c r="E90" s="243"/>
      <c r="F90" s="239"/>
      <c r="G90" s="240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2.0" customHeight="1">
      <c r="A91" s="244">
        <f t="shared" si="4"/>
        <v>0</v>
      </c>
      <c r="B91" s="244">
        <f t="shared" si="5"/>
        <v>0</v>
      </c>
      <c r="C91" s="244">
        <f t="shared" si="6"/>
        <v>0</v>
      </c>
      <c r="D91" s="38">
        <v>80.0</v>
      </c>
      <c r="E91" s="243"/>
      <c r="F91" s="239"/>
      <c r="G91" s="240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2.0" customHeight="1">
      <c r="A92" s="244">
        <f t="shared" si="4"/>
        <v>0</v>
      </c>
      <c r="B92" s="244">
        <f t="shared" si="5"/>
        <v>0</v>
      </c>
      <c r="C92" s="244">
        <f t="shared" si="6"/>
        <v>0</v>
      </c>
      <c r="D92" s="38">
        <v>81.0</v>
      </c>
      <c r="E92" s="243"/>
      <c r="F92" s="239"/>
      <c r="G92" s="240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2.0" customHeight="1">
      <c r="A93" s="244">
        <f t="shared" si="4"/>
        <v>0</v>
      </c>
      <c r="B93" s="244">
        <f t="shared" si="5"/>
        <v>0</v>
      </c>
      <c r="C93" s="244">
        <f t="shared" si="6"/>
        <v>0</v>
      </c>
      <c r="D93" s="38">
        <v>82.0</v>
      </c>
      <c r="E93" s="243"/>
      <c r="F93" s="239"/>
      <c r="G93" s="240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2.0" customHeight="1">
      <c r="A94" s="244">
        <f t="shared" si="4"/>
        <v>0</v>
      </c>
      <c r="B94" s="244">
        <f t="shared" si="5"/>
        <v>0</v>
      </c>
      <c r="C94" s="244">
        <f t="shared" si="6"/>
        <v>0</v>
      </c>
      <c r="D94" s="38">
        <v>83.0</v>
      </c>
      <c r="E94" s="243"/>
      <c r="F94" s="239"/>
      <c r="G94" s="240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2.0" customHeight="1">
      <c r="A95" s="244">
        <f t="shared" si="4"/>
        <v>0</v>
      </c>
      <c r="B95" s="244">
        <f t="shared" si="5"/>
        <v>0</v>
      </c>
      <c r="C95" s="244">
        <f t="shared" si="6"/>
        <v>0</v>
      </c>
      <c r="D95" s="38">
        <v>84.0</v>
      </c>
      <c r="E95" s="243"/>
      <c r="F95" s="239"/>
      <c r="G95" s="240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2.0" customHeight="1">
      <c r="A96" s="244">
        <f t="shared" si="4"/>
        <v>0</v>
      </c>
      <c r="B96" s="244">
        <f t="shared" si="5"/>
        <v>0</v>
      </c>
      <c r="C96" s="244">
        <f t="shared" si="6"/>
        <v>0</v>
      </c>
      <c r="D96" s="38">
        <v>85.0</v>
      </c>
      <c r="E96" s="243"/>
      <c r="F96" s="239"/>
      <c r="G96" s="240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2.0" customHeight="1">
      <c r="A97" s="244">
        <f t="shared" si="4"/>
        <v>0</v>
      </c>
      <c r="B97" s="244">
        <f t="shared" si="5"/>
        <v>0</v>
      </c>
      <c r="C97" s="244">
        <f t="shared" si="6"/>
        <v>0</v>
      </c>
      <c r="D97" s="38">
        <v>86.0</v>
      </c>
      <c r="E97" s="243"/>
      <c r="F97" s="239"/>
      <c r="G97" s="240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2.0" customHeight="1">
      <c r="A98" s="244">
        <f t="shared" si="4"/>
        <v>0</v>
      </c>
      <c r="B98" s="244">
        <f t="shared" si="5"/>
        <v>0</v>
      </c>
      <c r="C98" s="244">
        <f t="shared" si="6"/>
        <v>0</v>
      </c>
      <c r="D98" s="38">
        <v>87.0</v>
      </c>
      <c r="E98" s="243"/>
      <c r="F98" s="239"/>
      <c r="G98" s="240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2.0" customHeight="1">
      <c r="A99" s="244">
        <f t="shared" si="4"/>
        <v>0</v>
      </c>
      <c r="B99" s="244">
        <f t="shared" si="5"/>
        <v>0</v>
      </c>
      <c r="C99" s="244">
        <f t="shared" si="6"/>
        <v>0</v>
      </c>
      <c r="D99" s="38">
        <v>88.0</v>
      </c>
      <c r="E99" s="243"/>
      <c r="F99" s="239"/>
      <c r="G99" s="240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2.0" customHeight="1">
      <c r="A100" s="244">
        <f t="shared" si="4"/>
        <v>0</v>
      </c>
      <c r="B100" s="244">
        <f t="shared" si="5"/>
        <v>0</v>
      </c>
      <c r="C100" s="244">
        <f t="shared" si="6"/>
        <v>0</v>
      </c>
      <c r="D100" s="38">
        <v>89.0</v>
      </c>
      <c r="E100" s="243"/>
      <c r="F100" s="239"/>
      <c r="G100" s="240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2.0" customHeight="1">
      <c r="A101" s="244">
        <f t="shared" si="4"/>
        <v>0</v>
      </c>
      <c r="B101" s="244">
        <f t="shared" si="5"/>
        <v>0</v>
      </c>
      <c r="C101" s="244">
        <f t="shared" si="6"/>
        <v>0</v>
      </c>
      <c r="D101" s="38">
        <v>90.0</v>
      </c>
      <c r="E101" s="243"/>
      <c r="F101" s="239"/>
      <c r="G101" s="240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2.0" customHeight="1">
      <c r="A102" s="244">
        <f t="shared" si="4"/>
        <v>0</v>
      </c>
      <c r="B102" s="244">
        <f t="shared" si="5"/>
        <v>0</v>
      </c>
      <c r="C102" s="244">
        <f t="shared" si="6"/>
        <v>0</v>
      </c>
      <c r="D102" s="38">
        <v>91.0</v>
      </c>
      <c r="E102" s="243"/>
      <c r="F102" s="239"/>
      <c r="G102" s="240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2.0" customHeight="1">
      <c r="A103" s="244">
        <f t="shared" si="4"/>
        <v>0</v>
      </c>
      <c r="B103" s="244">
        <f t="shared" si="5"/>
        <v>0</v>
      </c>
      <c r="C103" s="244">
        <f t="shared" si="6"/>
        <v>0</v>
      </c>
      <c r="D103" s="38">
        <v>92.0</v>
      </c>
      <c r="E103" s="243"/>
      <c r="F103" s="239"/>
      <c r="G103" s="240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2.0" customHeight="1">
      <c r="A104" s="244">
        <f t="shared" si="4"/>
        <v>0</v>
      </c>
      <c r="B104" s="244">
        <f t="shared" si="5"/>
        <v>0</v>
      </c>
      <c r="C104" s="244">
        <f t="shared" si="6"/>
        <v>0</v>
      </c>
      <c r="D104" s="38">
        <v>93.0</v>
      </c>
      <c r="E104" s="243"/>
      <c r="F104" s="239"/>
      <c r="G104" s="240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2.0" customHeight="1">
      <c r="A105" s="244">
        <f t="shared" si="4"/>
        <v>0</v>
      </c>
      <c r="B105" s="244">
        <f t="shared" si="5"/>
        <v>0</v>
      </c>
      <c r="C105" s="244">
        <f t="shared" si="6"/>
        <v>0</v>
      </c>
      <c r="D105" s="38">
        <v>94.0</v>
      </c>
      <c r="E105" s="243"/>
      <c r="F105" s="239"/>
      <c r="G105" s="240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2.0" customHeight="1">
      <c r="A106" s="244">
        <f t="shared" si="4"/>
        <v>0</v>
      </c>
      <c r="B106" s="244">
        <f t="shared" si="5"/>
        <v>0</v>
      </c>
      <c r="C106" s="244">
        <f t="shared" si="6"/>
        <v>0</v>
      </c>
      <c r="D106" s="38">
        <v>95.0</v>
      </c>
      <c r="E106" s="243"/>
      <c r="F106" s="239"/>
      <c r="G106" s="240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2.0" customHeight="1">
      <c r="A107" s="244">
        <f t="shared" si="4"/>
        <v>0</v>
      </c>
      <c r="B107" s="244">
        <f t="shared" si="5"/>
        <v>0</v>
      </c>
      <c r="C107" s="244">
        <f t="shared" si="6"/>
        <v>0</v>
      </c>
      <c r="D107" s="38">
        <v>96.0</v>
      </c>
      <c r="E107" s="243"/>
      <c r="F107" s="239"/>
      <c r="G107" s="240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2.0" customHeight="1">
      <c r="A108" s="244">
        <f t="shared" si="4"/>
        <v>0</v>
      </c>
      <c r="B108" s="244">
        <f t="shared" si="5"/>
        <v>0</v>
      </c>
      <c r="C108" s="244">
        <f t="shared" si="6"/>
        <v>0</v>
      </c>
      <c r="D108" s="38">
        <v>97.0</v>
      </c>
      <c r="E108" s="243"/>
      <c r="F108" s="239"/>
      <c r="G108" s="240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2.0" customHeight="1">
      <c r="A109" s="244">
        <f t="shared" si="4"/>
        <v>0</v>
      </c>
      <c r="B109" s="244">
        <f t="shared" si="5"/>
        <v>0</v>
      </c>
      <c r="C109" s="244">
        <f t="shared" si="6"/>
        <v>0</v>
      </c>
      <c r="D109" s="38">
        <v>98.0</v>
      </c>
      <c r="E109" s="243"/>
      <c r="F109" s="239"/>
      <c r="G109" s="240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2.0" customHeight="1">
      <c r="A110" s="244">
        <f t="shared" si="4"/>
        <v>0</v>
      </c>
      <c r="B110" s="244">
        <f t="shared" si="5"/>
        <v>0</v>
      </c>
      <c r="C110" s="244">
        <f t="shared" si="6"/>
        <v>0</v>
      </c>
      <c r="D110" s="38">
        <v>99.0</v>
      </c>
      <c r="E110" s="243"/>
      <c r="F110" s="239"/>
      <c r="G110" s="240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2.0" customHeight="1">
      <c r="A111" s="244">
        <f t="shared" si="4"/>
        <v>0</v>
      </c>
      <c r="B111" s="244">
        <f t="shared" si="5"/>
        <v>0</v>
      </c>
      <c r="C111" s="244">
        <f t="shared" si="6"/>
        <v>0</v>
      </c>
      <c r="D111" s="38">
        <v>100.0</v>
      </c>
      <c r="E111" s="243"/>
      <c r="F111" s="239"/>
      <c r="G111" s="240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2.0" customHeight="1">
      <c r="A112" s="244">
        <f t="shared" si="4"/>
        <v>0</v>
      </c>
      <c r="B112" s="244">
        <f t="shared" si="5"/>
        <v>0</v>
      </c>
      <c r="C112" s="244">
        <f t="shared" si="6"/>
        <v>0</v>
      </c>
      <c r="D112" s="38">
        <v>101.0</v>
      </c>
      <c r="E112" s="243"/>
      <c r="F112" s="239"/>
      <c r="G112" s="240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2.0" customHeight="1">
      <c r="A113" s="244">
        <f t="shared" si="4"/>
        <v>0</v>
      </c>
      <c r="B113" s="244">
        <f t="shared" si="5"/>
        <v>0</v>
      </c>
      <c r="C113" s="244">
        <f t="shared" si="6"/>
        <v>0</v>
      </c>
      <c r="D113" s="38">
        <v>102.0</v>
      </c>
      <c r="E113" s="243"/>
      <c r="F113" s="239"/>
      <c r="G113" s="240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2.0" customHeight="1">
      <c r="A114" s="244">
        <f t="shared" si="4"/>
        <v>0</v>
      </c>
      <c r="B114" s="244">
        <f t="shared" si="5"/>
        <v>0</v>
      </c>
      <c r="C114" s="244">
        <f t="shared" si="6"/>
        <v>0</v>
      </c>
      <c r="D114" s="38">
        <v>103.0</v>
      </c>
      <c r="E114" s="243"/>
      <c r="F114" s="239"/>
      <c r="G114" s="240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2.0" customHeight="1">
      <c r="A115" s="244">
        <f t="shared" si="4"/>
        <v>0</v>
      </c>
      <c r="B115" s="244">
        <f t="shared" si="5"/>
        <v>0</v>
      </c>
      <c r="C115" s="244">
        <f t="shared" si="6"/>
        <v>0</v>
      </c>
      <c r="D115" s="38">
        <v>104.0</v>
      </c>
      <c r="E115" s="243"/>
      <c r="F115" s="239"/>
      <c r="G115" s="240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2.0" customHeight="1">
      <c r="A116" s="244">
        <f t="shared" si="4"/>
        <v>0</v>
      </c>
      <c r="B116" s="244">
        <f t="shared" si="5"/>
        <v>0</v>
      </c>
      <c r="C116" s="244">
        <f t="shared" si="6"/>
        <v>0</v>
      </c>
      <c r="D116" s="38">
        <v>105.0</v>
      </c>
      <c r="E116" s="243"/>
      <c r="F116" s="239"/>
      <c r="G116" s="240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2.0" customHeight="1">
      <c r="A117" s="244">
        <f t="shared" si="4"/>
        <v>0</v>
      </c>
      <c r="B117" s="244">
        <f t="shared" si="5"/>
        <v>0</v>
      </c>
      <c r="C117" s="244">
        <f t="shared" si="6"/>
        <v>0</v>
      </c>
      <c r="D117" s="38">
        <v>106.0</v>
      </c>
      <c r="E117" s="243"/>
      <c r="F117" s="239"/>
      <c r="G117" s="240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2.0" customHeight="1">
      <c r="A118" s="244">
        <f t="shared" si="4"/>
        <v>0</v>
      </c>
      <c r="B118" s="244">
        <f t="shared" si="5"/>
        <v>0</v>
      </c>
      <c r="C118" s="244">
        <f t="shared" si="6"/>
        <v>0</v>
      </c>
      <c r="D118" s="38">
        <v>107.0</v>
      </c>
      <c r="E118" s="243"/>
      <c r="F118" s="239"/>
      <c r="G118" s="240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2.0" customHeight="1">
      <c r="A119" s="244">
        <f t="shared" si="4"/>
        <v>0</v>
      </c>
      <c r="B119" s="244">
        <f t="shared" si="5"/>
        <v>0</v>
      </c>
      <c r="C119" s="244">
        <f t="shared" si="6"/>
        <v>0</v>
      </c>
      <c r="D119" s="38">
        <v>108.0</v>
      </c>
      <c r="E119" s="243"/>
      <c r="F119" s="239"/>
      <c r="G119" s="240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2.0" customHeight="1">
      <c r="A120" s="244">
        <f t="shared" si="4"/>
        <v>0</v>
      </c>
      <c r="B120" s="244">
        <f t="shared" si="5"/>
        <v>0</v>
      </c>
      <c r="C120" s="244">
        <f t="shared" si="6"/>
        <v>0</v>
      </c>
      <c r="D120" s="38">
        <v>109.0</v>
      </c>
      <c r="E120" s="243"/>
      <c r="F120" s="239"/>
      <c r="G120" s="240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2.0" customHeight="1">
      <c r="A121" s="244">
        <f t="shared" si="4"/>
        <v>0</v>
      </c>
      <c r="B121" s="244">
        <f t="shared" si="5"/>
        <v>0</v>
      </c>
      <c r="C121" s="244">
        <f t="shared" si="6"/>
        <v>0</v>
      </c>
      <c r="D121" s="38">
        <v>110.0</v>
      </c>
      <c r="E121" s="243"/>
      <c r="F121" s="239"/>
      <c r="G121" s="240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2.0" customHeight="1">
      <c r="A122" s="244">
        <f t="shared" si="4"/>
        <v>0</v>
      </c>
      <c r="B122" s="244">
        <f t="shared" si="5"/>
        <v>0</v>
      </c>
      <c r="C122" s="244">
        <f t="shared" si="6"/>
        <v>0</v>
      </c>
      <c r="D122" s="38">
        <v>111.0</v>
      </c>
      <c r="E122" s="243"/>
      <c r="F122" s="239"/>
      <c r="G122" s="240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2.0" customHeight="1">
      <c r="A123" s="244">
        <f t="shared" si="4"/>
        <v>0</v>
      </c>
      <c r="B123" s="244">
        <f t="shared" si="5"/>
        <v>0</v>
      </c>
      <c r="C123" s="244">
        <f t="shared" si="6"/>
        <v>0</v>
      </c>
      <c r="D123" s="38">
        <v>112.0</v>
      </c>
      <c r="E123" s="243"/>
      <c r="F123" s="239"/>
      <c r="G123" s="240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2.0" customHeight="1">
      <c r="A124" s="244">
        <f t="shared" si="4"/>
        <v>0</v>
      </c>
      <c r="B124" s="244">
        <f t="shared" si="5"/>
        <v>0</v>
      </c>
      <c r="C124" s="244">
        <f t="shared" si="6"/>
        <v>0</v>
      </c>
      <c r="D124" s="38">
        <v>113.0</v>
      </c>
      <c r="E124" s="243"/>
      <c r="F124" s="239"/>
      <c r="G124" s="240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2.0" customHeight="1">
      <c r="A125" s="244">
        <f t="shared" si="4"/>
        <v>0</v>
      </c>
      <c r="B125" s="244">
        <f t="shared" si="5"/>
        <v>0</v>
      </c>
      <c r="C125" s="244">
        <f t="shared" si="6"/>
        <v>0</v>
      </c>
      <c r="D125" s="38">
        <v>114.0</v>
      </c>
      <c r="E125" s="243"/>
      <c r="F125" s="239"/>
      <c r="G125" s="240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2.0" customHeight="1">
      <c r="A126" s="244">
        <f t="shared" si="4"/>
        <v>0</v>
      </c>
      <c r="B126" s="244">
        <f t="shared" si="5"/>
        <v>0</v>
      </c>
      <c r="C126" s="244">
        <f t="shared" si="6"/>
        <v>0</v>
      </c>
      <c r="D126" s="38">
        <v>115.0</v>
      </c>
      <c r="E126" s="243"/>
      <c r="F126" s="239"/>
      <c r="G126" s="240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2.0" customHeight="1">
      <c r="A127" s="244">
        <f t="shared" si="4"/>
        <v>0</v>
      </c>
      <c r="B127" s="244">
        <f t="shared" si="5"/>
        <v>0</v>
      </c>
      <c r="C127" s="244">
        <f t="shared" si="6"/>
        <v>0</v>
      </c>
      <c r="D127" s="38">
        <v>116.0</v>
      </c>
      <c r="E127" s="243"/>
      <c r="F127" s="239"/>
      <c r="G127" s="240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2.0" customHeight="1">
      <c r="A128" s="244">
        <f t="shared" si="4"/>
        <v>0</v>
      </c>
      <c r="B128" s="244">
        <f t="shared" si="5"/>
        <v>0</v>
      </c>
      <c r="C128" s="244">
        <f t="shared" si="6"/>
        <v>0</v>
      </c>
      <c r="D128" s="38">
        <v>117.0</v>
      </c>
      <c r="E128" s="243"/>
      <c r="F128" s="239"/>
      <c r="G128" s="240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2.0" customHeight="1">
      <c r="A129" s="244">
        <f t="shared" si="4"/>
        <v>0</v>
      </c>
      <c r="B129" s="244">
        <f t="shared" si="5"/>
        <v>0</v>
      </c>
      <c r="C129" s="244">
        <f t="shared" si="6"/>
        <v>0</v>
      </c>
      <c r="D129" s="38">
        <v>118.0</v>
      </c>
      <c r="E129" s="243"/>
      <c r="F129" s="239"/>
      <c r="G129" s="240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2.0" customHeight="1">
      <c r="A130" s="244">
        <f t="shared" si="4"/>
        <v>0</v>
      </c>
      <c r="B130" s="244">
        <f t="shared" si="5"/>
        <v>0</v>
      </c>
      <c r="C130" s="244">
        <f t="shared" si="6"/>
        <v>0</v>
      </c>
      <c r="D130" s="38">
        <v>119.0</v>
      </c>
      <c r="E130" s="243"/>
      <c r="F130" s="239"/>
      <c r="G130" s="240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2.0" customHeight="1">
      <c r="A131" s="244">
        <f t="shared" si="4"/>
        <v>0</v>
      </c>
      <c r="B131" s="244">
        <f t="shared" si="5"/>
        <v>0</v>
      </c>
      <c r="C131" s="244">
        <f t="shared" si="6"/>
        <v>0</v>
      </c>
      <c r="D131" s="38">
        <v>120.0</v>
      </c>
      <c r="E131" s="243"/>
      <c r="F131" s="239"/>
      <c r="G131" s="240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2.0" customHeight="1">
      <c r="A132" s="244">
        <f t="shared" si="4"/>
        <v>0</v>
      </c>
      <c r="B132" s="244">
        <f t="shared" si="5"/>
        <v>0</v>
      </c>
      <c r="C132" s="244">
        <f t="shared" si="6"/>
        <v>0</v>
      </c>
      <c r="D132" s="38">
        <v>121.0</v>
      </c>
      <c r="E132" s="243"/>
      <c r="F132" s="239"/>
      <c r="G132" s="240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2.0" customHeight="1">
      <c r="A133" s="244">
        <f t="shared" si="4"/>
        <v>0</v>
      </c>
      <c r="B133" s="244">
        <f t="shared" si="5"/>
        <v>0</v>
      </c>
      <c r="C133" s="244">
        <f t="shared" si="6"/>
        <v>0</v>
      </c>
      <c r="D133" s="38">
        <v>122.0</v>
      </c>
      <c r="E133" s="243"/>
      <c r="F133" s="239"/>
      <c r="G133" s="240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2.0" customHeight="1">
      <c r="A134" s="244">
        <f t="shared" si="4"/>
        <v>0</v>
      </c>
      <c r="B134" s="244">
        <f t="shared" si="5"/>
        <v>0</v>
      </c>
      <c r="C134" s="244">
        <f t="shared" si="6"/>
        <v>0</v>
      </c>
      <c r="D134" s="38">
        <v>123.0</v>
      </c>
      <c r="E134" s="243"/>
      <c r="F134" s="239"/>
      <c r="G134" s="240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2.0" customHeight="1">
      <c r="A135" s="244">
        <f t="shared" si="4"/>
        <v>0</v>
      </c>
      <c r="B135" s="244">
        <f t="shared" si="5"/>
        <v>0</v>
      </c>
      <c r="C135" s="244">
        <f t="shared" si="6"/>
        <v>0</v>
      </c>
      <c r="D135" s="38">
        <v>124.0</v>
      </c>
      <c r="E135" s="243"/>
      <c r="F135" s="239"/>
      <c r="G135" s="240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2.0" customHeight="1">
      <c r="A136" s="244">
        <f t="shared" si="4"/>
        <v>0</v>
      </c>
      <c r="B136" s="244">
        <f t="shared" si="5"/>
        <v>0</v>
      </c>
      <c r="C136" s="244">
        <f t="shared" si="6"/>
        <v>0</v>
      </c>
      <c r="D136" s="38">
        <v>125.0</v>
      </c>
      <c r="E136" s="243"/>
      <c r="F136" s="239"/>
      <c r="G136" s="240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2.0" customHeight="1">
      <c r="A137" s="244">
        <f t="shared" si="4"/>
        <v>0</v>
      </c>
      <c r="B137" s="244">
        <f t="shared" si="5"/>
        <v>0</v>
      </c>
      <c r="C137" s="244">
        <f t="shared" si="6"/>
        <v>0</v>
      </c>
      <c r="D137" s="38">
        <v>126.0</v>
      </c>
      <c r="E137" s="243"/>
      <c r="F137" s="239"/>
      <c r="G137" s="240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2.0" customHeight="1">
      <c r="A138" s="244">
        <f t="shared" si="4"/>
        <v>0</v>
      </c>
      <c r="B138" s="244">
        <f t="shared" si="5"/>
        <v>0</v>
      </c>
      <c r="C138" s="244">
        <f t="shared" si="6"/>
        <v>0</v>
      </c>
      <c r="D138" s="38">
        <v>127.0</v>
      </c>
      <c r="E138" s="243"/>
      <c r="F138" s="239"/>
      <c r="G138" s="240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2.0" customHeight="1">
      <c r="A139" s="244">
        <f t="shared" si="4"/>
        <v>0</v>
      </c>
      <c r="B139" s="244">
        <f t="shared" si="5"/>
        <v>0</v>
      </c>
      <c r="C139" s="244">
        <f t="shared" si="6"/>
        <v>0</v>
      </c>
      <c r="D139" s="38">
        <v>128.0</v>
      </c>
      <c r="E139" s="243"/>
      <c r="F139" s="239"/>
      <c r="G139" s="240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2.0" customHeight="1">
      <c r="A140" s="244">
        <f t="shared" si="4"/>
        <v>0</v>
      </c>
      <c r="B140" s="244">
        <f t="shared" si="5"/>
        <v>0</v>
      </c>
      <c r="C140" s="244">
        <f t="shared" si="6"/>
        <v>0</v>
      </c>
      <c r="D140" s="38">
        <v>129.0</v>
      </c>
      <c r="E140" s="243"/>
      <c r="F140" s="239"/>
      <c r="G140" s="240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2.0" customHeight="1">
      <c r="A141" s="244">
        <f t="shared" si="4"/>
        <v>0</v>
      </c>
      <c r="B141" s="244">
        <f t="shared" si="5"/>
        <v>0</v>
      </c>
      <c r="C141" s="244">
        <f t="shared" si="6"/>
        <v>0</v>
      </c>
      <c r="D141" s="38">
        <v>130.0</v>
      </c>
      <c r="E141" s="243"/>
      <c r="F141" s="239"/>
      <c r="G141" s="240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2.0" customHeight="1">
      <c r="A142" s="244">
        <f t="shared" si="4"/>
        <v>0</v>
      </c>
      <c r="B142" s="244">
        <f t="shared" si="5"/>
        <v>0</v>
      </c>
      <c r="C142" s="244">
        <f t="shared" si="6"/>
        <v>0</v>
      </c>
      <c r="D142" s="38">
        <v>131.0</v>
      </c>
      <c r="E142" s="243"/>
      <c r="F142" s="239"/>
      <c r="G142" s="240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2.0" customHeight="1">
      <c r="A143" s="244">
        <f t="shared" si="4"/>
        <v>0</v>
      </c>
      <c r="B143" s="244">
        <f t="shared" si="5"/>
        <v>0</v>
      </c>
      <c r="C143" s="244">
        <f t="shared" si="6"/>
        <v>0</v>
      </c>
      <c r="D143" s="38">
        <v>132.0</v>
      </c>
      <c r="E143" s="243"/>
      <c r="F143" s="239"/>
      <c r="G143" s="240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2.0" customHeight="1">
      <c r="A144" s="244">
        <f t="shared" si="4"/>
        <v>0</v>
      </c>
      <c r="B144" s="244">
        <f t="shared" si="5"/>
        <v>0</v>
      </c>
      <c r="C144" s="244">
        <f t="shared" si="6"/>
        <v>0</v>
      </c>
      <c r="D144" s="38">
        <v>133.0</v>
      </c>
      <c r="E144" s="243"/>
      <c r="F144" s="239"/>
      <c r="G144" s="240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2.0" customHeight="1">
      <c r="A145" s="244">
        <f t="shared" si="4"/>
        <v>0</v>
      </c>
      <c r="B145" s="244">
        <f t="shared" si="5"/>
        <v>0</v>
      </c>
      <c r="C145" s="244">
        <f t="shared" si="6"/>
        <v>0</v>
      </c>
      <c r="D145" s="38">
        <v>134.0</v>
      </c>
      <c r="E145" s="243"/>
      <c r="F145" s="239"/>
      <c r="G145" s="240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2.0" customHeight="1">
      <c r="A146" s="244">
        <f t="shared" si="4"/>
        <v>0</v>
      </c>
      <c r="B146" s="244">
        <f t="shared" si="5"/>
        <v>0</v>
      </c>
      <c r="C146" s="244">
        <f t="shared" si="6"/>
        <v>0</v>
      </c>
      <c r="D146" s="38">
        <v>135.0</v>
      </c>
      <c r="E146" s="243"/>
      <c r="F146" s="239"/>
      <c r="G146" s="240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2.0" customHeight="1">
      <c r="A147" s="244">
        <f t="shared" si="4"/>
        <v>0</v>
      </c>
      <c r="B147" s="244">
        <f t="shared" si="5"/>
        <v>0</v>
      </c>
      <c r="C147" s="244">
        <f t="shared" si="6"/>
        <v>0</v>
      </c>
      <c r="D147" s="38">
        <v>136.0</v>
      </c>
      <c r="E147" s="243"/>
      <c r="F147" s="239"/>
      <c r="G147" s="240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2.0" customHeight="1">
      <c r="A148" s="244">
        <f t="shared" si="4"/>
        <v>0</v>
      </c>
      <c r="B148" s="244">
        <f t="shared" si="5"/>
        <v>0</v>
      </c>
      <c r="C148" s="244">
        <f t="shared" si="6"/>
        <v>0</v>
      </c>
      <c r="D148" s="38">
        <v>137.0</v>
      </c>
      <c r="E148" s="243"/>
      <c r="F148" s="239"/>
      <c r="G148" s="240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2.0" customHeight="1">
      <c r="A149" s="244">
        <f t="shared" si="4"/>
        <v>0</v>
      </c>
      <c r="B149" s="244">
        <f t="shared" si="5"/>
        <v>0</v>
      </c>
      <c r="C149" s="244">
        <f t="shared" si="6"/>
        <v>0</v>
      </c>
      <c r="D149" s="38">
        <v>138.0</v>
      </c>
      <c r="E149" s="243"/>
      <c r="F149" s="239"/>
      <c r="G149" s="240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2.0" customHeight="1">
      <c r="A150" s="244">
        <f t="shared" si="4"/>
        <v>0</v>
      </c>
      <c r="B150" s="244">
        <f t="shared" si="5"/>
        <v>0</v>
      </c>
      <c r="C150" s="244">
        <f t="shared" si="6"/>
        <v>0</v>
      </c>
      <c r="D150" s="38">
        <v>139.0</v>
      </c>
      <c r="E150" s="243"/>
      <c r="F150" s="239"/>
      <c r="G150" s="240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2.0" customHeight="1">
      <c r="A151" s="244">
        <f t="shared" si="4"/>
        <v>0</v>
      </c>
      <c r="B151" s="244">
        <f t="shared" si="5"/>
        <v>0</v>
      </c>
      <c r="C151" s="244">
        <f t="shared" si="6"/>
        <v>0</v>
      </c>
      <c r="D151" s="38">
        <v>140.0</v>
      </c>
      <c r="E151" s="243"/>
      <c r="F151" s="239"/>
      <c r="G151" s="240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2.0" customHeight="1">
      <c r="A152" s="244">
        <f t="shared" si="4"/>
        <v>0</v>
      </c>
      <c r="B152" s="244">
        <f t="shared" si="5"/>
        <v>0</v>
      </c>
      <c r="C152" s="244">
        <f t="shared" si="6"/>
        <v>0</v>
      </c>
      <c r="D152" s="38">
        <v>141.0</v>
      </c>
      <c r="E152" s="243"/>
      <c r="F152" s="239"/>
      <c r="G152" s="240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2.0" customHeight="1">
      <c r="A153" s="244">
        <f t="shared" si="4"/>
        <v>0</v>
      </c>
      <c r="B153" s="244">
        <f t="shared" si="5"/>
        <v>0</v>
      </c>
      <c r="C153" s="244">
        <f t="shared" si="6"/>
        <v>0</v>
      </c>
      <c r="D153" s="38">
        <v>142.0</v>
      </c>
      <c r="E153" s="243"/>
      <c r="F153" s="239"/>
      <c r="G153" s="240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2.0" customHeight="1">
      <c r="A154" s="244">
        <f t="shared" si="4"/>
        <v>0</v>
      </c>
      <c r="B154" s="244">
        <f t="shared" si="5"/>
        <v>0</v>
      </c>
      <c r="C154" s="244">
        <f t="shared" si="6"/>
        <v>0</v>
      </c>
      <c r="D154" s="38">
        <v>143.0</v>
      </c>
      <c r="E154" s="243"/>
      <c r="F154" s="239"/>
      <c r="G154" s="240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2.0" customHeight="1">
      <c r="A155" s="244">
        <f t="shared" si="4"/>
        <v>0</v>
      </c>
      <c r="B155" s="244">
        <f t="shared" si="5"/>
        <v>0</v>
      </c>
      <c r="C155" s="244">
        <f t="shared" si="6"/>
        <v>0</v>
      </c>
      <c r="D155" s="38">
        <v>144.0</v>
      </c>
      <c r="E155" s="243"/>
      <c r="F155" s="239"/>
      <c r="G155" s="240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2.0" customHeight="1">
      <c r="A156" s="244">
        <f t="shared" si="4"/>
        <v>0</v>
      </c>
      <c r="B156" s="244">
        <f t="shared" si="5"/>
        <v>0</v>
      </c>
      <c r="C156" s="244">
        <f t="shared" si="6"/>
        <v>0</v>
      </c>
      <c r="D156" s="38">
        <v>145.0</v>
      </c>
      <c r="E156" s="243"/>
      <c r="F156" s="239"/>
      <c r="G156" s="240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2.0" customHeight="1">
      <c r="A157" s="244">
        <f t="shared" si="4"/>
        <v>0</v>
      </c>
      <c r="B157" s="244">
        <f t="shared" si="5"/>
        <v>0</v>
      </c>
      <c r="C157" s="244">
        <f t="shared" si="6"/>
        <v>0</v>
      </c>
      <c r="D157" s="38">
        <v>146.0</v>
      </c>
      <c r="E157" s="243"/>
      <c r="F157" s="239"/>
      <c r="G157" s="240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2.0" customHeight="1">
      <c r="A158" s="244">
        <f t="shared" si="4"/>
        <v>0</v>
      </c>
      <c r="B158" s="244">
        <f t="shared" si="5"/>
        <v>0</v>
      </c>
      <c r="C158" s="244">
        <f t="shared" si="6"/>
        <v>0</v>
      </c>
      <c r="D158" s="38">
        <v>147.0</v>
      </c>
      <c r="E158" s="243"/>
      <c r="F158" s="239"/>
      <c r="G158" s="240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2.0" customHeight="1">
      <c r="A159" s="244">
        <f t="shared" si="4"/>
        <v>0</v>
      </c>
      <c r="B159" s="244">
        <f t="shared" si="5"/>
        <v>0</v>
      </c>
      <c r="C159" s="244">
        <f t="shared" si="6"/>
        <v>0</v>
      </c>
      <c r="D159" s="38">
        <v>148.0</v>
      </c>
      <c r="E159" s="243"/>
      <c r="F159" s="239"/>
      <c r="G159" s="240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2.0" customHeight="1">
      <c r="A160" s="244">
        <f t="shared" si="4"/>
        <v>0</v>
      </c>
      <c r="B160" s="244">
        <f t="shared" si="5"/>
        <v>0</v>
      </c>
      <c r="C160" s="244">
        <f t="shared" si="6"/>
        <v>0</v>
      </c>
      <c r="D160" s="38">
        <v>149.0</v>
      </c>
      <c r="E160" s="243"/>
      <c r="F160" s="239"/>
      <c r="G160" s="240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2.0" customHeight="1">
      <c r="A161" s="244">
        <f t="shared" si="4"/>
        <v>0</v>
      </c>
      <c r="B161" s="244">
        <f t="shared" si="5"/>
        <v>0</v>
      </c>
      <c r="C161" s="244">
        <f t="shared" si="6"/>
        <v>0</v>
      </c>
      <c r="D161" s="38">
        <v>150.0</v>
      </c>
      <c r="E161" s="243"/>
      <c r="F161" s="239"/>
      <c r="G161" s="240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2.0" customHeight="1">
      <c r="A162" s="244">
        <f t="shared" si="4"/>
        <v>0</v>
      </c>
      <c r="B162" s="244">
        <f t="shared" si="5"/>
        <v>0</v>
      </c>
      <c r="C162" s="244">
        <f t="shared" si="6"/>
        <v>0</v>
      </c>
      <c r="D162" s="38">
        <v>151.0</v>
      </c>
      <c r="E162" s="243"/>
      <c r="F162" s="239"/>
      <c r="G162" s="240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2.0" customHeight="1">
      <c r="A163" s="244">
        <f t="shared" si="4"/>
        <v>0</v>
      </c>
      <c r="B163" s="244">
        <f t="shared" si="5"/>
        <v>0</v>
      </c>
      <c r="C163" s="244">
        <f t="shared" si="6"/>
        <v>0</v>
      </c>
      <c r="D163" s="38">
        <v>152.0</v>
      </c>
      <c r="E163" s="243"/>
      <c r="F163" s="239"/>
      <c r="G163" s="240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2.0" customHeight="1">
      <c r="A164" s="244">
        <f t="shared" si="4"/>
        <v>0</v>
      </c>
      <c r="B164" s="244">
        <f t="shared" si="5"/>
        <v>0</v>
      </c>
      <c r="C164" s="244">
        <f t="shared" si="6"/>
        <v>0</v>
      </c>
      <c r="D164" s="38">
        <v>153.0</v>
      </c>
      <c r="E164" s="243"/>
      <c r="F164" s="239"/>
      <c r="G164" s="240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2.0" customHeight="1">
      <c r="A165" s="244">
        <f t="shared" si="4"/>
        <v>0</v>
      </c>
      <c r="B165" s="244">
        <f t="shared" si="5"/>
        <v>0</v>
      </c>
      <c r="C165" s="244">
        <f t="shared" si="6"/>
        <v>0</v>
      </c>
      <c r="D165" s="38">
        <v>154.0</v>
      </c>
      <c r="E165" s="243"/>
      <c r="F165" s="239"/>
      <c r="G165" s="240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2.0" customHeight="1">
      <c r="A166" s="244">
        <f t="shared" si="4"/>
        <v>0</v>
      </c>
      <c r="B166" s="244">
        <f t="shared" si="5"/>
        <v>0</v>
      </c>
      <c r="C166" s="244">
        <f t="shared" si="6"/>
        <v>0</v>
      </c>
      <c r="D166" s="38">
        <v>155.0</v>
      </c>
      <c r="E166" s="243"/>
      <c r="F166" s="239"/>
      <c r="G166" s="240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2.0" customHeight="1">
      <c r="A167" s="244">
        <f t="shared" si="4"/>
        <v>0</v>
      </c>
      <c r="B167" s="244">
        <f t="shared" si="5"/>
        <v>0</v>
      </c>
      <c r="C167" s="244">
        <f t="shared" si="6"/>
        <v>0</v>
      </c>
      <c r="D167" s="38">
        <v>156.0</v>
      </c>
      <c r="E167" s="243"/>
      <c r="F167" s="239"/>
      <c r="G167" s="240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2.0" customHeight="1">
      <c r="A168" s="244">
        <f t="shared" si="4"/>
        <v>0</v>
      </c>
      <c r="B168" s="244">
        <f t="shared" si="5"/>
        <v>0</v>
      </c>
      <c r="C168" s="244">
        <f t="shared" si="6"/>
        <v>0</v>
      </c>
      <c r="D168" s="38">
        <v>157.0</v>
      </c>
      <c r="E168" s="243"/>
      <c r="F168" s="239"/>
      <c r="G168" s="240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2.0" customHeight="1">
      <c r="A169" s="244">
        <f t="shared" si="4"/>
        <v>0</v>
      </c>
      <c r="B169" s="244">
        <f t="shared" si="5"/>
        <v>0</v>
      </c>
      <c r="C169" s="244">
        <f t="shared" si="6"/>
        <v>0</v>
      </c>
      <c r="D169" s="38">
        <v>158.0</v>
      </c>
      <c r="E169" s="243"/>
      <c r="F169" s="239"/>
      <c r="G169" s="240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2.0" customHeight="1">
      <c r="A170" s="244">
        <f t="shared" si="4"/>
        <v>0</v>
      </c>
      <c r="B170" s="244">
        <f t="shared" si="5"/>
        <v>0</v>
      </c>
      <c r="C170" s="244">
        <f t="shared" si="6"/>
        <v>0</v>
      </c>
      <c r="D170" s="38">
        <v>159.0</v>
      </c>
      <c r="E170" s="243"/>
      <c r="F170" s="239"/>
      <c r="G170" s="240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2.0" customHeight="1">
      <c r="A171" s="244">
        <f t="shared" si="4"/>
        <v>0</v>
      </c>
      <c r="B171" s="244">
        <f t="shared" si="5"/>
        <v>0</v>
      </c>
      <c r="C171" s="244">
        <f t="shared" si="6"/>
        <v>0</v>
      </c>
      <c r="D171" s="38">
        <v>160.0</v>
      </c>
      <c r="E171" s="243"/>
      <c r="F171" s="239"/>
      <c r="G171" s="240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2.0" customHeight="1">
      <c r="A172" s="244">
        <f t="shared" si="4"/>
        <v>0</v>
      </c>
      <c r="B172" s="244">
        <f t="shared" si="5"/>
        <v>0</v>
      </c>
      <c r="C172" s="244">
        <f t="shared" si="6"/>
        <v>0</v>
      </c>
      <c r="D172" s="38">
        <v>161.0</v>
      </c>
      <c r="E172" s="243"/>
      <c r="F172" s="239"/>
      <c r="G172" s="240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2.0" customHeight="1">
      <c r="A173" s="244">
        <f t="shared" si="4"/>
        <v>0</v>
      </c>
      <c r="B173" s="244">
        <f t="shared" si="5"/>
        <v>0</v>
      </c>
      <c r="C173" s="244">
        <f t="shared" si="6"/>
        <v>0</v>
      </c>
      <c r="D173" s="38">
        <v>162.0</v>
      </c>
      <c r="E173" s="243"/>
      <c r="F173" s="239"/>
      <c r="G173" s="240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2.0" customHeight="1">
      <c r="A174" s="244">
        <f t="shared" si="4"/>
        <v>0</v>
      </c>
      <c r="B174" s="244">
        <f t="shared" si="5"/>
        <v>0</v>
      </c>
      <c r="C174" s="244">
        <f t="shared" si="6"/>
        <v>0</v>
      </c>
      <c r="D174" s="38">
        <v>163.0</v>
      </c>
      <c r="E174" s="243"/>
      <c r="F174" s="239"/>
      <c r="G174" s="240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2.0" customHeight="1">
      <c r="A175" s="244">
        <f t="shared" si="4"/>
        <v>0</v>
      </c>
      <c r="B175" s="244">
        <f t="shared" si="5"/>
        <v>0</v>
      </c>
      <c r="C175" s="244">
        <f t="shared" si="6"/>
        <v>0</v>
      </c>
      <c r="D175" s="38">
        <v>164.0</v>
      </c>
      <c r="E175" s="243"/>
      <c r="F175" s="239"/>
      <c r="G175" s="240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2.0" customHeight="1">
      <c r="A176" s="244">
        <f t="shared" si="4"/>
        <v>0</v>
      </c>
      <c r="B176" s="244">
        <f t="shared" si="5"/>
        <v>0</v>
      </c>
      <c r="C176" s="244">
        <f t="shared" si="6"/>
        <v>0</v>
      </c>
      <c r="D176" s="38">
        <v>165.0</v>
      </c>
      <c r="E176" s="243"/>
      <c r="F176" s="239"/>
      <c r="G176" s="240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2.0" customHeight="1">
      <c r="A177" s="244">
        <f t="shared" si="4"/>
        <v>0</v>
      </c>
      <c r="B177" s="244">
        <f t="shared" si="5"/>
        <v>0</v>
      </c>
      <c r="C177" s="244">
        <f t="shared" si="6"/>
        <v>0</v>
      </c>
      <c r="D177" s="38">
        <v>166.0</v>
      </c>
      <c r="E177" s="243"/>
      <c r="F177" s="239"/>
      <c r="G177" s="240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2.0" customHeight="1">
      <c r="A178" s="244">
        <f t="shared" si="4"/>
        <v>0</v>
      </c>
      <c r="B178" s="244">
        <f t="shared" si="5"/>
        <v>0</v>
      </c>
      <c r="C178" s="244">
        <f t="shared" si="6"/>
        <v>0</v>
      </c>
      <c r="D178" s="38">
        <v>167.0</v>
      </c>
      <c r="E178" s="243"/>
      <c r="F178" s="239"/>
      <c r="G178" s="240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2.0" customHeight="1">
      <c r="A179" s="244">
        <f t="shared" si="4"/>
        <v>0</v>
      </c>
      <c r="B179" s="244">
        <f t="shared" si="5"/>
        <v>0</v>
      </c>
      <c r="C179" s="244">
        <f t="shared" si="6"/>
        <v>0</v>
      </c>
      <c r="D179" s="38">
        <v>168.0</v>
      </c>
      <c r="E179" s="243"/>
      <c r="F179" s="239"/>
      <c r="G179" s="240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2.0" customHeight="1">
      <c r="A180" s="244">
        <f t="shared" si="4"/>
        <v>0</v>
      </c>
      <c r="B180" s="244">
        <f t="shared" si="5"/>
        <v>0</v>
      </c>
      <c r="C180" s="244">
        <f t="shared" si="6"/>
        <v>0</v>
      </c>
      <c r="D180" s="38">
        <v>169.0</v>
      </c>
      <c r="E180" s="243"/>
      <c r="F180" s="239"/>
      <c r="G180" s="240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2.0" customHeight="1">
      <c r="A181" s="244">
        <f t="shared" si="4"/>
        <v>0</v>
      </c>
      <c r="B181" s="244">
        <f t="shared" si="5"/>
        <v>0</v>
      </c>
      <c r="C181" s="244">
        <f t="shared" si="6"/>
        <v>0</v>
      </c>
      <c r="D181" s="38">
        <v>170.0</v>
      </c>
      <c r="E181" s="243"/>
      <c r="F181" s="239"/>
      <c r="G181" s="240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2.0" customHeight="1">
      <c r="A182" s="244">
        <f t="shared" si="4"/>
        <v>0</v>
      </c>
      <c r="B182" s="244">
        <f t="shared" si="5"/>
        <v>0</v>
      </c>
      <c r="C182" s="244">
        <f t="shared" si="6"/>
        <v>0</v>
      </c>
      <c r="D182" s="38">
        <v>171.0</v>
      </c>
      <c r="E182" s="243"/>
      <c r="F182" s="239"/>
      <c r="G182" s="240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2.0" customHeight="1">
      <c r="A183" s="244">
        <f t="shared" si="4"/>
        <v>0</v>
      </c>
      <c r="B183" s="244">
        <f t="shared" si="5"/>
        <v>0</v>
      </c>
      <c r="C183" s="244">
        <f t="shared" si="6"/>
        <v>0</v>
      </c>
      <c r="D183" s="38">
        <v>172.0</v>
      </c>
      <c r="E183" s="243"/>
      <c r="F183" s="239"/>
      <c r="G183" s="240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2.0" customHeight="1">
      <c r="A184" s="244">
        <f t="shared" si="4"/>
        <v>0</v>
      </c>
      <c r="B184" s="244">
        <f t="shared" si="5"/>
        <v>0</v>
      </c>
      <c r="C184" s="244">
        <f t="shared" si="6"/>
        <v>0</v>
      </c>
      <c r="D184" s="38">
        <v>173.0</v>
      </c>
      <c r="E184" s="243"/>
      <c r="F184" s="239"/>
      <c r="G184" s="240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2.0" customHeight="1">
      <c r="A185" s="244">
        <f t="shared" si="4"/>
        <v>0</v>
      </c>
      <c r="B185" s="244">
        <f t="shared" si="5"/>
        <v>0</v>
      </c>
      <c r="C185" s="244">
        <f t="shared" si="6"/>
        <v>0</v>
      </c>
      <c r="D185" s="38">
        <v>174.0</v>
      </c>
      <c r="E185" s="243"/>
      <c r="F185" s="239"/>
      <c r="G185" s="240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2.0" customHeight="1">
      <c r="A186" s="244">
        <f t="shared" si="4"/>
        <v>0</v>
      </c>
      <c r="B186" s="244">
        <f t="shared" si="5"/>
        <v>0</v>
      </c>
      <c r="C186" s="244">
        <f t="shared" si="6"/>
        <v>0</v>
      </c>
      <c r="D186" s="38">
        <v>175.0</v>
      </c>
      <c r="E186" s="243"/>
      <c r="F186" s="239"/>
      <c r="G186" s="240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2.0" customHeight="1">
      <c r="A187" s="244">
        <f t="shared" si="4"/>
        <v>0</v>
      </c>
      <c r="B187" s="244">
        <f t="shared" si="5"/>
        <v>0</v>
      </c>
      <c r="C187" s="244">
        <f t="shared" si="6"/>
        <v>0</v>
      </c>
      <c r="D187" s="38">
        <v>176.0</v>
      </c>
      <c r="E187" s="243"/>
      <c r="F187" s="239"/>
      <c r="G187" s="240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2.0" customHeight="1">
      <c r="A188" s="244">
        <f t="shared" si="4"/>
        <v>0</v>
      </c>
      <c r="B188" s="244">
        <f t="shared" si="5"/>
        <v>0</v>
      </c>
      <c r="C188" s="244">
        <f t="shared" si="6"/>
        <v>0</v>
      </c>
      <c r="D188" s="38">
        <v>177.0</v>
      </c>
      <c r="E188" s="243"/>
      <c r="F188" s="239"/>
      <c r="G188" s="240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2.0" customHeight="1">
      <c r="A189" s="244">
        <f t="shared" si="4"/>
        <v>0</v>
      </c>
      <c r="B189" s="244">
        <f t="shared" si="5"/>
        <v>0</v>
      </c>
      <c r="C189" s="244">
        <f t="shared" si="6"/>
        <v>0</v>
      </c>
      <c r="D189" s="38">
        <v>178.0</v>
      </c>
      <c r="E189" s="243"/>
      <c r="F189" s="239"/>
      <c r="G189" s="240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2.0" customHeight="1">
      <c r="A190" s="244">
        <f t="shared" si="4"/>
        <v>0</v>
      </c>
      <c r="B190" s="244">
        <f t="shared" si="5"/>
        <v>0</v>
      </c>
      <c r="C190" s="244">
        <f t="shared" si="6"/>
        <v>0</v>
      </c>
      <c r="D190" s="38">
        <v>179.0</v>
      </c>
      <c r="E190" s="243"/>
      <c r="F190" s="239"/>
      <c r="G190" s="240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2.0" customHeight="1">
      <c r="A191" s="244">
        <f t="shared" si="4"/>
        <v>0</v>
      </c>
      <c r="B191" s="244">
        <f t="shared" si="5"/>
        <v>0</v>
      </c>
      <c r="C191" s="244">
        <f t="shared" si="6"/>
        <v>0</v>
      </c>
      <c r="D191" s="38">
        <v>180.0</v>
      </c>
      <c r="E191" s="243"/>
      <c r="F191" s="239"/>
      <c r="G191" s="240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2.0" customHeight="1">
      <c r="A192" s="244">
        <f t="shared" si="4"/>
        <v>0</v>
      </c>
      <c r="B192" s="244">
        <f t="shared" si="5"/>
        <v>0</v>
      </c>
      <c r="C192" s="244">
        <f t="shared" si="6"/>
        <v>0</v>
      </c>
      <c r="D192" s="38">
        <v>181.0</v>
      </c>
      <c r="E192" s="243"/>
      <c r="F192" s="239"/>
      <c r="G192" s="240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2.0" customHeight="1">
      <c r="A193" s="244">
        <f t="shared" si="4"/>
        <v>0</v>
      </c>
      <c r="B193" s="244">
        <f t="shared" si="5"/>
        <v>0</v>
      </c>
      <c r="C193" s="244">
        <f t="shared" si="6"/>
        <v>0</v>
      </c>
      <c r="D193" s="38">
        <v>182.0</v>
      </c>
      <c r="E193" s="243"/>
      <c r="F193" s="239"/>
      <c r="G193" s="240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2.0" customHeight="1">
      <c r="A194" s="244">
        <f t="shared" si="4"/>
        <v>0</v>
      </c>
      <c r="B194" s="244">
        <f t="shared" si="5"/>
        <v>0</v>
      </c>
      <c r="C194" s="244">
        <f t="shared" si="6"/>
        <v>0</v>
      </c>
      <c r="D194" s="38">
        <v>183.0</v>
      </c>
      <c r="E194" s="243"/>
      <c r="F194" s="239"/>
      <c r="G194" s="240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2.0" customHeight="1">
      <c r="A195" s="244">
        <f t="shared" si="4"/>
        <v>0</v>
      </c>
      <c r="B195" s="244">
        <f t="shared" si="5"/>
        <v>0</v>
      </c>
      <c r="C195" s="244">
        <f t="shared" si="6"/>
        <v>0</v>
      </c>
      <c r="D195" s="38">
        <v>184.0</v>
      </c>
      <c r="E195" s="243"/>
      <c r="F195" s="239"/>
      <c r="G195" s="240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2.0" customHeight="1">
      <c r="A196" s="244">
        <f t="shared" si="4"/>
        <v>0</v>
      </c>
      <c r="B196" s="244">
        <f t="shared" si="5"/>
        <v>0</v>
      </c>
      <c r="C196" s="244">
        <f t="shared" si="6"/>
        <v>0</v>
      </c>
      <c r="D196" s="38">
        <v>185.0</v>
      </c>
      <c r="E196" s="243"/>
      <c r="F196" s="239"/>
      <c r="G196" s="240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2.0" customHeight="1">
      <c r="A197" s="244">
        <f t="shared" si="4"/>
        <v>0</v>
      </c>
      <c r="B197" s="244">
        <f t="shared" si="5"/>
        <v>0</v>
      </c>
      <c r="C197" s="244">
        <f t="shared" si="6"/>
        <v>0</v>
      </c>
      <c r="D197" s="38">
        <v>186.0</v>
      </c>
      <c r="E197" s="243"/>
      <c r="F197" s="239"/>
      <c r="G197" s="240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2.0" customHeight="1">
      <c r="A198" s="244">
        <f t="shared" si="4"/>
        <v>0</v>
      </c>
      <c r="B198" s="244">
        <f t="shared" si="5"/>
        <v>0</v>
      </c>
      <c r="C198" s="244">
        <f t="shared" si="6"/>
        <v>0</v>
      </c>
      <c r="D198" s="38">
        <v>187.0</v>
      </c>
      <c r="E198" s="243"/>
      <c r="F198" s="239"/>
      <c r="G198" s="240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2.0" customHeight="1">
      <c r="A199" s="244">
        <f t="shared" si="4"/>
        <v>0</v>
      </c>
      <c r="B199" s="244">
        <f t="shared" si="5"/>
        <v>0</v>
      </c>
      <c r="C199" s="244">
        <f t="shared" si="6"/>
        <v>0</v>
      </c>
      <c r="D199" s="38">
        <v>188.0</v>
      </c>
      <c r="E199" s="243"/>
      <c r="F199" s="239"/>
      <c r="G199" s="240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2.0" customHeight="1">
      <c r="A200" s="244">
        <f t="shared" si="4"/>
        <v>0</v>
      </c>
      <c r="B200" s="244">
        <f t="shared" si="5"/>
        <v>0</v>
      </c>
      <c r="C200" s="244">
        <f t="shared" si="6"/>
        <v>0</v>
      </c>
      <c r="D200" s="38">
        <v>189.0</v>
      </c>
      <c r="E200" s="243"/>
      <c r="F200" s="239"/>
      <c r="G200" s="240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2.0" customHeight="1">
      <c r="A201" s="244">
        <f t="shared" si="4"/>
        <v>0</v>
      </c>
      <c r="B201" s="244">
        <f t="shared" si="5"/>
        <v>0</v>
      </c>
      <c r="C201" s="244">
        <f t="shared" si="6"/>
        <v>0</v>
      </c>
      <c r="D201" s="38">
        <v>190.0</v>
      </c>
      <c r="E201" s="243"/>
      <c r="F201" s="239"/>
      <c r="G201" s="240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2.0" customHeight="1">
      <c r="A202" s="244">
        <f t="shared" si="4"/>
        <v>0</v>
      </c>
      <c r="B202" s="244">
        <f t="shared" si="5"/>
        <v>0</v>
      </c>
      <c r="C202" s="244">
        <f t="shared" si="6"/>
        <v>0</v>
      </c>
      <c r="D202" s="38">
        <v>191.0</v>
      </c>
      <c r="E202" s="243"/>
      <c r="F202" s="239"/>
      <c r="G202" s="240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2.0" customHeight="1">
      <c r="A203" s="244">
        <f t="shared" si="4"/>
        <v>0</v>
      </c>
      <c r="B203" s="244">
        <f t="shared" si="5"/>
        <v>0</v>
      </c>
      <c r="C203" s="244">
        <f t="shared" si="6"/>
        <v>0</v>
      </c>
      <c r="D203" s="38">
        <v>192.0</v>
      </c>
      <c r="E203" s="243"/>
      <c r="F203" s="239"/>
      <c r="G203" s="240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2.0" customHeight="1">
      <c r="A204" s="244">
        <f t="shared" si="4"/>
        <v>0</v>
      </c>
      <c r="B204" s="244">
        <f t="shared" si="5"/>
        <v>0</v>
      </c>
      <c r="C204" s="244">
        <f t="shared" si="6"/>
        <v>0</v>
      </c>
      <c r="D204" s="38">
        <v>193.0</v>
      </c>
      <c r="E204" s="243"/>
      <c r="F204" s="239"/>
      <c r="G204" s="240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2.0" customHeight="1">
      <c r="A205" s="244">
        <f t="shared" si="4"/>
        <v>0</v>
      </c>
      <c r="B205" s="244">
        <f t="shared" si="5"/>
        <v>0</v>
      </c>
      <c r="C205" s="244">
        <f t="shared" si="6"/>
        <v>0</v>
      </c>
      <c r="D205" s="38">
        <v>194.0</v>
      </c>
      <c r="E205" s="243"/>
      <c r="F205" s="239"/>
      <c r="G205" s="240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2.0" customHeight="1">
      <c r="A206" s="244">
        <f t="shared" si="4"/>
        <v>0</v>
      </c>
      <c r="B206" s="244">
        <f t="shared" si="5"/>
        <v>0</v>
      </c>
      <c r="C206" s="244">
        <f t="shared" si="6"/>
        <v>0</v>
      </c>
      <c r="D206" s="38">
        <v>195.0</v>
      </c>
      <c r="E206" s="243"/>
      <c r="F206" s="239"/>
      <c r="G206" s="240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2.0" customHeight="1">
      <c r="A207" s="244">
        <f t="shared" si="4"/>
        <v>0</v>
      </c>
      <c r="B207" s="244">
        <f t="shared" si="5"/>
        <v>0</v>
      </c>
      <c r="C207" s="244">
        <f t="shared" si="6"/>
        <v>0</v>
      </c>
      <c r="D207" s="38">
        <v>196.0</v>
      </c>
      <c r="E207" s="243"/>
      <c r="F207" s="239"/>
      <c r="G207" s="240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2.0" customHeight="1">
      <c r="A208" s="244">
        <f t="shared" si="4"/>
        <v>0</v>
      </c>
      <c r="B208" s="244">
        <f t="shared" si="5"/>
        <v>0</v>
      </c>
      <c r="C208" s="244">
        <f t="shared" si="6"/>
        <v>0</v>
      </c>
      <c r="D208" s="38">
        <v>197.0</v>
      </c>
      <c r="E208" s="243"/>
      <c r="F208" s="239"/>
      <c r="G208" s="240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2.0" customHeight="1">
      <c r="A209" s="244">
        <f t="shared" si="4"/>
        <v>0</v>
      </c>
      <c r="B209" s="244">
        <f t="shared" si="5"/>
        <v>0</v>
      </c>
      <c r="C209" s="244">
        <f t="shared" si="6"/>
        <v>0</v>
      </c>
      <c r="D209" s="38">
        <v>198.0</v>
      </c>
      <c r="E209" s="243"/>
      <c r="F209" s="239"/>
      <c r="G209" s="240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2.0" customHeight="1">
      <c r="A210" s="244">
        <f t="shared" si="4"/>
        <v>0</v>
      </c>
      <c r="B210" s="244">
        <f t="shared" si="5"/>
        <v>0</v>
      </c>
      <c r="C210" s="244">
        <f t="shared" si="6"/>
        <v>0</v>
      </c>
      <c r="D210" s="38">
        <v>199.0</v>
      </c>
      <c r="E210" s="243"/>
      <c r="F210" s="239"/>
      <c r="G210" s="240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2.0" customHeight="1">
      <c r="A211" s="244">
        <f t="shared" si="4"/>
        <v>0</v>
      </c>
      <c r="B211" s="244">
        <f t="shared" si="5"/>
        <v>0</v>
      </c>
      <c r="C211" s="244">
        <f t="shared" si="6"/>
        <v>0</v>
      </c>
      <c r="D211" s="38">
        <v>200.0</v>
      </c>
      <c r="E211" s="243"/>
      <c r="F211" s="239"/>
      <c r="G211" s="240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2.0" customHeight="1">
      <c r="A212" s="244">
        <f t="shared" si="4"/>
        <v>0</v>
      </c>
      <c r="B212" s="244">
        <f t="shared" si="5"/>
        <v>0</v>
      </c>
      <c r="C212" s="244">
        <f t="shared" si="6"/>
        <v>0</v>
      </c>
      <c r="D212" s="38">
        <v>201.0</v>
      </c>
      <c r="E212" s="243"/>
      <c r="F212" s="239"/>
      <c r="G212" s="240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2.0" customHeight="1">
      <c r="A213" s="244">
        <f t="shared" si="4"/>
        <v>0</v>
      </c>
      <c r="B213" s="244">
        <f t="shared" si="5"/>
        <v>0</v>
      </c>
      <c r="C213" s="244">
        <f t="shared" si="6"/>
        <v>0</v>
      </c>
      <c r="D213" s="38">
        <v>202.0</v>
      </c>
      <c r="E213" s="243"/>
      <c r="F213" s="239"/>
      <c r="G213" s="240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2.0" customHeight="1">
      <c r="A214" s="244">
        <f t="shared" si="4"/>
        <v>0</v>
      </c>
      <c r="B214" s="244">
        <f t="shared" si="5"/>
        <v>0</v>
      </c>
      <c r="C214" s="244">
        <f t="shared" si="6"/>
        <v>0</v>
      </c>
      <c r="D214" s="38">
        <v>203.0</v>
      </c>
      <c r="E214" s="243"/>
      <c r="F214" s="239"/>
      <c r="G214" s="240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2.0" customHeight="1">
      <c r="A215" s="244">
        <f t="shared" si="4"/>
        <v>0</v>
      </c>
      <c r="B215" s="244">
        <f t="shared" si="5"/>
        <v>0</v>
      </c>
      <c r="C215" s="244">
        <f t="shared" si="6"/>
        <v>0</v>
      </c>
      <c r="D215" s="38">
        <v>204.0</v>
      </c>
      <c r="E215" s="243"/>
      <c r="F215" s="239"/>
      <c r="G215" s="240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2.0" customHeight="1">
      <c r="A216" s="244">
        <f t="shared" si="4"/>
        <v>0</v>
      </c>
      <c r="B216" s="244">
        <f t="shared" si="5"/>
        <v>0</v>
      </c>
      <c r="C216" s="244">
        <f t="shared" si="6"/>
        <v>0</v>
      </c>
      <c r="D216" s="38">
        <v>205.0</v>
      </c>
      <c r="E216" s="243"/>
      <c r="F216" s="239"/>
      <c r="G216" s="240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2.0" customHeight="1">
      <c r="A217" s="244">
        <f t="shared" si="4"/>
        <v>0</v>
      </c>
      <c r="B217" s="244">
        <f t="shared" si="5"/>
        <v>0</v>
      </c>
      <c r="C217" s="244">
        <f t="shared" si="6"/>
        <v>0</v>
      </c>
      <c r="D217" s="38">
        <v>206.0</v>
      </c>
      <c r="E217" s="243"/>
      <c r="F217" s="239"/>
      <c r="G217" s="240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2.0" customHeight="1">
      <c r="A218" s="244">
        <f t="shared" si="4"/>
        <v>0</v>
      </c>
      <c r="B218" s="244">
        <f t="shared" si="5"/>
        <v>0</v>
      </c>
      <c r="C218" s="244">
        <f t="shared" si="6"/>
        <v>0</v>
      </c>
      <c r="D218" s="38">
        <v>207.0</v>
      </c>
      <c r="E218" s="243"/>
      <c r="F218" s="239"/>
      <c r="G218" s="240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2.0" customHeight="1">
      <c r="A219" s="244">
        <f t="shared" si="4"/>
        <v>0</v>
      </c>
      <c r="B219" s="244">
        <f t="shared" si="5"/>
        <v>0</v>
      </c>
      <c r="C219" s="244">
        <f t="shared" si="6"/>
        <v>0</v>
      </c>
      <c r="D219" s="38">
        <v>208.0</v>
      </c>
      <c r="E219" s="243"/>
      <c r="F219" s="239"/>
      <c r="G219" s="240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2.0" customHeight="1">
      <c r="A220" s="244">
        <f t="shared" si="4"/>
        <v>0</v>
      </c>
      <c r="B220" s="244">
        <f t="shared" si="5"/>
        <v>0</v>
      </c>
      <c r="C220" s="244">
        <f t="shared" si="6"/>
        <v>0</v>
      </c>
      <c r="D220" s="38">
        <v>209.0</v>
      </c>
      <c r="E220" s="243"/>
      <c r="F220" s="239"/>
      <c r="G220" s="240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2.0" customHeight="1">
      <c r="A221" s="244">
        <f t="shared" si="4"/>
        <v>0</v>
      </c>
      <c r="B221" s="244">
        <f t="shared" si="5"/>
        <v>0</v>
      </c>
      <c r="C221" s="244">
        <f t="shared" si="6"/>
        <v>0</v>
      </c>
      <c r="D221" s="38">
        <v>210.0</v>
      </c>
      <c r="E221" s="243"/>
      <c r="F221" s="239"/>
      <c r="G221" s="240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2.0" customHeight="1">
      <c r="A222" s="244">
        <f t="shared" si="4"/>
        <v>0</v>
      </c>
      <c r="B222" s="244">
        <f t="shared" si="5"/>
        <v>0</v>
      </c>
      <c r="C222" s="244">
        <f t="shared" si="6"/>
        <v>0</v>
      </c>
      <c r="D222" s="38">
        <v>211.0</v>
      </c>
      <c r="E222" s="243"/>
      <c r="F222" s="239"/>
      <c r="G222" s="240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2.0" customHeight="1">
      <c r="A223" s="244">
        <f t="shared" si="4"/>
        <v>0</v>
      </c>
      <c r="B223" s="244">
        <f t="shared" si="5"/>
        <v>0</v>
      </c>
      <c r="C223" s="244">
        <f t="shared" si="6"/>
        <v>0</v>
      </c>
      <c r="D223" s="38">
        <v>212.0</v>
      </c>
      <c r="E223" s="243"/>
      <c r="F223" s="239"/>
      <c r="G223" s="240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2.0" customHeight="1">
      <c r="A224" s="244">
        <f t="shared" si="4"/>
        <v>0</v>
      </c>
      <c r="B224" s="244">
        <f t="shared" si="5"/>
        <v>0</v>
      </c>
      <c r="C224" s="244">
        <f t="shared" si="6"/>
        <v>0</v>
      </c>
      <c r="D224" s="38">
        <v>213.0</v>
      </c>
      <c r="E224" s="243"/>
      <c r="F224" s="239"/>
      <c r="G224" s="240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2.0" customHeight="1">
      <c r="A225" s="244">
        <f t="shared" si="4"/>
        <v>0</v>
      </c>
      <c r="B225" s="244">
        <f t="shared" si="5"/>
        <v>0</v>
      </c>
      <c r="C225" s="244">
        <f t="shared" si="6"/>
        <v>0</v>
      </c>
      <c r="D225" s="38">
        <v>214.0</v>
      </c>
      <c r="E225" s="243"/>
      <c r="F225" s="239"/>
      <c r="G225" s="240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2.0" customHeight="1">
      <c r="A226" s="244">
        <f t="shared" si="4"/>
        <v>0</v>
      </c>
      <c r="B226" s="244">
        <f t="shared" si="5"/>
        <v>0</v>
      </c>
      <c r="C226" s="244">
        <f t="shared" si="6"/>
        <v>0</v>
      </c>
      <c r="D226" s="38">
        <v>215.0</v>
      </c>
      <c r="E226" s="243"/>
      <c r="F226" s="239"/>
      <c r="G226" s="240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2.0" customHeight="1">
      <c r="A227" s="244">
        <f t="shared" si="4"/>
        <v>0</v>
      </c>
      <c r="B227" s="244">
        <f t="shared" si="5"/>
        <v>0</v>
      </c>
      <c r="C227" s="244">
        <f t="shared" si="6"/>
        <v>0</v>
      </c>
      <c r="D227" s="38">
        <v>216.0</v>
      </c>
      <c r="E227" s="243"/>
      <c r="F227" s="239"/>
      <c r="G227" s="240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2.0" customHeight="1">
      <c r="A228" s="244">
        <f t="shared" si="4"/>
        <v>0</v>
      </c>
      <c r="B228" s="244">
        <f t="shared" si="5"/>
        <v>0</v>
      </c>
      <c r="C228" s="244">
        <f t="shared" si="6"/>
        <v>0</v>
      </c>
      <c r="D228" s="38">
        <v>217.0</v>
      </c>
      <c r="E228" s="243"/>
      <c r="F228" s="239"/>
      <c r="G228" s="240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2.0" customHeight="1">
      <c r="A229" s="244">
        <f t="shared" si="4"/>
        <v>0</v>
      </c>
      <c r="B229" s="244">
        <f t="shared" si="5"/>
        <v>0</v>
      </c>
      <c r="C229" s="244">
        <f t="shared" si="6"/>
        <v>0</v>
      </c>
      <c r="D229" s="38">
        <v>218.0</v>
      </c>
      <c r="E229" s="243"/>
      <c r="F229" s="239"/>
      <c r="G229" s="240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2.0" customHeight="1">
      <c r="A230" s="244">
        <f t="shared" si="4"/>
        <v>0</v>
      </c>
      <c r="B230" s="244">
        <f t="shared" si="5"/>
        <v>0</v>
      </c>
      <c r="C230" s="244">
        <f t="shared" si="6"/>
        <v>0</v>
      </c>
      <c r="D230" s="38">
        <v>219.0</v>
      </c>
      <c r="E230" s="243"/>
      <c r="F230" s="239"/>
      <c r="G230" s="240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2.0" customHeight="1">
      <c r="A231" s="244">
        <f t="shared" si="4"/>
        <v>0</v>
      </c>
      <c r="B231" s="244">
        <f t="shared" si="5"/>
        <v>0</v>
      </c>
      <c r="C231" s="244">
        <f t="shared" si="6"/>
        <v>0</v>
      </c>
      <c r="D231" s="38">
        <v>220.0</v>
      </c>
      <c r="E231" s="243"/>
      <c r="F231" s="239"/>
      <c r="G231" s="240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2.0" customHeight="1">
      <c r="A232" s="244">
        <f t="shared" si="4"/>
        <v>0</v>
      </c>
      <c r="B232" s="244">
        <f t="shared" si="5"/>
        <v>0</v>
      </c>
      <c r="C232" s="244">
        <f t="shared" si="6"/>
        <v>0</v>
      </c>
      <c r="D232" s="38">
        <v>221.0</v>
      </c>
      <c r="E232" s="243"/>
      <c r="F232" s="239"/>
      <c r="G232" s="240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2.0" customHeight="1">
      <c r="A233" s="244">
        <f t="shared" si="4"/>
        <v>0</v>
      </c>
      <c r="B233" s="244">
        <f t="shared" si="5"/>
        <v>0</v>
      </c>
      <c r="C233" s="244">
        <f t="shared" si="6"/>
        <v>0</v>
      </c>
      <c r="D233" s="38">
        <v>222.0</v>
      </c>
      <c r="E233" s="243"/>
      <c r="F233" s="239"/>
      <c r="G233" s="240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2.0" customHeight="1">
      <c r="A234" s="244">
        <f t="shared" si="4"/>
        <v>0</v>
      </c>
      <c r="B234" s="244">
        <f t="shared" si="5"/>
        <v>0</v>
      </c>
      <c r="C234" s="244">
        <f t="shared" si="6"/>
        <v>0</v>
      </c>
      <c r="D234" s="38">
        <v>223.0</v>
      </c>
      <c r="E234" s="243"/>
      <c r="F234" s="239"/>
      <c r="G234" s="240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2.0" customHeight="1">
      <c r="A235" s="244">
        <f t="shared" si="4"/>
        <v>0</v>
      </c>
      <c r="B235" s="244">
        <f t="shared" si="5"/>
        <v>0</v>
      </c>
      <c r="C235" s="244">
        <f t="shared" si="6"/>
        <v>0</v>
      </c>
      <c r="D235" s="38">
        <v>224.0</v>
      </c>
      <c r="E235" s="243"/>
      <c r="F235" s="239"/>
      <c r="G235" s="240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2.0" customHeight="1">
      <c r="A236" s="244">
        <f t="shared" si="4"/>
        <v>0</v>
      </c>
      <c r="B236" s="244">
        <f t="shared" si="5"/>
        <v>0</v>
      </c>
      <c r="C236" s="244">
        <f t="shared" si="6"/>
        <v>0</v>
      </c>
      <c r="D236" s="38">
        <v>225.0</v>
      </c>
      <c r="E236" s="243"/>
      <c r="F236" s="239"/>
      <c r="G236" s="240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2.0" customHeight="1">
      <c r="A237" s="244">
        <f t="shared" si="4"/>
        <v>0</v>
      </c>
      <c r="B237" s="244">
        <f t="shared" si="5"/>
        <v>0</v>
      </c>
      <c r="C237" s="244">
        <f t="shared" si="6"/>
        <v>0</v>
      </c>
      <c r="D237" s="38">
        <v>226.0</v>
      </c>
      <c r="E237" s="243"/>
      <c r="F237" s="239"/>
      <c r="G237" s="240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2.0" customHeight="1">
      <c r="A238" s="244">
        <f t="shared" si="4"/>
        <v>0</v>
      </c>
      <c r="B238" s="244">
        <f t="shared" si="5"/>
        <v>0</v>
      </c>
      <c r="C238" s="244">
        <f t="shared" si="6"/>
        <v>0</v>
      </c>
      <c r="D238" s="38">
        <v>227.0</v>
      </c>
      <c r="E238" s="243"/>
      <c r="F238" s="239"/>
      <c r="G238" s="240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2.0" customHeight="1">
      <c r="A239" s="244">
        <f t="shared" si="4"/>
        <v>0</v>
      </c>
      <c r="B239" s="244">
        <f t="shared" si="5"/>
        <v>0</v>
      </c>
      <c r="C239" s="244">
        <f t="shared" si="6"/>
        <v>0</v>
      </c>
      <c r="D239" s="38">
        <v>228.0</v>
      </c>
      <c r="E239" s="243"/>
      <c r="F239" s="239"/>
      <c r="G239" s="240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2.0" customHeight="1">
      <c r="A240" s="244">
        <f t="shared" si="4"/>
        <v>0</v>
      </c>
      <c r="B240" s="244">
        <f t="shared" si="5"/>
        <v>0</v>
      </c>
      <c r="C240" s="244">
        <f t="shared" si="6"/>
        <v>0</v>
      </c>
      <c r="D240" s="38">
        <v>229.0</v>
      </c>
      <c r="E240" s="243"/>
      <c r="F240" s="239"/>
      <c r="G240" s="240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2.0" customHeight="1">
      <c r="A241" s="244">
        <f t="shared" si="4"/>
        <v>0</v>
      </c>
      <c r="B241" s="244">
        <f t="shared" si="5"/>
        <v>0</v>
      </c>
      <c r="C241" s="244">
        <f t="shared" si="6"/>
        <v>0</v>
      </c>
      <c r="D241" s="38">
        <v>230.0</v>
      </c>
      <c r="E241" s="243"/>
      <c r="F241" s="239"/>
      <c r="G241" s="240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2.0" customHeight="1">
      <c r="A242" s="244">
        <f t="shared" si="4"/>
        <v>0</v>
      </c>
      <c r="B242" s="244">
        <f t="shared" si="5"/>
        <v>0</v>
      </c>
      <c r="C242" s="244">
        <f t="shared" si="6"/>
        <v>0</v>
      </c>
      <c r="D242" s="38">
        <v>231.0</v>
      </c>
      <c r="E242" s="243"/>
      <c r="F242" s="239"/>
      <c r="G242" s="240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2.0" customHeight="1">
      <c r="A243" s="244">
        <f t="shared" si="4"/>
        <v>0</v>
      </c>
      <c r="B243" s="244">
        <f t="shared" si="5"/>
        <v>0</v>
      </c>
      <c r="C243" s="244">
        <f t="shared" si="6"/>
        <v>0</v>
      </c>
      <c r="D243" s="38">
        <v>232.0</v>
      </c>
      <c r="E243" s="243"/>
      <c r="F243" s="239"/>
      <c r="G243" s="240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2.0" customHeight="1">
      <c r="A244" s="244">
        <f t="shared" si="4"/>
        <v>0</v>
      </c>
      <c r="B244" s="244">
        <f t="shared" si="5"/>
        <v>0</v>
      </c>
      <c r="C244" s="244">
        <f t="shared" si="6"/>
        <v>0</v>
      </c>
      <c r="D244" s="38">
        <v>233.0</v>
      </c>
      <c r="E244" s="243"/>
      <c r="F244" s="239"/>
      <c r="G244" s="240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2.0" customHeight="1">
      <c r="A245" s="244">
        <f t="shared" si="4"/>
        <v>0</v>
      </c>
      <c r="B245" s="244">
        <f t="shared" si="5"/>
        <v>0</v>
      </c>
      <c r="C245" s="244">
        <f t="shared" si="6"/>
        <v>0</v>
      </c>
      <c r="D245" s="38">
        <v>234.0</v>
      </c>
      <c r="E245" s="243"/>
      <c r="F245" s="239"/>
      <c r="G245" s="240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2.0" customHeight="1">
      <c r="A246" s="244">
        <f t="shared" si="4"/>
        <v>0</v>
      </c>
      <c r="B246" s="244">
        <f t="shared" si="5"/>
        <v>0</v>
      </c>
      <c r="C246" s="244">
        <f t="shared" si="6"/>
        <v>0</v>
      </c>
      <c r="D246" s="38">
        <v>235.0</v>
      </c>
      <c r="E246" s="243"/>
      <c r="F246" s="239"/>
      <c r="G246" s="240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2.0" customHeight="1">
      <c r="A247" s="244">
        <f t="shared" si="4"/>
        <v>0</v>
      </c>
      <c r="B247" s="244">
        <f t="shared" si="5"/>
        <v>0</v>
      </c>
      <c r="C247" s="244">
        <f t="shared" si="6"/>
        <v>0</v>
      </c>
      <c r="D247" s="38">
        <v>236.0</v>
      </c>
      <c r="E247" s="243"/>
      <c r="F247" s="239"/>
      <c r="G247" s="240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2.0" customHeight="1">
      <c r="A248" s="244">
        <f t="shared" si="4"/>
        <v>0</v>
      </c>
      <c r="B248" s="244">
        <f t="shared" si="5"/>
        <v>0</v>
      </c>
      <c r="C248" s="244">
        <f t="shared" si="6"/>
        <v>0</v>
      </c>
      <c r="D248" s="38">
        <v>237.0</v>
      </c>
      <c r="E248" s="243"/>
      <c r="F248" s="239"/>
      <c r="G248" s="240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2.0" customHeight="1">
      <c r="A249" s="244">
        <f t="shared" si="4"/>
        <v>0</v>
      </c>
      <c r="B249" s="244">
        <f t="shared" si="5"/>
        <v>0</v>
      </c>
      <c r="C249" s="244">
        <f t="shared" si="6"/>
        <v>0</v>
      </c>
      <c r="D249" s="38">
        <v>238.0</v>
      </c>
      <c r="E249" s="243"/>
      <c r="F249" s="239"/>
      <c r="G249" s="240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2.0" customHeight="1">
      <c r="A250" s="244">
        <f t="shared" si="4"/>
        <v>0</v>
      </c>
      <c r="B250" s="244">
        <f t="shared" si="5"/>
        <v>0</v>
      </c>
      <c r="C250" s="244">
        <f t="shared" si="6"/>
        <v>0</v>
      </c>
      <c r="D250" s="38">
        <v>239.0</v>
      </c>
      <c r="E250" s="243"/>
      <c r="F250" s="239"/>
      <c r="G250" s="240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2.0" customHeight="1">
      <c r="A251" s="244">
        <f t="shared" si="4"/>
        <v>0</v>
      </c>
      <c r="B251" s="244">
        <f t="shared" si="5"/>
        <v>0</v>
      </c>
      <c r="C251" s="244">
        <f t="shared" si="6"/>
        <v>0</v>
      </c>
      <c r="D251" s="38">
        <v>240.0</v>
      </c>
      <c r="E251" s="243"/>
      <c r="F251" s="239"/>
      <c r="G251" s="240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2.0" customHeight="1">
      <c r="A252" s="244">
        <f t="shared" si="4"/>
        <v>0</v>
      </c>
      <c r="B252" s="244">
        <f t="shared" si="5"/>
        <v>0</v>
      </c>
      <c r="C252" s="244">
        <f t="shared" si="6"/>
        <v>0</v>
      </c>
      <c r="D252" s="38">
        <v>241.0</v>
      </c>
      <c r="E252" s="243"/>
      <c r="F252" s="239"/>
      <c r="G252" s="240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2.0" customHeight="1">
      <c r="A253" s="244">
        <f t="shared" si="4"/>
        <v>0</v>
      </c>
      <c r="B253" s="244">
        <f t="shared" si="5"/>
        <v>0</v>
      </c>
      <c r="C253" s="244">
        <f t="shared" si="6"/>
        <v>0</v>
      </c>
      <c r="D253" s="38">
        <v>242.0</v>
      </c>
      <c r="E253" s="243"/>
      <c r="F253" s="239"/>
      <c r="G253" s="240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2.0" customHeight="1">
      <c r="A254" s="244">
        <f t="shared" si="4"/>
        <v>0</v>
      </c>
      <c r="B254" s="244">
        <f t="shared" si="5"/>
        <v>0</v>
      </c>
      <c r="C254" s="244">
        <f t="shared" si="6"/>
        <v>0</v>
      </c>
      <c r="D254" s="38">
        <v>243.0</v>
      </c>
      <c r="E254" s="243"/>
      <c r="F254" s="239"/>
      <c r="G254" s="240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2.0" customHeight="1">
      <c r="A255" s="244">
        <f t="shared" si="4"/>
        <v>0</v>
      </c>
      <c r="B255" s="244">
        <f t="shared" si="5"/>
        <v>0</v>
      </c>
      <c r="C255" s="244">
        <f t="shared" si="6"/>
        <v>0</v>
      </c>
      <c r="D255" s="38">
        <v>244.0</v>
      </c>
      <c r="E255" s="243"/>
      <c r="F255" s="239"/>
      <c r="G255" s="240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2.0" customHeight="1">
      <c r="A256" s="244">
        <f t="shared" si="4"/>
        <v>0</v>
      </c>
      <c r="B256" s="244">
        <f t="shared" si="5"/>
        <v>0</v>
      </c>
      <c r="C256" s="244">
        <f t="shared" si="6"/>
        <v>0</v>
      </c>
      <c r="D256" s="38">
        <v>245.0</v>
      </c>
      <c r="E256" s="243"/>
      <c r="F256" s="239"/>
      <c r="G256" s="240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2.0" customHeight="1">
      <c r="A257" s="244">
        <f t="shared" si="4"/>
        <v>0</v>
      </c>
      <c r="B257" s="244">
        <f t="shared" si="5"/>
        <v>0</v>
      </c>
      <c r="C257" s="244">
        <f t="shared" si="6"/>
        <v>0</v>
      </c>
      <c r="D257" s="38">
        <v>246.0</v>
      </c>
      <c r="E257" s="243"/>
      <c r="F257" s="239"/>
      <c r="G257" s="240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2.0" customHeight="1">
      <c r="A258" s="244">
        <f t="shared" si="4"/>
        <v>0</v>
      </c>
      <c r="B258" s="244">
        <f t="shared" si="5"/>
        <v>0</v>
      </c>
      <c r="C258" s="244">
        <f t="shared" si="6"/>
        <v>0</v>
      </c>
      <c r="D258" s="38">
        <v>247.0</v>
      </c>
      <c r="E258" s="243"/>
      <c r="F258" s="239"/>
      <c r="G258" s="240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2.0" customHeight="1">
      <c r="A259" s="244">
        <f t="shared" si="4"/>
        <v>0</v>
      </c>
      <c r="B259" s="244">
        <f t="shared" si="5"/>
        <v>0</v>
      </c>
      <c r="C259" s="244">
        <f t="shared" si="6"/>
        <v>0</v>
      </c>
      <c r="D259" s="38">
        <v>248.0</v>
      </c>
      <c r="E259" s="243"/>
      <c r="F259" s="239"/>
      <c r="G259" s="240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2.0" customHeight="1">
      <c r="A260" s="244">
        <f t="shared" si="4"/>
        <v>0</v>
      </c>
      <c r="B260" s="244">
        <f t="shared" si="5"/>
        <v>0</v>
      </c>
      <c r="C260" s="244">
        <f t="shared" si="6"/>
        <v>0</v>
      </c>
      <c r="D260" s="38">
        <v>249.0</v>
      </c>
      <c r="E260" s="243"/>
      <c r="F260" s="239"/>
      <c r="G260" s="240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2.0" customHeight="1">
      <c r="A261" s="244">
        <f t="shared" si="4"/>
        <v>0</v>
      </c>
      <c r="B261" s="244">
        <f t="shared" si="5"/>
        <v>0</v>
      </c>
      <c r="C261" s="244">
        <f t="shared" si="6"/>
        <v>0</v>
      </c>
      <c r="D261" s="38">
        <v>250.0</v>
      </c>
      <c r="E261" s="243"/>
      <c r="F261" s="239"/>
      <c r="G261" s="240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2.0" customHeight="1">
      <c r="A262" s="244">
        <f t="shared" si="4"/>
        <v>0</v>
      </c>
      <c r="B262" s="244">
        <f t="shared" si="5"/>
        <v>0</v>
      </c>
      <c r="C262" s="244">
        <f t="shared" si="6"/>
        <v>0</v>
      </c>
      <c r="D262" s="38">
        <v>251.0</v>
      </c>
      <c r="E262" s="243"/>
      <c r="F262" s="239"/>
      <c r="G262" s="240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2.0" customHeight="1">
      <c r="A263" s="244">
        <f t="shared" si="4"/>
        <v>0</v>
      </c>
      <c r="B263" s="244">
        <f t="shared" si="5"/>
        <v>0</v>
      </c>
      <c r="C263" s="244">
        <f t="shared" si="6"/>
        <v>0</v>
      </c>
      <c r="D263" s="38">
        <v>252.0</v>
      </c>
      <c r="E263" s="243"/>
      <c r="F263" s="239"/>
      <c r="G263" s="240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2.0" customHeight="1">
      <c r="A264" s="244">
        <f t="shared" si="4"/>
        <v>0</v>
      </c>
      <c r="B264" s="244">
        <f t="shared" si="5"/>
        <v>0</v>
      </c>
      <c r="C264" s="244">
        <f t="shared" si="6"/>
        <v>0</v>
      </c>
      <c r="D264" s="38">
        <v>253.0</v>
      </c>
      <c r="E264" s="243"/>
      <c r="F264" s="239"/>
      <c r="G264" s="240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2.0" customHeight="1">
      <c r="A265" s="244">
        <f t="shared" si="4"/>
        <v>0</v>
      </c>
      <c r="B265" s="244">
        <f t="shared" si="5"/>
        <v>0</v>
      </c>
      <c r="C265" s="244">
        <f t="shared" si="6"/>
        <v>0</v>
      </c>
      <c r="D265" s="38">
        <v>254.0</v>
      </c>
      <c r="E265" s="243"/>
      <c r="F265" s="239"/>
      <c r="G265" s="240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2.0" customHeight="1">
      <c r="A266" s="244">
        <f t="shared" si="4"/>
        <v>0</v>
      </c>
      <c r="B266" s="244">
        <f t="shared" si="5"/>
        <v>0</v>
      </c>
      <c r="C266" s="244">
        <f t="shared" si="6"/>
        <v>0</v>
      </c>
      <c r="D266" s="38">
        <v>255.0</v>
      </c>
      <c r="E266" s="243"/>
      <c r="F266" s="239"/>
      <c r="G266" s="240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2.0" customHeight="1">
      <c r="A267" s="244">
        <f t="shared" si="4"/>
        <v>0</v>
      </c>
      <c r="B267" s="244">
        <f t="shared" si="5"/>
        <v>0</v>
      </c>
      <c r="C267" s="244">
        <f t="shared" si="6"/>
        <v>0</v>
      </c>
      <c r="D267" s="38">
        <v>256.0</v>
      </c>
      <c r="E267" s="243"/>
      <c r="F267" s="239"/>
      <c r="G267" s="240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2.0" customHeight="1">
      <c r="A268" s="244">
        <f t="shared" si="4"/>
        <v>0</v>
      </c>
      <c r="B268" s="244">
        <f t="shared" si="5"/>
        <v>0</v>
      </c>
      <c r="C268" s="244">
        <f t="shared" si="6"/>
        <v>0</v>
      </c>
      <c r="D268" s="38">
        <v>257.0</v>
      </c>
      <c r="E268" s="243"/>
      <c r="F268" s="239"/>
      <c r="G268" s="240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2.0" customHeight="1">
      <c r="A269" s="244">
        <f t="shared" si="4"/>
        <v>0</v>
      </c>
      <c r="B269" s="244">
        <f t="shared" si="5"/>
        <v>0</v>
      </c>
      <c r="C269" s="244">
        <f t="shared" si="6"/>
        <v>0</v>
      </c>
      <c r="D269" s="38">
        <v>258.0</v>
      </c>
      <c r="E269" s="243"/>
      <c r="F269" s="239"/>
      <c r="G269" s="240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2.0" customHeight="1">
      <c r="A270" s="244">
        <f t="shared" si="4"/>
        <v>0</v>
      </c>
      <c r="B270" s="244">
        <f t="shared" si="5"/>
        <v>0</v>
      </c>
      <c r="C270" s="244">
        <f t="shared" si="6"/>
        <v>0</v>
      </c>
      <c r="D270" s="38">
        <v>259.0</v>
      </c>
      <c r="E270" s="243"/>
      <c r="F270" s="239"/>
      <c r="G270" s="240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2.0" customHeight="1">
      <c r="A271" s="244">
        <f t="shared" si="4"/>
        <v>0</v>
      </c>
      <c r="B271" s="244">
        <f t="shared" si="5"/>
        <v>0</v>
      </c>
      <c r="C271" s="244">
        <f t="shared" si="6"/>
        <v>0</v>
      </c>
      <c r="D271" s="38">
        <v>260.0</v>
      </c>
      <c r="E271" s="243"/>
      <c r="F271" s="239"/>
      <c r="G271" s="240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2.0" customHeight="1">
      <c r="A272" s="244">
        <f t="shared" si="4"/>
        <v>0</v>
      </c>
      <c r="B272" s="244">
        <f t="shared" si="5"/>
        <v>0</v>
      </c>
      <c r="C272" s="244">
        <f t="shared" si="6"/>
        <v>0</v>
      </c>
      <c r="D272" s="38">
        <v>261.0</v>
      </c>
      <c r="E272" s="243"/>
      <c r="F272" s="239"/>
      <c r="G272" s="240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2.0" customHeight="1">
      <c r="A273" s="244">
        <f t="shared" si="4"/>
        <v>0</v>
      </c>
      <c r="B273" s="244">
        <f t="shared" si="5"/>
        <v>0</v>
      </c>
      <c r="C273" s="244">
        <f t="shared" si="6"/>
        <v>0</v>
      </c>
      <c r="D273" s="38">
        <v>262.0</v>
      </c>
      <c r="E273" s="243"/>
      <c r="F273" s="239"/>
      <c r="G273" s="240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2.0" customHeight="1">
      <c r="A274" s="244">
        <f t="shared" si="4"/>
        <v>0</v>
      </c>
      <c r="B274" s="244">
        <f t="shared" si="5"/>
        <v>0</v>
      </c>
      <c r="C274" s="244">
        <f t="shared" si="6"/>
        <v>0</v>
      </c>
      <c r="D274" s="38">
        <v>263.0</v>
      </c>
      <c r="E274" s="243"/>
      <c r="F274" s="239"/>
      <c r="G274" s="240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2.0" customHeight="1">
      <c r="A275" s="244">
        <f t="shared" si="4"/>
        <v>0</v>
      </c>
      <c r="B275" s="244">
        <f t="shared" si="5"/>
        <v>0</v>
      </c>
      <c r="C275" s="244">
        <f t="shared" si="6"/>
        <v>0</v>
      </c>
      <c r="D275" s="38">
        <v>264.0</v>
      </c>
      <c r="E275" s="243"/>
      <c r="F275" s="239"/>
      <c r="G275" s="240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2.0" customHeight="1">
      <c r="A276" s="244">
        <f t="shared" si="4"/>
        <v>0</v>
      </c>
      <c r="B276" s="244">
        <f t="shared" si="5"/>
        <v>0</v>
      </c>
      <c r="C276" s="244">
        <f t="shared" si="6"/>
        <v>0</v>
      </c>
      <c r="D276" s="38">
        <v>265.0</v>
      </c>
      <c r="E276" s="243"/>
      <c r="F276" s="239"/>
      <c r="G276" s="240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2.0" customHeight="1">
      <c r="A277" s="244">
        <f t="shared" si="4"/>
        <v>0</v>
      </c>
      <c r="B277" s="244">
        <f t="shared" si="5"/>
        <v>0</v>
      </c>
      <c r="C277" s="244">
        <f t="shared" si="6"/>
        <v>0</v>
      </c>
      <c r="D277" s="38">
        <v>266.0</v>
      </c>
      <c r="E277" s="243"/>
      <c r="F277" s="239"/>
      <c r="G277" s="240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2.0" customHeight="1">
      <c r="A278" s="244">
        <f t="shared" si="4"/>
        <v>0</v>
      </c>
      <c r="B278" s="244">
        <f t="shared" si="5"/>
        <v>0</v>
      </c>
      <c r="C278" s="244">
        <f t="shared" si="6"/>
        <v>0</v>
      </c>
      <c r="D278" s="38">
        <v>267.0</v>
      </c>
      <c r="E278" s="243"/>
      <c r="F278" s="239"/>
      <c r="G278" s="240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2.0" customHeight="1">
      <c r="A279" s="244">
        <f t="shared" si="4"/>
        <v>0</v>
      </c>
      <c r="B279" s="244">
        <f t="shared" si="5"/>
        <v>0</v>
      </c>
      <c r="C279" s="244">
        <f t="shared" si="6"/>
        <v>0</v>
      </c>
      <c r="D279" s="38">
        <v>268.0</v>
      </c>
      <c r="E279" s="243"/>
      <c r="F279" s="239"/>
      <c r="G279" s="240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2.0" customHeight="1">
      <c r="A280" s="244">
        <f t="shared" si="4"/>
        <v>0</v>
      </c>
      <c r="B280" s="244">
        <f t="shared" si="5"/>
        <v>0</v>
      </c>
      <c r="C280" s="244">
        <f t="shared" si="6"/>
        <v>0</v>
      </c>
      <c r="D280" s="38">
        <v>269.0</v>
      </c>
      <c r="E280" s="243"/>
      <c r="F280" s="239"/>
      <c r="G280" s="240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2.0" customHeight="1">
      <c r="A281" s="244">
        <f t="shared" si="4"/>
        <v>0</v>
      </c>
      <c r="B281" s="244">
        <f t="shared" si="5"/>
        <v>0</v>
      </c>
      <c r="C281" s="244">
        <f t="shared" si="6"/>
        <v>0</v>
      </c>
      <c r="D281" s="38">
        <v>270.0</v>
      </c>
      <c r="E281" s="243"/>
      <c r="F281" s="239"/>
      <c r="G281" s="240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2.0" customHeight="1">
      <c r="A282" s="244">
        <f t="shared" si="4"/>
        <v>0</v>
      </c>
      <c r="B282" s="244">
        <f t="shared" si="5"/>
        <v>0</v>
      </c>
      <c r="C282" s="244">
        <f t="shared" si="6"/>
        <v>0</v>
      </c>
      <c r="D282" s="38">
        <v>271.0</v>
      </c>
      <c r="E282" s="243"/>
      <c r="F282" s="239"/>
      <c r="G282" s="240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2.0" customHeight="1">
      <c r="A283" s="244">
        <f t="shared" si="4"/>
        <v>0</v>
      </c>
      <c r="B283" s="244">
        <f t="shared" si="5"/>
        <v>0</v>
      </c>
      <c r="C283" s="244">
        <f t="shared" si="6"/>
        <v>0</v>
      </c>
      <c r="D283" s="38">
        <v>272.0</v>
      </c>
      <c r="E283" s="243"/>
      <c r="F283" s="239"/>
      <c r="G283" s="240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2.0" customHeight="1">
      <c r="A284" s="244">
        <f t="shared" si="4"/>
        <v>0</v>
      </c>
      <c r="B284" s="244">
        <f t="shared" si="5"/>
        <v>0</v>
      </c>
      <c r="C284" s="244">
        <f t="shared" si="6"/>
        <v>0</v>
      </c>
      <c r="D284" s="38">
        <v>273.0</v>
      </c>
      <c r="E284" s="243"/>
      <c r="F284" s="239"/>
      <c r="G284" s="240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2.0" customHeight="1">
      <c r="A285" s="244">
        <f t="shared" si="4"/>
        <v>0</v>
      </c>
      <c r="B285" s="244">
        <f t="shared" si="5"/>
        <v>0</v>
      </c>
      <c r="C285" s="244">
        <f t="shared" si="6"/>
        <v>0</v>
      </c>
      <c r="D285" s="38">
        <v>274.0</v>
      </c>
      <c r="E285" s="243"/>
      <c r="F285" s="239"/>
      <c r="G285" s="240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2.0" customHeight="1">
      <c r="A286" s="244">
        <f t="shared" si="4"/>
        <v>0</v>
      </c>
      <c r="B286" s="244">
        <f t="shared" si="5"/>
        <v>0</v>
      </c>
      <c r="C286" s="244">
        <f t="shared" si="6"/>
        <v>0</v>
      </c>
      <c r="D286" s="38">
        <v>275.0</v>
      </c>
      <c r="E286" s="243"/>
      <c r="F286" s="239"/>
      <c r="G286" s="240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2.0" customHeight="1">
      <c r="A287" s="244">
        <f t="shared" si="4"/>
        <v>0</v>
      </c>
      <c r="B287" s="244">
        <f t="shared" si="5"/>
        <v>0</v>
      </c>
      <c r="C287" s="244">
        <f t="shared" si="6"/>
        <v>0</v>
      </c>
      <c r="D287" s="38">
        <v>276.0</v>
      </c>
      <c r="E287" s="243"/>
      <c r="F287" s="239"/>
      <c r="G287" s="240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2.0" customHeight="1">
      <c r="A288" s="244">
        <f t="shared" si="4"/>
        <v>0</v>
      </c>
      <c r="B288" s="244">
        <f t="shared" si="5"/>
        <v>0</v>
      </c>
      <c r="C288" s="244">
        <f t="shared" si="6"/>
        <v>0</v>
      </c>
      <c r="D288" s="38">
        <v>277.0</v>
      </c>
      <c r="E288" s="243"/>
      <c r="F288" s="239"/>
      <c r="G288" s="240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2.0" customHeight="1">
      <c r="A289" s="244">
        <f t="shared" si="4"/>
        <v>0</v>
      </c>
      <c r="B289" s="244">
        <f t="shared" si="5"/>
        <v>0</v>
      </c>
      <c r="C289" s="244">
        <f t="shared" si="6"/>
        <v>0</v>
      </c>
      <c r="D289" s="38">
        <v>278.0</v>
      </c>
      <c r="E289" s="243"/>
      <c r="F289" s="239"/>
      <c r="G289" s="240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2.0" customHeight="1">
      <c r="A290" s="244">
        <f t="shared" si="4"/>
        <v>0</v>
      </c>
      <c r="B290" s="244">
        <f t="shared" si="5"/>
        <v>0</v>
      </c>
      <c r="C290" s="244">
        <f t="shared" si="6"/>
        <v>0</v>
      </c>
      <c r="D290" s="38">
        <v>279.0</v>
      </c>
      <c r="E290" s="243"/>
      <c r="F290" s="239"/>
      <c r="G290" s="240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2.0" customHeight="1">
      <c r="A291" s="244">
        <f t="shared" si="4"/>
        <v>0</v>
      </c>
      <c r="B291" s="244">
        <f t="shared" si="5"/>
        <v>0</v>
      </c>
      <c r="C291" s="244">
        <f t="shared" si="6"/>
        <v>0</v>
      </c>
      <c r="D291" s="38">
        <v>280.0</v>
      </c>
      <c r="E291" s="243"/>
      <c r="F291" s="239"/>
      <c r="G291" s="240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2.0" customHeight="1">
      <c r="A292" s="244">
        <f t="shared" si="4"/>
        <v>0</v>
      </c>
      <c r="B292" s="244">
        <f t="shared" si="5"/>
        <v>0</v>
      </c>
      <c r="C292" s="244">
        <f t="shared" si="6"/>
        <v>0</v>
      </c>
      <c r="D292" s="38">
        <v>281.0</v>
      </c>
      <c r="E292" s="243"/>
      <c r="F292" s="239"/>
      <c r="G292" s="240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2.0" customHeight="1">
      <c r="A293" s="244">
        <f t="shared" si="4"/>
        <v>0</v>
      </c>
      <c r="B293" s="244">
        <f t="shared" si="5"/>
        <v>0</v>
      </c>
      <c r="C293" s="244">
        <f t="shared" si="6"/>
        <v>0</v>
      </c>
      <c r="D293" s="38">
        <v>282.0</v>
      </c>
      <c r="E293" s="243"/>
      <c r="F293" s="239"/>
      <c r="G293" s="240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2.0" customHeight="1">
      <c r="A294" s="244">
        <f t="shared" si="4"/>
        <v>0</v>
      </c>
      <c r="B294" s="244">
        <f t="shared" si="5"/>
        <v>0</v>
      </c>
      <c r="C294" s="244">
        <f t="shared" si="6"/>
        <v>0</v>
      </c>
      <c r="D294" s="38">
        <v>283.0</v>
      </c>
      <c r="E294" s="243"/>
      <c r="F294" s="239"/>
      <c r="G294" s="240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2.0" customHeight="1">
      <c r="A295" s="244">
        <f t="shared" si="4"/>
        <v>0</v>
      </c>
      <c r="B295" s="244">
        <f t="shared" si="5"/>
        <v>0</v>
      </c>
      <c r="C295" s="244">
        <f t="shared" si="6"/>
        <v>0</v>
      </c>
      <c r="D295" s="38">
        <v>284.0</v>
      </c>
      <c r="E295" s="243"/>
      <c r="F295" s="239"/>
      <c r="G295" s="240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2.0" customHeight="1">
      <c r="A296" s="244">
        <f t="shared" si="4"/>
        <v>0</v>
      </c>
      <c r="B296" s="244">
        <f t="shared" si="5"/>
        <v>0</v>
      </c>
      <c r="C296" s="244">
        <f t="shared" si="6"/>
        <v>0</v>
      </c>
      <c r="D296" s="38">
        <v>285.0</v>
      </c>
      <c r="E296" s="243"/>
      <c r="F296" s="239"/>
      <c r="G296" s="240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2.0" customHeight="1">
      <c r="A297" s="244">
        <f t="shared" si="4"/>
        <v>0</v>
      </c>
      <c r="B297" s="244">
        <f t="shared" si="5"/>
        <v>0</v>
      </c>
      <c r="C297" s="244">
        <f t="shared" si="6"/>
        <v>0</v>
      </c>
      <c r="D297" s="38">
        <v>286.0</v>
      </c>
      <c r="E297" s="243"/>
      <c r="F297" s="239"/>
      <c r="G297" s="240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2.0" customHeight="1">
      <c r="A298" s="244">
        <f t="shared" si="4"/>
        <v>0</v>
      </c>
      <c r="B298" s="244">
        <f t="shared" si="5"/>
        <v>0</v>
      </c>
      <c r="C298" s="244">
        <f t="shared" si="6"/>
        <v>0</v>
      </c>
      <c r="D298" s="38">
        <v>287.0</v>
      </c>
      <c r="E298" s="243"/>
      <c r="F298" s="239"/>
      <c r="G298" s="240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2.0" customHeight="1">
      <c r="A299" s="244">
        <f t="shared" si="4"/>
        <v>0</v>
      </c>
      <c r="B299" s="244">
        <f t="shared" si="5"/>
        <v>0</v>
      </c>
      <c r="C299" s="244">
        <f t="shared" si="6"/>
        <v>0</v>
      </c>
      <c r="D299" s="38">
        <v>288.0</v>
      </c>
      <c r="E299" s="243"/>
      <c r="F299" s="239"/>
      <c r="G299" s="240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2.0" customHeight="1">
      <c r="A300" s="244">
        <f t="shared" si="4"/>
        <v>0</v>
      </c>
      <c r="B300" s="244">
        <f t="shared" si="5"/>
        <v>0</v>
      </c>
      <c r="C300" s="244">
        <f t="shared" si="6"/>
        <v>0</v>
      </c>
      <c r="D300" s="38">
        <v>289.0</v>
      </c>
      <c r="E300" s="243"/>
      <c r="F300" s="239"/>
      <c r="G300" s="240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2.0" customHeight="1">
      <c r="A301" s="244">
        <f t="shared" si="4"/>
        <v>0</v>
      </c>
      <c r="B301" s="244">
        <f t="shared" si="5"/>
        <v>0</v>
      </c>
      <c r="C301" s="244">
        <f t="shared" si="6"/>
        <v>0</v>
      </c>
      <c r="D301" s="38">
        <v>290.0</v>
      </c>
      <c r="E301" s="243"/>
      <c r="F301" s="239"/>
      <c r="G301" s="240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2.0" customHeight="1">
      <c r="A302" s="244">
        <f t="shared" si="4"/>
        <v>0</v>
      </c>
      <c r="B302" s="244">
        <f t="shared" si="5"/>
        <v>0</v>
      </c>
      <c r="C302" s="244">
        <f t="shared" si="6"/>
        <v>0</v>
      </c>
      <c r="D302" s="38">
        <v>291.0</v>
      </c>
      <c r="E302" s="243"/>
      <c r="F302" s="239"/>
      <c r="G302" s="240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2.0" customHeight="1">
      <c r="A303" s="244">
        <f t="shared" si="4"/>
        <v>0</v>
      </c>
      <c r="B303" s="244">
        <f t="shared" si="5"/>
        <v>0</v>
      </c>
      <c r="C303" s="244">
        <f t="shared" si="6"/>
        <v>0</v>
      </c>
      <c r="D303" s="38">
        <v>292.0</v>
      </c>
      <c r="E303" s="243"/>
      <c r="F303" s="239"/>
      <c r="G303" s="240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2.0" customHeight="1">
      <c r="A304" s="244">
        <f t="shared" si="4"/>
        <v>0</v>
      </c>
      <c r="B304" s="244">
        <f t="shared" si="5"/>
        <v>0</v>
      </c>
      <c r="C304" s="244">
        <f t="shared" si="6"/>
        <v>0</v>
      </c>
      <c r="D304" s="38">
        <v>293.0</v>
      </c>
      <c r="E304" s="243"/>
      <c r="F304" s="239"/>
      <c r="G304" s="240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2.0" customHeight="1">
      <c r="A305" s="244">
        <f t="shared" si="4"/>
        <v>0</v>
      </c>
      <c r="B305" s="244">
        <f t="shared" si="5"/>
        <v>0</v>
      </c>
      <c r="C305" s="244">
        <f t="shared" si="6"/>
        <v>0</v>
      </c>
      <c r="D305" s="38">
        <v>294.0</v>
      </c>
      <c r="E305" s="243"/>
      <c r="F305" s="239"/>
      <c r="G305" s="240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2.0" customHeight="1">
      <c r="A306" s="244">
        <f t="shared" si="4"/>
        <v>0</v>
      </c>
      <c r="B306" s="244">
        <f t="shared" si="5"/>
        <v>0</v>
      </c>
      <c r="C306" s="244">
        <f t="shared" si="6"/>
        <v>0</v>
      </c>
      <c r="D306" s="38">
        <v>295.0</v>
      </c>
      <c r="E306" s="243"/>
      <c r="F306" s="239"/>
      <c r="G306" s="240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2.0" customHeight="1">
      <c r="A307" s="244">
        <f t="shared" si="4"/>
        <v>0</v>
      </c>
      <c r="B307" s="244">
        <f t="shared" si="5"/>
        <v>0</v>
      </c>
      <c r="C307" s="244">
        <f t="shared" si="6"/>
        <v>0</v>
      </c>
      <c r="D307" s="38">
        <v>296.0</v>
      </c>
      <c r="E307" s="243"/>
      <c r="F307" s="239"/>
      <c r="G307" s="240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2.0" customHeight="1">
      <c r="A308" s="244">
        <f t="shared" si="4"/>
        <v>0</v>
      </c>
      <c r="B308" s="244">
        <f t="shared" si="5"/>
        <v>0</v>
      </c>
      <c r="C308" s="244">
        <f t="shared" si="6"/>
        <v>0</v>
      </c>
      <c r="D308" s="38">
        <v>297.0</v>
      </c>
      <c r="E308" s="243"/>
      <c r="F308" s="239"/>
      <c r="G308" s="240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2.0" customHeight="1">
      <c r="A309" s="244">
        <f t="shared" si="4"/>
        <v>0</v>
      </c>
      <c r="B309" s="244">
        <f t="shared" si="5"/>
        <v>0</v>
      </c>
      <c r="C309" s="244">
        <f t="shared" si="6"/>
        <v>0</v>
      </c>
      <c r="D309" s="38">
        <v>298.0</v>
      </c>
      <c r="E309" s="243"/>
      <c r="F309" s="239"/>
      <c r="G309" s="240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2.0" customHeight="1">
      <c r="A310" s="244">
        <f t="shared" si="4"/>
        <v>0</v>
      </c>
      <c r="B310" s="244">
        <f t="shared" si="5"/>
        <v>0</v>
      </c>
      <c r="C310" s="244">
        <f t="shared" si="6"/>
        <v>0</v>
      </c>
      <c r="D310" s="38">
        <v>299.0</v>
      </c>
      <c r="E310" s="243"/>
      <c r="F310" s="239"/>
      <c r="G310" s="240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2.0" customHeight="1">
      <c r="A311" s="244">
        <f t="shared" si="4"/>
        <v>0</v>
      </c>
      <c r="B311" s="244">
        <f t="shared" si="5"/>
        <v>0</v>
      </c>
      <c r="C311" s="244">
        <f t="shared" si="6"/>
        <v>0</v>
      </c>
      <c r="D311" s="38">
        <v>300.0</v>
      </c>
      <c r="E311" s="243"/>
      <c r="F311" s="239"/>
      <c r="G311" s="240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2.0" customHeight="1">
      <c r="A312" s="244">
        <f t="shared" si="4"/>
        <v>0</v>
      </c>
      <c r="B312" s="244">
        <f t="shared" si="5"/>
        <v>0</v>
      </c>
      <c r="C312" s="244">
        <f t="shared" si="6"/>
        <v>0</v>
      </c>
      <c r="D312" s="38">
        <v>301.0</v>
      </c>
      <c r="E312" s="243"/>
      <c r="F312" s="239"/>
      <c r="G312" s="240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2.0" customHeight="1">
      <c r="A313" s="244">
        <f t="shared" si="4"/>
        <v>0</v>
      </c>
      <c r="B313" s="244">
        <f t="shared" si="5"/>
        <v>0</v>
      </c>
      <c r="C313" s="244">
        <f t="shared" si="6"/>
        <v>0</v>
      </c>
      <c r="D313" s="38">
        <v>302.0</v>
      </c>
      <c r="E313" s="243"/>
      <c r="F313" s="239"/>
      <c r="G313" s="240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2.0" customHeight="1">
      <c r="A314" s="244">
        <f t="shared" si="4"/>
        <v>0</v>
      </c>
      <c r="B314" s="244">
        <f t="shared" si="5"/>
        <v>0</v>
      </c>
      <c r="C314" s="244">
        <f t="shared" si="6"/>
        <v>0</v>
      </c>
      <c r="D314" s="38">
        <v>303.0</v>
      </c>
      <c r="E314" s="243"/>
      <c r="F314" s="239"/>
      <c r="G314" s="240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2.0" customHeight="1">
      <c r="A315" s="244">
        <f t="shared" si="4"/>
        <v>0</v>
      </c>
      <c r="B315" s="244">
        <f t="shared" si="5"/>
        <v>0</v>
      </c>
      <c r="C315" s="244">
        <f t="shared" si="6"/>
        <v>0</v>
      </c>
      <c r="D315" s="38">
        <v>304.0</v>
      </c>
      <c r="E315" s="243"/>
      <c r="F315" s="239"/>
      <c r="G315" s="240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2.0" customHeight="1">
      <c r="A316" s="244">
        <f t="shared" si="4"/>
        <v>0</v>
      </c>
      <c r="B316" s="244">
        <f t="shared" si="5"/>
        <v>0</v>
      </c>
      <c r="C316" s="244">
        <f t="shared" si="6"/>
        <v>0</v>
      </c>
      <c r="D316" s="38">
        <v>305.0</v>
      </c>
      <c r="E316" s="243"/>
      <c r="F316" s="239"/>
      <c r="G316" s="240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2.0" customHeight="1">
      <c r="A317" s="244">
        <f t="shared" si="4"/>
        <v>0</v>
      </c>
      <c r="B317" s="244">
        <f t="shared" si="5"/>
        <v>0</v>
      </c>
      <c r="C317" s="244">
        <f t="shared" si="6"/>
        <v>0</v>
      </c>
      <c r="D317" s="38">
        <v>306.0</v>
      </c>
      <c r="E317" s="243"/>
      <c r="F317" s="239"/>
      <c r="G317" s="240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2.0" customHeight="1">
      <c r="A318" s="244">
        <f t="shared" si="4"/>
        <v>0</v>
      </c>
      <c r="B318" s="244">
        <f t="shared" si="5"/>
        <v>0</v>
      </c>
      <c r="C318" s="244">
        <f t="shared" si="6"/>
        <v>0</v>
      </c>
      <c r="D318" s="38">
        <v>307.0</v>
      </c>
      <c r="E318" s="243"/>
      <c r="F318" s="239"/>
      <c r="G318" s="240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2.0" customHeight="1">
      <c r="A319" s="244">
        <f t="shared" si="4"/>
        <v>0</v>
      </c>
      <c r="B319" s="244">
        <f t="shared" si="5"/>
        <v>0</v>
      </c>
      <c r="C319" s="244">
        <f t="shared" si="6"/>
        <v>0</v>
      </c>
      <c r="D319" s="38">
        <v>308.0</v>
      </c>
      <c r="E319" s="243"/>
      <c r="F319" s="239"/>
      <c r="G319" s="240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2.0" customHeight="1">
      <c r="A320" s="244">
        <f t="shared" si="4"/>
        <v>0</v>
      </c>
      <c r="B320" s="244">
        <f t="shared" si="5"/>
        <v>0</v>
      </c>
      <c r="C320" s="244">
        <f t="shared" si="6"/>
        <v>0</v>
      </c>
      <c r="D320" s="38">
        <v>309.0</v>
      </c>
      <c r="E320" s="243"/>
      <c r="F320" s="239"/>
      <c r="G320" s="240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2.0" customHeight="1">
      <c r="A321" s="244">
        <f t="shared" si="4"/>
        <v>0</v>
      </c>
      <c r="B321" s="244">
        <f t="shared" si="5"/>
        <v>0</v>
      </c>
      <c r="C321" s="244">
        <f t="shared" si="6"/>
        <v>0</v>
      </c>
      <c r="D321" s="38">
        <v>310.0</v>
      </c>
      <c r="E321" s="243"/>
      <c r="F321" s="239"/>
      <c r="G321" s="240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2.0" customHeight="1">
      <c r="A322" s="244">
        <f t="shared" si="4"/>
        <v>0</v>
      </c>
      <c r="B322" s="244">
        <f t="shared" si="5"/>
        <v>0</v>
      </c>
      <c r="C322" s="244">
        <f t="shared" si="6"/>
        <v>0</v>
      </c>
      <c r="D322" s="38">
        <v>311.0</v>
      </c>
      <c r="E322" s="243"/>
      <c r="F322" s="239"/>
      <c r="G322" s="240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2.0" customHeight="1">
      <c r="A323" s="244">
        <f t="shared" si="4"/>
        <v>0</v>
      </c>
      <c r="B323" s="244">
        <f t="shared" si="5"/>
        <v>0</v>
      </c>
      <c r="C323" s="244">
        <f t="shared" si="6"/>
        <v>0</v>
      </c>
      <c r="D323" s="38">
        <v>312.0</v>
      </c>
      <c r="E323" s="243"/>
      <c r="F323" s="239"/>
      <c r="G323" s="240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2.0" customHeight="1">
      <c r="A324" s="244">
        <f t="shared" si="4"/>
        <v>0</v>
      </c>
      <c r="B324" s="244">
        <f t="shared" si="5"/>
        <v>0</v>
      </c>
      <c r="C324" s="244">
        <f t="shared" si="6"/>
        <v>0</v>
      </c>
      <c r="D324" s="38">
        <v>313.0</v>
      </c>
      <c r="E324" s="243"/>
      <c r="F324" s="239"/>
      <c r="G324" s="240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2.0" customHeight="1">
      <c r="A325" s="244">
        <f t="shared" si="4"/>
        <v>0</v>
      </c>
      <c r="B325" s="244">
        <f t="shared" si="5"/>
        <v>0</v>
      </c>
      <c r="C325" s="244">
        <f t="shared" si="6"/>
        <v>0</v>
      </c>
      <c r="D325" s="38">
        <v>314.0</v>
      </c>
      <c r="E325" s="243"/>
      <c r="F325" s="239"/>
      <c r="G325" s="240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2.0" customHeight="1">
      <c r="A326" s="244">
        <f t="shared" si="4"/>
        <v>0</v>
      </c>
      <c r="B326" s="244">
        <f t="shared" si="5"/>
        <v>0</v>
      </c>
      <c r="C326" s="244">
        <f t="shared" si="6"/>
        <v>0</v>
      </c>
      <c r="D326" s="38">
        <v>315.0</v>
      </c>
      <c r="E326" s="243"/>
      <c r="F326" s="239"/>
      <c r="G326" s="240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2.0" customHeight="1">
      <c r="A327" s="244">
        <f t="shared" si="4"/>
        <v>0</v>
      </c>
      <c r="B327" s="244">
        <f t="shared" si="5"/>
        <v>0</v>
      </c>
      <c r="C327" s="244">
        <f t="shared" si="6"/>
        <v>0</v>
      </c>
      <c r="D327" s="38">
        <v>316.0</v>
      </c>
      <c r="E327" s="243"/>
      <c r="F327" s="239"/>
      <c r="G327" s="240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2.0" customHeight="1">
      <c r="A328" s="244">
        <f t="shared" si="4"/>
        <v>0</v>
      </c>
      <c r="B328" s="244">
        <f t="shared" si="5"/>
        <v>0</v>
      </c>
      <c r="C328" s="244">
        <f t="shared" si="6"/>
        <v>0</v>
      </c>
      <c r="D328" s="38">
        <v>317.0</v>
      </c>
      <c r="E328" s="243"/>
      <c r="F328" s="239"/>
      <c r="G328" s="240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2.0" customHeight="1">
      <c r="A329" s="244">
        <f t="shared" si="4"/>
        <v>0</v>
      </c>
      <c r="B329" s="244">
        <f t="shared" si="5"/>
        <v>0</v>
      </c>
      <c r="C329" s="244">
        <f t="shared" si="6"/>
        <v>0</v>
      </c>
      <c r="D329" s="38">
        <v>318.0</v>
      </c>
      <c r="E329" s="243"/>
      <c r="F329" s="239"/>
      <c r="G329" s="240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2.0" customHeight="1">
      <c r="A330" s="244">
        <f t="shared" si="4"/>
        <v>0</v>
      </c>
      <c r="B330" s="244">
        <f t="shared" si="5"/>
        <v>0</v>
      </c>
      <c r="C330" s="244">
        <f t="shared" si="6"/>
        <v>0</v>
      </c>
      <c r="D330" s="38">
        <v>319.0</v>
      </c>
      <c r="E330" s="243"/>
      <c r="F330" s="239"/>
      <c r="G330" s="240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2.0" customHeight="1">
      <c r="A331" s="244">
        <f t="shared" si="4"/>
        <v>0</v>
      </c>
      <c r="B331" s="244">
        <f t="shared" si="5"/>
        <v>0</v>
      </c>
      <c r="C331" s="244">
        <f t="shared" si="6"/>
        <v>0</v>
      </c>
      <c r="D331" s="38">
        <v>320.0</v>
      </c>
      <c r="E331" s="243"/>
      <c r="F331" s="239"/>
      <c r="G331" s="240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2.0" customHeight="1">
      <c r="A332" s="244">
        <f t="shared" si="4"/>
        <v>0</v>
      </c>
      <c r="B332" s="244">
        <f t="shared" si="5"/>
        <v>0</v>
      </c>
      <c r="C332" s="244">
        <f t="shared" si="6"/>
        <v>0</v>
      </c>
      <c r="D332" s="38">
        <v>321.0</v>
      </c>
      <c r="E332" s="243"/>
      <c r="F332" s="239"/>
      <c r="G332" s="240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2.0" customHeight="1">
      <c r="A333" s="244">
        <f t="shared" si="4"/>
        <v>0</v>
      </c>
      <c r="B333" s="244">
        <f t="shared" si="5"/>
        <v>0</v>
      </c>
      <c r="C333" s="244">
        <f t="shared" si="6"/>
        <v>0</v>
      </c>
      <c r="D333" s="38">
        <v>322.0</v>
      </c>
      <c r="E333" s="243"/>
      <c r="F333" s="239"/>
      <c r="G333" s="240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2.0" customHeight="1">
      <c r="A334" s="244">
        <f t="shared" si="4"/>
        <v>0</v>
      </c>
      <c r="B334" s="244">
        <f t="shared" si="5"/>
        <v>0</v>
      </c>
      <c r="C334" s="244">
        <f t="shared" si="6"/>
        <v>0</v>
      </c>
      <c r="D334" s="38">
        <v>323.0</v>
      </c>
      <c r="E334" s="243"/>
      <c r="F334" s="239"/>
      <c r="G334" s="240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2.0" customHeight="1">
      <c r="A335" s="244">
        <f t="shared" si="4"/>
        <v>0</v>
      </c>
      <c r="B335" s="244">
        <f t="shared" si="5"/>
        <v>0</v>
      </c>
      <c r="C335" s="244">
        <f t="shared" si="6"/>
        <v>0</v>
      </c>
      <c r="D335" s="38">
        <v>324.0</v>
      </c>
      <c r="E335" s="243"/>
      <c r="F335" s="239"/>
      <c r="G335" s="240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2.0" customHeight="1">
      <c r="A336" s="244">
        <f t="shared" si="4"/>
        <v>0</v>
      </c>
      <c r="B336" s="244">
        <f t="shared" si="5"/>
        <v>0</v>
      </c>
      <c r="C336" s="244">
        <f t="shared" si="6"/>
        <v>0</v>
      </c>
      <c r="D336" s="38">
        <v>325.0</v>
      </c>
      <c r="E336" s="243"/>
      <c r="F336" s="239"/>
      <c r="G336" s="240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2.0" customHeight="1">
      <c r="A337" s="244">
        <f t="shared" si="4"/>
        <v>0</v>
      </c>
      <c r="B337" s="244">
        <f t="shared" si="5"/>
        <v>0</v>
      </c>
      <c r="C337" s="244">
        <f t="shared" si="6"/>
        <v>0</v>
      </c>
      <c r="D337" s="38">
        <v>326.0</v>
      </c>
      <c r="E337" s="243"/>
      <c r="F337" s="239"/>
      <c r="G337" s="240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2.0" customHeight="1">
      <c r="A338" s="244">
        <f t="shared" si="4"/>
        <v>0</v>
      </c>
      <c r="B338" s="244">
        <f t="shared" si="5"/>
        <v>0</v>
      </c>
      <c r="C338" s="244">
        <f t="shared" si="6"/>
        <v>0</v>
      </c>
      <c r="D338" s="38">
        <v>327.0</v>
      </c>
      <c r="E338" s="243"/>
      <c r="F338" s="239"/>
      <c r="G338" s="240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2.0" customHeight="1">
      <c r="A339" s="244">
        <f t="shared" si="4"/>
        <v>0</v>
      </c>
      <c r="B339" s="244">
        <f t="shared" si="5"/>
        <v>0</v>
      </c>
      <c r="C339" s="244">
        <f t="shared" si="6"/>
        <v>0</v>
      </c>
      <c r="D339" s="38">
        <v>328.0</v>
      </c>
      <c r="E339" s="243"/>
      <c r="F339" s="239"/>
      <c r="G339" s="240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2.0" customHeight="1">
      <c r="A340" s="244">
        <f t="shared" si="4"/>
        <v>0</v>
      </c>
      <c r="B340" s="244">
        <f t="shared" si="5"/>
        <v>0</v>
      </c>
      <c r="C340" s="244">
        <f t="shared" si="6"/>
        <v>0</v>
      </c>
      <c r="D340" s="38">
        <v>329.0</v>
      </c>
      <c r="E340" s="243"/>
      <c r="F340" s="239"/>
      <c r="G340" s="240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2.0" customHeight="1">
      <c r="A341" s="244">
        <f t="shared" si="4"/>
        <v>0</v>
      </c>
      <c r="B341" s="244">
        <f t="shared" si="5"/>
        <v>0</v>
      </c>
      <c r="C341" s="244">
        <f t="shared" si="6"/>
        <v>0</v>
      </c>
      <c r="D341" s="38">
        <v>330.0</v>
      </c>
      <c r="E341" s="243"/>
      <c r="F341" s="239"/>
      <c r="G341" s="240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2.0" customHeight="1">
      <c r="A342" s="244">
        <f t="shared" si="4"/>
        <v>0</v>
      </c>
      <c r="B342" s="244">
        <f t="shared" si="5"/>
        <v>0</v>
      </c>
      <c r="C342" s="244">
        <f t="shared" si="6"/>
        <v>0</v>
      </c>
      <c r="D342" s="38">
        <v>331.0</v>
      </c>
      <c r="E342" s="243"/>
      <c r="F342" s="239"/>
      <c r="G342" s="240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2.0" customHeight="1">
      <c r="A343" s="244">
        <f t="shared" si="4"/>
        <v>0</v>
      </c>
      <c r="B343" s="244">
        <f t="shared" si="5"/>
        <v>0</v>
      </c>
      <c r="C343" s="244">
        <f t="shared" si="6"/>
        <v>0</v>
      </c>
      <c r="D343" s="38">
        <v>332.0</v>
      </c>
      <c r="E343" s="243"/>
      <c r="F343" s="239"/>
      <c r="G343" s="240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2.0" customHeight="1">
      <c r="A344" s="244">
        <f t="shared" si="4"/>
        <v>0</v>
      </c>
      <c r="B344" s="244">
        <f t="shared" si="5"/>
        <v>0</v>
      </c>
      <c r="C344" s="244">
        <f t="shared" si="6"/>
        <v>0</v>
      </c>
      <c r="D344" s="38">
        <v>333.0</v>
      </c>
      <c r="E344" s="243"/>
      <c r="F344" s="239"/>
      <c r="G344" s="240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2.0" customHeight="1">
      <c r="A345" s="244">
        <f t="shared" si="4"/>
        <v>0</v>
      </c>
      <c r="B345" s="244">
        <f t="shared" si="5"/>
        <v>0</v>
      </c>
      <c r="C345" s="244">
        <f t="shared" si="6"/>
        <v>0</v>
      </c>
      <c r="D345" s="38">
        <v>334.0</v>
      </c>
      <c r="E345" s="243"/>
      <c r="F345" s="239"/>
      <c r="G345" s="240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2.0" customHeight="1">
      <c r="A346" s="244">
        <f t="shared" si="4"/>
        <v>0</v>
      </c>
      <c r="B346" s="244">
        <f t="shared" si="5"/>
        <v>0</v>
      </c>
      <c r="C346" s="244">
        <f t="shared" si="6"/>
        <v>0</v>
      </c>
      <c r="D346" s="38">
        <v>335.0</v>
      </c>
      <c r="E346" s="243"/>
      <c r="F346" s="239"/>
      <c r="G346" s="240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2.0" customHeight="1">
      <c r="A347" s="244">
        <f t="shared" si="4"/>
        <v>0</v>
      </c>
      <c r="B347" s="244">
        <f t="shared" si="5"/>
        <v>0</v>
      </c>
      <c r="C347" s="244">
        <f t="shared" si="6"/>
        <v>0</v>
      </c>
      <c r="D347" s="38">
        <v>336.0</v>
      </c>
      <c r="E347" s="243"/>
      <c r="F347" s="239"/>
      <c r="G347" s="240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2.0" customHeight="1">
      <c r="A348" s="244">
        <f t="shared" si="4"/>
        <v>0</v>
      </c>
      <c r="B348" s="244">
        <f t="shared" si="5"/>
        <v>0</v>
      </c>
      <c r="C348" s="244">
        <f t="shared" si="6"/>
        <v>0</v>
      </c>
      <c r="D348" s="38">
        <v>337.0</v>
      </c>
      <c r="E348" s="243"/>
      <c r="F348" s="239"/>
      <c r="G348" s="240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2.0" customHeight="1">
      <c r="A349" s="244">
        <f t="shared" si="4"/>
        <v>0</v>
      </c>
      <c r="B349" s="244">
        <f t="shared" si="5"/>
        <v>0</v>
      </c>
      <c r="C349" s="244">
        <f t="shared" si="6"/>
        <v>0</v>
      </c>
      <c r="D349" s="38">
        <v>338.0</v>
      </c>
      <c r="E349" s="243"/>
      <c r="F349" s="239"/>
      <c r="G349" s="240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2.0" customHeight="1">
      <c r="A350" s="244">
        <f t="shared" si="4"/>
        <v>0</v>
      </c>
      <c r="B350" s="244">
        <f t="shared" si="5"/>
        <v>0</v>
      </c>
      <c r="C350" s="244">
        <f t="shared" si="6"/>
        <v>0</v>
      </c>
      <c r="D350" s="38">
        <v>339.0</v>
      </c>
      <c r="E350" s="243"/>
      <c r="F350" s="239"/>
      <c r="G350" s="240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2.0" customHeight="1">
      <c r="A351" s="244">
        <f t="shared" si="4"/>
        <v>0</v>
      </c>
      <c r="B351" s="244">
        <f t="shared" si="5"/>
        <v>0</v>
      </c>
      <c r="C351" s="244">
        <f t="shared" si="6"/>
        <v>0</v>
      </c>
      <c r="D351" s="38">
        <v>340.0</v>
      </c>
      <c r="E351" s="243"/>
      <c r="F351" s="239"/>
      <c r="G351" s="240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2.0" customHeight="1">
      <c r="A352" s="244">
        <f t="shared" si="4"/>
        <v>0</v>
      </c>
      <c r="B352" s="244">
        <f t="shared" si="5"/>
        <v>0</v>
      </c>
      <c r="C352" s="244">
        <f t="shared" si="6"/>
        <v>0</v>
      </c>
      <c r="D352" s="38">
        <v>341.0</v>
      </c>
      <c r="E352" s="243"/>
      <c r="F352" s="239"/>
      <c r="G352" s="240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2.0" customHeight="1">
      <c r="A353" s="244">
        <f t="shared" si="4"/>
        <v>0</v>
      </c>
      <c r="B353" s="244">
        <f t="shared" si="5"/>
        <v>0</v>
      </c>
      <c r="C353" s="244">
        <f t="shared" si="6"/>
        <v>0</v>
      </c>
      <c r="D353" s="38">
        <v>342.0</v>
      </c>
      <c r="E353" s="243"/>
      <c r="F353" s="239"/>
      <c r="G353" s="240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2.0" customHeight="1">
      <c r="A354" s="244">
        <f t="shared" si="4"/>
        <v>0</v>
      </c>
      <c r="B354" s="244">
        <f t="shared" si="5"/>
        <v>0</v>
      </c>
      <c r="C354" s="244">
        <f t="shared" si="6"/>
        <v>0</v>
      </c>
      <c r="D354" s="38">
        <v>343.0</v>
      </c>
      <c r="E354" s="243"/>
      <c r="F354" s="239"/>
      <c r="G354" s="240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2.0" customHeight="1">
      <c r="A355" s="244">
        <f t="shared" si="4"/>
        <v>0</v>
      </c>
      <c r="B355" s="244">
        <f t="shared" si="5"/>
        <v>0</v>
      </c>
      <c r="C355" s="244">
        <f t="shared" si="6"/>
        <v>0</v>
      </c>
      <c r="D355" s="38">
        <v>344.0</v>
      </c>
      <c r="E355" s="243"/>
      <c r="F355" s="239"/>
      <c r="G355" s="240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2.0" customHeight="1">
      <c r="A356" s="244">
        <f t="shared" si="4"/>
        <v>0</v>
      </c>
      <c r="B356" s="244">
        <f t="shared" si="5"/>
        <v>0</v>
      </c>
      <c r="C356" s="244">
        <f t="shared" si="6"/>
        <v>0</v>
      </c>
      <c r="D356" s="38">
        <v>345.0</v>
      </c>
      <c r="E356" s="243"/>
      <c r="F356" s="239"/>
      <c r="G356" s="240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2.0" customHeight="1">
      <c r="A357" s="244">
        <f t="shared" si="4"/>
        <v>0</v>
      </c>
      <c r="B357" s="244">
        <f t="shared" si="5"/>
        <v>0</v>
      </c>
      <c r="C357" s="244">
        <f t="shared" si="6"/>
        <v>0</v>
      </c>
      <c r="D357" s="38">
        <v>346.0</v>
      </c>
      <c r="E357" s="243"/>
      <c r="F357" s="239"/>
      <c r="G357" s="240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2.0" customHeight="1">
      <c r="A358" s="244">
        <f t="shared" si="4"/>
        <v>0</v>
      </c>
      <c r="B358" s="244">
        <f t="shared" si="5"/>
        <v>0</v>
      </c>
      <c r="C358" s="244">
        <f t="shared" si="6"/>
        <v>0</v>
      </c>
      <c r="D358" s="38">
        <v>347.0</v>
      </c>
      <c r="E358" s="243"/>
      <c r="F358" s="239"/>
      <c r="G358" s="240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2.0" customHeight="1">
      <c r="A359" s="244">
        <f t="shared" si="4"/>
        <v>0</v>
      </c>
      <c r="B359" s="244">
        <f t="shared" si="5"/>
        <v>0</v>
      </c>
      <c r="C359" s="244">
        <f t="shared" si="6"/>
        <v>0</v>
      </c>
      <c r="D359" s="38">
        <v>348.0</v>
      </c>
      <c r="E359" s="243"/>
      <c r="F359" s="239"/>
      <c r="G359" s="240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2.0" customHeight="1">
      <c r="A360" s="244">
        <f t="shared" si="4"/>
        <v>0</v>
      </c>
      <c r="B360" s="244">
        <f t="shared" si="5"/>
        <v>0</v>
      </c>
      <c r="C360" s="244">
        <f t="shared" si="6"/>
        <v>0</v>
      </c>
      <c r="D360" s="38">
        <v>349.0</v>
      </c>
      <c r="E360" s="243"/>
      <c r="F360" s="239"/>
      <c r="G360" s="240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2.0" customHeight="1">
      <c r="A361" s="244">
        <f t="shared" si="4"/>
        <v>0</v>
      </c>
      <c r="B361" s="244">
        <f t="shared" si="5"/>
        <v>0</v>
      </c>
      <c r="C361" s="244">
        <f t="shared" si="6"/>
        <v>0</v>
      </c>
      <c r="D361" s="38">
        <v>350.0</v>
      </c>
      <c r="E361" s="243"/>
      <c r="F361" s="239"/>
      <c r="G361" s="240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2.0" customHeight="1">
      <c r="A362" s="244">
        <f t="shared" si="4"/>
        <v>0</v>
      </c>
      <c r="B362" s="244">
        <f t="shared" si="5"/>
        <v>0</v>
      </c>
      <c r="C362" s="244">
        <f t="shared" si="6"/>
        <v>0</v>
      </c>
      <c r="D362" s="38">
        <v>351.0</v>
      </c>
      <c r="E362" s="243"/>
      <c r="F362" s="239"/>
      <c r="G362" s="240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2.0" customHeight="1">
      <c r="A363" s="244">
        <f t="shared" si="4"/>
        <v>0</v>
      </c>
      <c r="B363" s="244">
        <f t="shared" si="5"/>
        <v>0</v>
      </c>
      <c r="C363" s="244">
        <f t="shared" si="6"/>
        <v>0</v>
      </c>
      <c r="D363" s="38">
        <v>352.0</v>
      </c>
      <c r="E363" s="243"/>
      <c r="F363" s="239"/>
      <c r="G363" s="240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2.0" customHeight="1">
      <c r="A364" s="244">
        <f t="shared" si="4"/>
        <v>0</v>
      </c>
      <c r="B364" s="244">
        <f t="shared" si="5"/>
        <v>0</v>
      </c>
      <c r="C364" s="244">
        <f t="shared" si="6"/>
        <v>0</v>
      </c>
      <c r="D364" s="38">
        <v>353.0</v>
      </c>
      <c r="E364" s="243"/>
      <c r="F364" s="239"/>
      <c r="G364" s="240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2.0" customHeight="1">
      <c r="A365" s="244">
        <f t="shared" si="4"/>
        <v>0</v>
      </c>
      <c r="B365" s="244">
        <f t="shared" si="5"/>
        <v>0</v>
      </c>
      <c r="C365" s="244">
        <f t="shared" si="6"/>
        <v>0</v>
      </c>
      <c r="D365" s="38">
        <v>354.0</v>
      </c>
      <c r="E365" s="243"/>
      <c r="F365" s="239"/>
      <c r="G365" s="240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2.0" customHeight="1">
      <c r="A366" s="244">
        <f t="shared" si="4"/>
        <v>0</v>
      </c>
      <c r="B366" s="244">
        <f t="shared" si="5"/>
        <v>0</v>
      </c>
      <c r="C366" s="244">
        <f t="shared" si="6"/>
        <v>0</v>
      </c>
      <c r="D366" s="38">
        <v>355.0</v>
      </c>
      <c r="E366" s="243"/>
      <c r="F366" s="239"/>
      <c r="G366" s="240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2.0" customHeight="1">
      <c r="A367" s="244">
        <f t="shared" si="4"/>
        <v>0</v>
      </c>
      <c r="B367" s="244">
        <f t="shared" si="5"/>
        <v>0</v>
      </c>
      <c r="C367" s="244">
        <f t="shared" si="6"/>
        <v>0</v>
      </c>
      <c r="D367" s="38">
        <v>356.0</v>
      </c>
      <c r="E367" s="243"/>
      <c r="F367" s="239"/>
      <c r="G367" s="240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2.0" customHeight="1">
      <c r="A368" s="244">
        <f t="shared" si="4"/>
        <v>0</v>
      </c>
      <c r="B368" s="244">
        <f t="shared" si="5"/>
        <v>0</v>
      </c>
      <c r="C368" s="244">
        <f t="shared" si="6"/>
        <v>0</v>
      </c>
      <c r="D368" s="38">
        <v>357.0</v>
      </c>
      <c r="E368" s="243"/>
      <c r="F368" s="239"/>
      <c r="G368" s="240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2.0" customHeight="1">
      <c r="A369" s="244">
        <f t="shared" si="4"/>
        <v>0</v>
      </c>
      <c r="B369" s="244">
        <f t="shared" si="5"/>
        <v>0</v>
      </c>
      <c r="C369" s="244">
        <f t="shared" si="6"/>
        <v>0</v>
      </c>
      <c r="D369" s="38">
        <v>358.0</v>
      </c>
      <c r="E369" s="243"/>
      <c r="F369" s="239"/>
      <c r="G369" s="240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2.0" customHeight="1">
      <c r="A370" s="244">
        <f t="shared" si="4"/>
        <v>0</v>
      </c>
      <c r="B370" s="244">
        <f t="shared" si="5"/>
        <v>0</v>
      </c>
      <c r="C370" s="244">
        <f t="shared" si="6"/>
        <v>0</v>
      </c>
      <c r="D370" s="38">
        <v>359.0</v>
      </c>
      <c r="E370" s="243"/>
      <c r="F370" s="239"/>
      <c r="G370" s="240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2.0" customHeight="1">
      <c r="A371" s="244">
        <f t="shared" si="4"/>
        <v>0</v>
      </c>
      <c r="B371" s="244">
        <f t="shared" si="5"/>
        <v>0</v>
      </c>
      <c r="C371" s="244">
        <f t="shared" si="6"/>
        <v>0</v>
      </c>
      <c r="D371" s="38">
        <v>360.0</v>
      </c>
      <c r="E371" s="243"/>
      <c r="F371" s="239"/>
      <c r="G371" s="240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2.0" customHeight="1">
      <c r="A372" s="38"/>
      <c r="B372" s="38"/>
      <c r="C372" s="38"/>
      <c r="D372" s="38"/>
      <c r="E372" s="38"/>
      <c r="F372" s="239"/>
      <c r="G372" s="240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2.0" customHeight="1">
      <c r="A373" s="38"/>
      <c r="B373" s="38"/>
      <c r="C373" s="38"/>
      <c r="D373" s="38"/>
      <c r="E373" s="38"/>
      <c r="F373" s="239"/>
      <c r="G373" s="240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2.0" customHeight="1">
      <c r="A374" s="38"/>
      <c r="B374" s="38"/>
      <c r="C374" s="38"/>
      <c r="D374" s="38"/>
      <c r="E374" s="38"/>
      <c r="F374" s="239"/>
      <c r="G374" s="240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2.0" customHeight="1">
      <c r="A375" s="38"/>
      <c r="B375" s="38"/>
      <c r="C375" s="38"/>
      <c r="D375" s="38"/>
      <c r="E375" s="38"/>
      <c r="F375" s="239"/>
      <c r="G375" s="240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2.0" customHeight="1">
      <c r="A376" s="38"/>
      <c r="B376" s="38"/>
      <c r="C376" s="38"/>
      <c r="D376" s="38"/>
      <c r="E376" s="38"/>
      <c r="F376" s="239"/>
      <c r="G376" s="240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2.0" customHeight="1">
      <c r="A377" s="38"/>
      <c r="B377" s="38"/>
      <c r="C377" s="38"/>
      <c r="D377" s="38"/>
      <c r="E377" s="38"/>
      <c r="F377" s="239"/>
      <c r="G377" s="240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2.0" customHeight="1">
      <c r="A378" s="38"/>
      <c r="B378" s="38"/>
      <c r="C378" s="38"/>
      <c r="D378" s="38"/>
      <c r="E378" s="38"/>
      <c r="F378" s="239"/>
      <c r="G378" s="240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2.0" customHeight="1">
      <c r="A379" s="38"/>
      <c r="B379" s="38"/>
      <c r="C379" s="38"/>
      <c r="D379" s="38"/>
      <c r="E379" s="38"/>
      <c r="F379" s="239"/>
      <c r="G379" s="240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2.0" customHeight="1">
      <c r="A380" s="38"/>
      <c r="B380" s="38"/>
      <c r="C380" s="38"/>
      <c r="D380" s="38"/>
      <c r="E380" s="38"/>
      <c r="F380" s="239"/>
      <c r="G380" s="240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2.0" customHeight="1">
      <c r="A381" s="38"/>
      <c r="B381" s="38"/>
      <c r="C381" s="38"/>
      <c r="D381" s="38"/>
      <c r="E381" s="38"/>
      <c r="F381" s="239"/>
      <c r="G381" s="240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2.0" customHeight="1">
      <c r="A382" s="38"/>
      <c r="B382" s="38"/>
      <c r="C382" s="38"/>
      <c r="D382" s="38"/>
      <c r="E382" s="38"/>
      <c r="F382" s="239"/>
      <c r="G382" s="240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2.0" customHeight="1">
      <c r="A383" s="38"/>
      <c r="B383" s="38"/>
      <c r="C383" s="38"/>
      <c r="D383" s="38"/>
      <c r="E383" s="38"/>
      <c r="F383" s="239"/>
      <c r="G383" s="240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2.0" customHeight="1">
      <c r="A384" s="38"/>
      <c r="B384" s="38"/>
      <c r="C384" s="38"/>
      <c r="D384" s="38"/>
      <c r="E384" s="38"/>
      <c r="F384" s="239"/>
      <c r="G384" s="240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2.0" customHeight="1">
      <c r="A385" s="38"/>
      <c r="B385" s="38"/>
      <c r="C385" s="38"/>
      <c r="D385" s="38"/>
      <c r="E385" s="38"/>
      <c r="F385" s="239"/>
      <c r="G385" s="240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2.0" customHeight="1">
      <c r="A386" s="38"/>
      <c r="B386" s="38"/>
      <c r="C386" s="38"/>
      <c r="D386" s="38"/>
      <c r="E386" s="38"/>
      <c r="F386" s="239"/>
      <c r="G386" s="240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2.0" customHeight="1">
      <c r="A387" s="38"/>
      <c r="B387" s="38"/>
      <c r="C387" s="38"/>
      <c r="D387" s="38"/>
      <c r="E387" s="38"/>
      <c r="F387" s="239"/>
      <c r="G387" s="240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2.0" customHeight="1">
      <c r="A388" s="38"/>
      <c r="B388" s="38"/>
      <c r="C388" s="38"/>
      <c r="D388" s="38"/>
      <c r="E388" s="38"/>
      <c r="F388" s="239"/>
      <c r="G388" s="240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2.0" customHeight="1">
      <c r="A389" s="38"/>
      <c r="B389" s="38"/>
      <c r="C389" s="38"/>
      <c r="D389" s="38"/>
      <c r="E389" s="38"/>
      <c r="F389" s="239"/>
      <c r="G389" s="240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2.0" customHeight="1">
      <c r="A390" s="38"/>
      <c r="B390" s="38"/>
      <c r="C390" s="38"/>
      <c r="D390" s="38"/>
      <c r="E390" s="38"/>
      <c r="F390" s="239"/>
      <c r="G390" s="240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2.0" customHeight="1">
      <c r="A391" s="38"/>
      <c r="B391" s="38"/>
      <c r="C391" s="38"/>
      <c r="D391" s="38"/>
      <c r="E391" s="38"/>
      <c r="F391" s="239"/>
      <c r="G391" s="240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2.0" customHeight="1">
      <c r="A392" s="38"/>
      <c r="B392" s="38"/>
      <c r="C392" s="38"/>
      <c r="D392" s="38"/>
      <c r="E392" s="38"/>
      <c r="F392" s="239"/>
      <c r="G392" s="240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2.0" customHeight="1">
      <c r="A393" s="38"/>
      <c r="B393" s="38"/>
      <c r="C393" s="38"/>
      <c r="D393" s="38"/>
      <c r="E393" s="38"/>
      <c r="F393" s="239"/>
      <c r="G393" s="240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2.0" customHeight="1">
      <c r="A394" s="38"/>
      <c r="B394" s="38"/>
      <c r="C394" s="38"/>
      <c r="D394" s="38"/>
      <c r="E394" s="38"/>
      <c r="F394" s="239"/>
      <c r="G394" s="240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2.0" customHeight="1">
      <c r="A395" s="38"/>
      <c r="B395" s="38"/>
      <c r="C395" s="38"/>
      <c r="D395" s="38"/>
      <c r="E395" s="38"/>
      <c r="F395" s="239"/>
      <c r="G395" s="240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2.0" customHeight="1">
      <c r="A396" s="38"/>
      <c r="B396" s="38"/>
      <c r="C396" s="38"/>
      <c r="D396" s="38"/>
      <c r="E396" s="38"/>
      <c r="F396" s="239"/>
      <c r="G396" s="240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2.0" customHeight="1">
      <c r="A397" s="38"/>
      <c r="B397" s="38"/>
      <c r="C397" s="38"/>
      <c r="D397" s="38"/>
      <c r="E397" s="38"/>
      <c r="F397" s="239"/>
      <c r="G397" s="240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2.0" customHeight="1">
      <c r="A398" s="38"/>
      <c r="B398" s="38"/>
      <c r="C398" s="38"/>
      <c r="D398" s="38"/>
      <c r="E398" s="38"/>
      <c r="F398" s="239"/>
      <c r="G398" s="240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2.0" customHeight="1">
      <c r="A399" s="38"/>
      <c r="B399" s="38"/>
      <c r="C399" s="38"/>
      <c r="D399" s="38"/>
      <c r="E399" s="38"/>
      <c r="F399" s="239"/>
      <c r="G399" s="240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2.0" customHeight="1">
      <c r="A400" s="38"/>
      <c r="B400" s="38"/>
      <c r="C400" s="38"/>
      <c r="D400" s="38"/>
      <c r="E400" s="38"/>
      <c r="F400" s="239"/>
      <c r="G400" s="240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2.0" customHeight="1">
      <c r="A401" s="38"/>
      <c r="B401" s="38"/>
      <c r="C401" s="38"/>
      <c r="D401" s="38"/>
      <c r="E401" s="38"/>
      <c r="F401" s="239"/>
      <c r="G401" s="240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2.0" customHeight="1">
      <c r="A402" s="38"/>
      <c r="B402" s="38"/>
      <c r="C402" s="38"/>
      <c r="D402" s="38"/>
      <c r="E402" s="38"/>
      <c r="F402" s="239"/>
      <c r="G402" s="240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2.0" customHeight="1">
      <c r="A403" s="38"/>
      <c r="B403" s="38"/>
      <c r="C403" s="38"/>
      <c r="D403" s="38"/>
      <c r="E403" s="38"/>
      <c r="F403" s="239"/>
      <c r="G403" s="240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2.0" customHeight="1">
      <c r="A404" s="38"/>
      <c r="B404" s="38"/>
      <c r="C404" s="38"/>
      <c r="D404" s="38"/>
      <c r="E404" s="38"/>
      <c r="F404" s="239"/>
      <c r="G404" s="240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2.0" customHeight="1">
      <c r="A405" s="38"/>
      <c r="B405" s="38"/>
      <c r="C405" s="38"/>
      <c r="D405" s="38"/>
      <c r="E405" s="38"/>
      <c r="F405" s="239"/>
      <c r="G405" s="240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2.0" customHeight="1">
      <c r="A406" s="38"/>
      <c r="B406" s="38"/>
      <c r="C406" s="38"/>
      <c r="D406" s="38"/>
      <c r="E406" s="38"/>
      <c r="F406" s="239"/>
      <c r="G406" s="240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2.0" customHeight="1">
      <c r="A407" s="38"/>
      <c r="B407" s="38"/>
      <c r="C407" s="38"/>
      <c r="D407" s="38"/>
      <c r="E407" s="38"/>
      <c r="F407" s="239"/>
      <c r="G407" s="240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2.0" customHeight="1">
      <c r="A408" s="38"/>
      <c r="B408" s="38"/>
      <c r="C408" s="38"/>
      <c r="D408" s="38"/>
      <c r="E408" s="38"/>
      <c r="F408" s="239"/>
      <c r="G408" s="240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2.0" customHeight="1">
      <c r="A409" s="38"/>
      <c r="B409" s="38"/>
      <c r="C409" s="38"/>
      <c r="D409" s="38"/>
      <c r="E409" s="38"/>
      <c r="F409" s="239"/>
      <c r="G409" s="240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2.0" customHeight="1">
      <c r="A410" s="38"/>
      <c r="B410" s="38"/>
      <c r="C410" s="38"/>
      <c r="D410" s="38"/>
      <c r="E410" s="38"/>
      <c r="F410" s="239"/>
      <c r="G410" s="240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2.0" customHeight="1">
      <c r="A411" s="38"/>
      <c r="B411" s="38"/>
      <c r="C411" s="38"/>
      <c r="D411" s="38"/>
      <c r="E411" s="38"/>
      <c r="F411" s="239"/>
      <c r="G411" s="240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2.0" customHeight="1">
      <c r="A412" s="38"/>
      <c r="B412" s="38"/>
      <c r="C412" s="38"/>
      <c r="D412" s="38"/>
      <c r="E412" s="38"/>
      <c r="F412" s="239"/>
      <c r="G412" s="240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2.0" customHeight="1">
      <c r="A413" s="38"/>
      <c r="B413" s="38"/>
      <c r="C413" s="38"/>
      <c r="D413" s="38"/>
      <c r="E413" s="38"/>
      <c r="F413" s="239"/>
      <c r="G413" s="240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2.0" customHeight="1">
      <c r="A414" s="38"/>
      <c r="B414" s="38"/>
      <c r="C414" s="38"/>
      <c r="D414" s="38"/>
      <c r="E414" s="38"/>
      <c r="F414" s="239"/>
      <c r="G414" s="240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2.0" customHeight="1">
      <c r="A415" s="38"/>
      <c r="B415" s="38"/>
      <c r="C415" s="38"/>
      <c r="D415" s="38"/>
      <c r="E415" s="38"/>
      <c r="F415" s="239"/>
      <c r="G415" s="240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2.0" customHeight="1">
      <c r="A416" s="38"/>
      <c r="B416" s="38"/>
      <c r="C416" s="38"/>
      <c r="D416" s="38"/>
      <c r="E416" s="38"/>
      <c r="F416" s="239"/>
      <c r="G416" s="240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2.0" customHeight="1">
      <c r="A417" s="38"/>
      <c r="B417" s="38"/>
      <c r="C417" s="38"/>
      <c r="D417" s="38"/>
      <c r="E417" s="38"/>
      <c r="F417" s="239"/>
      <c r="G417" s="240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2.0" customHeight="1">
      <c r="A418" s="38"/>
      <c r="B418" s="38"/>
      <c r="C418" s="38"/>
      <c r="D418" s="38"/>
      <c r="E418" s="38"/>
      <c r="F418" s="239"/>
      <c r="G418" s="240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2.0" customHeight="1">
      <c r="A419" s="38"/>
      <c r="B419" s="38"/>
      <c r="C419" s="38"/>
      <c r="D419" s="38"/>
      <c r="E419" s="38"/>
      <c r="F419" s="239"/>
      <c r="G419" s="240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2.0" customHeight="1">
      <c r="A420" s="38"/>
      <c r="B420" s="38"/>
      <c r="C420" s="38"/>
      <c r="D420" s="38"/>
      <c r="E420" s="38"/>
      <c r="F420" s="239"/>
      <c r="G420" s="240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2.0" customHeight="1">
      <c r="A421" s="38"/>
      <c r="B421" s="38"/>
      <c r="C421" s="38"/>
      <c r="D421" s="38"/>
      <c r="E421" s="38"/>
      <c r="F421" s="239"/>
      <c r="G421" s="240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2.0" customHeight="1">
      <c r="A422" s="38"/>
      <c r="B422" s="38"/>
      <c r="C422" s="38"/>
      <c r="D422" s="38"/>
      <c r="E422" s="38"/>
      <c r="F422" s="239"/>
      <c r="G422" s="240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2.0" customHeight="1">
      <c r="A423" s="38"/>
      <c r="B423" s="38"/>
      <c r="C423" s="38"/>
      <c r="D423" s="38"/>
      <c r="E423" s="38"/>
      <c r="F423" s="239"/>
      <c r="G423" s="240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2.0" customHeight="1">
      <c r="A424" s="38"/>
      <c r="B424" s="38"/>
      <c r="C424" s="38"/>
      <c r="D424" s="38"/>
      <c r="E424" s="38"/>
      <c r="F424" s="239"/>
      <c r="G424" s="240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2.0" customHeight="1">
      <c r="A425" s="38"/>
      <c r="B425" s="38"/>
      <c r="C425" s="38"/>
      <c r="D425" s="38"/>
      <c r="E425" s="38"/>
      <c r="F425" s="239"/>
      <c r="G425" s="240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2.0" customHeight="1">
      <c r="A426" s="38"/>
      <c r="B426" s="38"/>
      <c r="C426" s="38"/>
      <c r="D426" s="38"/>
      <c r="E426" s="38"/>
      <c r="F426" s="239"/>
      <c r="G426" s="240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2.0" customHeight="1">
      <c r="A427" s="38"/>
      <c r="B427" s="38"/>
      <c r="C427" s="38"/>
      <c r="D427" s="38"/>
      <c r="E427" s="38"/>
      <c r="F427" s="239"/>
      <c r="G427" s="240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2.0" customHeight="1">
      <c r="A428" s="38"/>
      <c r="B428" s="38"/>
      <c r="C428" s="38"/>
      <c r="D428" s="38"/>
      <c r="E428" s="38"/>
      <c r="F428" s="239"/>
      <c r="G428" s="240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2.0" customHeight="1">
      <c r="A429" s="38"/>
      <c r="B429" s="38"/>
      <c r="C429" s="38"/>
      <c r="D429" s="38"/>
      <c r="E429" s="38"/>
      <c r="F429" s="239"/>
      <c r="G429" s="240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2.0" customHeight="1">
      <c r="A430" s="38"/>
      <c r="B430" s="38"/>
      <c r="C430" s="38"/>
      <c r="D430" s="38"/>
      <c r="E430" s="38"/>
      <c r="F430" s="239"/>
      <c r="G430" s="240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2.0" customHeight="1">
      <c r="A431" s="38"/>
      <c r="B431" s="38"/>
      <c r="C431" s="38"/>
      <c r="D431" s="38"/>
      <c r="E431" s="38"/>
      <c r="F431" s="239"/>
      <c r="G431" s="240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2.0" customHeight="1">
      <c r="A432" s="38"/>
      <c r="B432" s="38"/>
      <c r="C432" s="38"/>
      <c r="D432" s="38"/>
      <c r="E432" s="38"/>
      <c r="F432" s="239"/>
      <c r="G432" s="240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2.0" customHeight="1">
      <c r="A433" s="38"/>
      <c r="B433" s="38"/>
      <c r="C433" s="38"/>
      <c r="D433" s="38"/>
      <c r="E433" s="38"/>
      <c r="F433" s="239"/>
      <c r="G433" s="240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2.0" customHeight="1">
      <c r="A434" s="38"/>
      <c r="B434" s="38"/>
      <c r="C434" s="38"/>
      <c r="D434" s="38"/>
      <c r="E434" s="38"/>
      <c r="F434" s="239"/>
      <c r="G434" s="240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2.0" customHeight="1">
      <c r="A435" s="38"/>
      <c r="B435" s="38"/>
      <c r="C435" s="38"/>
      <c r="D435" s="38"/>
      <c r="E435" s="38"/>
      <c r="F435" s="239"/>
      <c r="G435" s="240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2.0" customHeight="1">
      <c r="A436" s="38"/>
      <c r="B436" s="38"/>
      <c r="C436" s="38"/>
      <c r="D436" s="38"/>
      <c r="E436" s="38"/>
      <c r="F436" s="239"/>
      <c r="G436" s="240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2.0" customHeight="1">
      <c r="A437" s="38"/>
      <c r="B437" s="38"/>
      <c r="C437" s="38"/>
      <c r="D437" s="38"/>
      <c r="E437" s="38"/>
      <c r="F437" s="239"/>
      <c r="G437" s="240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2.0" customHeight="1">
      <c r="A438" s="38"/>
      <c r="B438" s="38"/>
      <c r="C438" s="38"/>
      <c r="D438" s="38"/>
      <c r="E438" s="38"/>
      <c r="F438" s="239"/>
      <c r="G438" s="240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2.0" customHeight="1">
      <c r="A439" s="38"/>
      <c r="B439" s="38"/>
      <c r="C439" s="38"/>
      <c r="D439" s="38"/>
      <c r="E439" s="38"/>
      <c r="F439" s="239"/>
      <c r="G439" s="240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2.0" customHeight="1">
      <c r="A440" s="38"/>
      <c r="B440" s="38"/>
      <c r="C440" s="38"/>
      <c r="D440" s="38"/>
      <c r="E440" s="38"/>
      <c r="F440" s="239"/>
      <c r="G440" s="240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2.0" customHeight="1">
      <c r="A441" s="38"/>
      <c r="B441" s="38"/>
      <c r="C441" s="38"/>
      <c r="D441" s="38"/>
      <c r="E441" s="38"/>
      <c r="F441" s="239"/>
      <c r="G441" s="240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2.0" customHeight="1">
      <c r="A442" s="38"/>
      <c r="B442" s="38"/>
      <c r="C442" s="38"/>
      <c r="D442" s="38"/>
      <c r="E442" s="38"/>
      <c r="F442" s="239"/>
      <c r="G442" s="240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2.0" customHeight="1">
      <c r="A443" s="38"/>
      <c r="B443" s="38"/>
      <c r="C443" s="38"/>
      <c r="D443" s="38"/>
      <c r="E443" s="38"/>
      <c r="F443" s="239"/>
      <c r="G443" s="240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2.0" customHeight="1">
      <c r="A444" s="38"/>
      <c r="B444" s="38"/>
      <c r="C444" s="38"/>
      <c r="D444" s="38"/>
      <c r="E444" s="38"/>
      <c r="F444" s="239"/>
      <c r="G444" s="240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2.0" customHeight="1">
      <c r="A445" s="38"/>
      <c r="B445" s="38"/>
      <c r="C445" s="38"/>
      <c r="D445" s="38"/>
      <c r="E445" s="38"/>
      <c r="F445" s="239"/>
      <c r="G445" s="240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2.0" customHeight="1">
      <c r="A446" s="38"/>
      <c r="B446" s="38"/>
      <c r="C446" s="38"/>
      <c r="D446" s="38"/>
      <c r="E446" s="38"/>
      <c r="F446" s="239"/>
      <c r="G446" s="240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2.0" customHeight="1">
      <c r="A447" s="38"/>
      <c r="B447" s="38"/>
      <c r="C447" s="38"/>
      <c r="D447" s="38"/>
      <c r="E447" s="38"/>
      <c r="F447" s="239"/>
      <c r="G447" s="240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2.0" customHeight="1">
      <c r="A448" s="38"/>
      <c r="B448" s="38"/>
      <c r="C448" s="38"/>
      <c r="D448" s="38"/>
      <c r="E448" s="38"/>
      <c r="F448" s="239"/>
      <c r="G448" s="240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2.0" customHeight="1">
      <c r="A449" s="38"/>
      <c r="B449" s="38"/>
      <c r="C449" s="38"/>
      <c r="D449" s="38"/>
      <c r="E449" s="38"/>
      <c r="F449" s="239"/>
      <c r="G449" s="240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2.0" customHeight="1">
      <c r="A450" s="38"/>
      <c r="B450" s="38"/>
      <c r="C450" s="38"/>
      <c r="D450" s="38"/>
      <c r="E450" s="38"/>
      <c r="F450" s="239"/>
      <c r="G450" s="240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2.0" customHeight="1">
      <c r="A451" s="38"/>
      <c r="B451" s="38"/>
      <c r="C451" s="38"/>
      <c r="D451" s="38"/>
      <c r="E451" s="38"/>
      <c r="F451" s="239"/>
      <c r="G451" s="240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2.0" customHeight="1">
      <c r="A452" s="38"/>
      <c r="B452" s="38"/>
      <c r="C452" s="38"/>
      <c r="D452" s="38"/>
      <c r="E452" s="38"/>
      <c r="F452" s="239"/>
      <c r="G452" s="240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2.0" customHeight="1">
      <c r="A453" s="38"/>
      <c r="B453" s="38"/>
      <c r="C453" s="38"/>
      <c r="D453" s="38"/>
      <c r="E453" s="38"/>
      <c r="F453" s="239"/>
      <c r="G453" s="240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2.0" customHeight="1">
      <c r="A454" s="38"/>
      <c r="B454" s="38"/>
      <c r="C454" s="38"/>
      <c r="D454" s="38"/>
      <c r="E454" s="38"/>
      <c r="F454" s="239"/>
      <c r="G454" s="240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2.0" customHeight="1">
      <c r="A455" s="38"/>
      <c r="B455" s="38"/>
      <c r="C455" s="38"/>
      <c r="D455" s="38"/>
      <c r="E455" s="38"/>
      <c r="F455" s="239"/>
      <c r="G455" s="240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2.0" customHeight="1">
      <c r="A456" s="38"/>
      <c r="B456" s="38"/>
      <c r="C456" s="38"/>
      <c r="D456" s="38"/>
      <c r="E456" s="38"/>
      <c r="F456" s="239"/>
      <c r="G456" s="240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2.0" customHeight="1">
      <c r="A457" s="38"/>
      <c r="B457" s="38"/>
      <c r="C457" s="38"/>
      <c r="D457" s="38"/>
      <c r="E457" s="38"/>
      <c r="F457" s="239"/>
      <c r="G457" s="240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2.0" customHeight="1">
      <c r="A458" s="38"/>
      <c r="B458" s="38"/>
      <c r="C458" s="38"/>
      <c r="D458" s="38"/>
      <c r="E458" s="38"/>
      <c r="F458" s="239"/>
      <c r="G458" s="240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2.0" customHeight="1">
      <c r="A459" s="38"/>
      <c r="B459" s="38"/>
      <c r="C459" s="38"/>
      <c r="D459" s="38"/>
      <c r="E459" s="38"/>
      <c r="F459" s="239"/>
      <c r="G459" s="240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2.0" customHeight="1">
      <c r="A460" s="38"/>
      <c r="B460" s="38"/>
      <c r="C460" s="38"/>
      <c r="D460" s="38"/>
      <c r="E460" s="38"/>
      <c r="F460" s="239"/>
      <c r="G460" s="240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2.0" customHeight="1">
      <c r="A461" s="38"/>
      <c r="B461" s="38"/>
      <c r="C461" s="38"/>
      <c r="D461" s="38"/>
      <c r="E461" s="38"/>
      <c r="F461" s="239"/>
      <c r="G461" s="240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2.0" customHeight="1">
      <c r="A462" s="38"/>
      <c r="B462" s="38"/>
      <c r="C462" s="38"/>
      <c r="D462" s="38"/>
      <c r="E462" s="38"/>
      <c r="F462" s="239"/>
      <c r="G462" s="240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2.0" customHeight="1">
      <c r="A463" s="38"/>
      <c r="B463" s="38"/>
      <c r="C463" s="38"/>
      <c r="D463" s="38"/>
      <c r="E463" s="38"/>
      <c r="F463" s="239"/>
      <c r="G463" s="240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2.0" customHeight="1">
      <c r="A464" s="38"/>
      <c r="B464" s="38"/>
      <c r="C464" s="38"/>
      <c r="D464" s="38"/>
      <c r="E464" s="38"/>
      <c r="F464" s="239"/>
      <c r="G464" s="240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2.0" customHeight="1">
      <c r="A465" s="38"/>
      <c r="B465" s="38"/>
      <c r="C465" s="38"/>
      <c r="D465" s="38"/>
      <c r="E465" s="38"/>
      <c r="F465" s="239"/>
      <c r="G465" s="240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2.0" customHeight="1">
      <c r="A466" s="38"/>
      <c r="B466" s="38"/>
      <c r="C466" s="38"/>
      <c r="D466" s="38"/>
      <c r="E466" s="38"/>
      <c r="F466" s="239"/>
      <c r="G466" s="240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2.0" customHeight="1">
      <c r="A467" s="38"/>
      <c r="B467" s="38"/>
      <c r="C467" s="38"/>
      <c r="D467" s="38"/>
      <c r="E467" s="38"/>
      <c r="F467" s="239"/>
      <c r="G467" s="240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2.0" customHeight="1">
      <c r="A468" s="38"/>
      <c r="B468" s="38"/>
      <c r="C468" s="38"/>
      <c r="D468" s="38"/>
      <c r="E468" s="38"/>
      <c r="F468" s="239"/>
      <c r="G468" s="240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2.0" customHeight="1">
      <c r="A469" s="38"/>
      <c r="B469" s="38"/>
      <c r="C469" s="38"/>
      <c r="D469" s="38"/>
      <c r="E469" s="38"/>
      <c r="F469" s="239"/>
      <c r="G469" s="240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2.0" customHeight="1">
      <c r="A470" s="38"/>
      <c r="B470" s="38"/>
      <c r="C470" s="38"/>
      <c r="D470" s="38"/>
      <c r="E470" s="38"/>
      <c r="F470" s="239"/>
      <c r="G470" s="240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2.0" customHeight="1">
      <c r="A471" s="38"/>
      <c r="B471" s="38"/>
      <c r="C471" s="38"/>
      <c r="D471" s="38"/>
      <c r="E471" s="38"/>
      <c r="F471" s="239"/>
      <c r="G471" s="240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2.0" customHeight="1">
      <c r="A472" s="38"/>
      <c r="B472" s="38"/>
      <c r="C472" s="38"/>
      <c r="D472" s="38"/>
      <c r="E472" s="38"/>
      <c r="F472" s="239"/>
      <c r="G472" s="240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2.0" customHeight="1">
      <c r="A473" s="38"/>
      <c r="B473" s="38"/>
      <c r="C473" s="38"/>
      <c r="D473" s="38"/>
      <c r="E473" s="38"/>
      <c r="F473" s="239"/>
      <c r="G473" s="240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2.0" customHeight="1">
      <c r="A474" s="38"/>
      <c r="B474" s="38"/>
      <c r="C474" s="38"/>
      <c r="D474" s="38"/>
      <c r="E474" s="38"/>
      <c r="F474" s="239"/>
      <c r="G474" s="240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2.0" customHeight="1">
      <c r="A475" s="38"/>
      <c r="B475" s="38"/>
      <c r="C475" s="38"/>
      <c r="D475" s="38"/>
      <c r="E475" s="38"/>
      <c r="F475" s="239"/>
      <c r="G475" s="240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2.0" customHeight="1">
      <c r="A476" s="38"/>
      <c r="B476" s="38"/>
      <c r="C476" s="38"/>
      <c r="D476" s="38"/>
      <c r="E476" s="38"/>
      <c r="F476" s="239"/>
      <c r="G476" s="240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2.0" customHeight="1">
      <c r="A477" s="38"/>
      <c r="B477" s="38"/>
      <c r="C477" s="38"/>
      <c r="D477" s="38"/>
      <c r="E477" s="38"/>
      <c r="F477" s="239"/>
      <c r="G477" s="240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2.0" customHeight="1">
      <c r="A478" s="38"/>
      <c r="B478" s="38"/>
      <c r="C478" s="38"/>
      <c r="D478" s="38"/>
      <c r="E478" s="38"/>
      <c r="F478" s="239"/>
      <c r="G478" s="240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2.0" customHeight="1">
      <c r="A479" s="38"/>
      <c r="B479" s="38"/>
      <c r="C479" s="38"/>
      <c r="D479" s="38"/>
      <c r="E479" s="38"/>
      <c r="F479" s="239"/>
      <c r="G479" s="240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2.0" customHeight="1">
      <c r="A480" s="38"/>
      <c r="B480" s="38"/>
      <c r="C480" s="38"/>
      <c r="D480" s="38"/>
      <c r="E480" s="38"/>
      <c r="F480" s="239"/>
      <c r="G480" s="240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2.0" customHeight="1">
      <c r="A481" s="38"/>
      <c r="B481" s="38"/>
      <c r="C481" s="38"/>
      <c r="D481" s="38"/>
      <c r="E481" s="38"/>
      <c r="F481" s="239"/>
      <c r="G481" s="240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2.0" customHeight="1">
      <c r="A482" s="38"/>
      <c r="B482" s="38"/>
      <c r="C482" s="38"/>
      <c r="D482" s="38"/>
      <c r="E482" s="38"/>
      <c r="F482" s="239"/>
      <c r="G482" s="240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2.0" customHeight="1">
      <c r="A483" s="38"/>
      <c r="B483" s="38"/>
      <c r="C483" s="38"/>
      <c r="D483" s="38"/>
      <c r="E483" s="38"/>
      <c r="F483" s="239"/>
      <c r="G483" s="240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2.0" customHeight="1">
      <c r="A484" s="38"/>
      <c r="B484" s="38"/>
      <c r="C484" s="38"/>
      <c r="D484" s="38"/>
      <c r="E484" s="38"/>
      <c r="F484" s="239"/>
      <c r="G484" s="240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2.0" customHeight="1">
      <c r="A485" s="38"/>
      <c r="B485" s="38"/>
      <c r="C485" s="38"/>
      <c r="D485" s="38"/>
      <c r="E485" s="38"/>
      <c r="F485" s="239"/>
      <c r="G485" s="240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2.0" customHeight="1">
      <c r="A486" s="38"/>
      <c r="B486" s="38"/>
      <c r="C486" s="38"/>
      <c r="D486" s="38"/>
      <c r="E486" s="38"/>
      <c r="F486" s="239"/>
      <c r="G486" s="240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2.0" customHeight="1">
      <c r="A487" s="38"/>
      <c r="B487" s="38"/>
      <c r="C487" s="38"/>
      <c r="D487" s="38"/>
      <c r="E487" s="38"/>
      <c r="F487" s="239"/>
      <c r="G487" s="240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2.0" customHeight="1">
      <c r="A488" s="38"/>
      <c r="B488" s="38"/>
      <c r="C488" s="38"/>
      <c r="D488" s="38"/>
      <c r="E488" s="38"/>
      <c r="F488" s="239"/>
      <c r="G488" s="240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2.0" customHeight="1">
      <c r="A489" s="38"/>
      <c r="B489" s="38"/>
      <c r="C489" s="38"/>
      <c r="D489" s="38"/>
      <c r="E489" s="38"/>
      <c r="F489" s="239"/>
      <c r="G489" s="240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2.0" customHeight="1">
      <c r="A490" s="38"/>
      <c r="B490" s="38"/>
      <c r="C490" s="38"/>
      <c r="D490" s="38"/>
      <c r="E490" s="38"/>
      <c r="F490" s="239"/>
      <c r="G490" s="240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2.0" customHeight="1">
      <c r="A491" s="38"/>
      <c r="B491" s="38"/>
      <c r="C491" s="38"/>
      <c r="D491" s="38"/>
      <c r="E491" s="38"/>
      <c r="F491" s="239"/>
      <c r="G491" s="240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2.0" customHeight="1">
      <c r="A492" s="38"/>
      <c r="B492" s="38"/>
      <c r="C492" s="38"/>
      <c r="D492" s="38"/>
      <c r="E492" s="38"/>
      <c r="F492" s="239"/>
      <c r="G492" s="240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2.0" customHeight="1">
      <c r="A493" s="38"/>
      <c r="B493" s="38"/>
      <c r="C493" s="38"/>
      <c r="D493" s="38"/>
      <c r="E493" s="38"/>
      <c r="F493" s="239"/>
      <c r="G493" s="240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2.0" customHeight="1">
      <c r="A494" s="38"/>
      <c r="B494" s="38"/>
      <c r="C494" s="38"/>
      <c r="D494" s="38"/>
      <c r="E494" s="38"/>
      <c r="F494" s="239"/>
      <c r="G494" s="240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2.0" customHeight="1">
      <c r="A495" s="38"/>
      <c r="B495" s="38"/>
      <c r="C495" s="38"/>
      <c r="D495" s="38"/>
      <c r="E495" s="38"/>
      <c r="F495" s="239"/>
      <c r="G495" s="240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2.0" customHeight="1">
      <c r="A496" s="38"/>
      <c r="B496" s="38"/>
      <c r="C496" s="38"/>
      <c r="D496" s="38"/>
      <c r="E496" s="38"/>
      <c r="F496" s="239"/>
      <c r="G496" s="240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2.0" customHeight="1">
      <c r="A497" s="38"/>
      <c r="B497" s="38"/>
      <c r="C497" s="38"/>
      <c r="D497" s="38"/>
      <c r="E497" s="38"/>
      <c r="F497" s="239"/>
      <c r="G497" s="240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2.0" customHeight="1">
      <c r="A498" s="38"/>
      <c r="B498" s="38"/>
      <c r="C498" s="38"/>
      <c r="D498" s="38"/>
      <c r="E498" s="38"/>
      <c r="F498" s="239"/>
      <c r="G498" s="240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2.0" customHeight="1">
      <c r="A499" s="38"/>
      <c r="B499" s="38"/>
      <c r="C499" s="38"/>
      <c r="D499" s="38"/>
      <c r="E499" s="38"/>
      <c r="F499" s="239"/>
      <c r="G499" s="240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2.0" customHeight="1">
      <c r="A500" s="38"/>
      <c r="B500" s="38"/>
      <c r="C500" s="38"/>
      <c r="D500" s="38"/>
      <c r="E500" s="38"/>
      <c r="F500" s="239"/>
      <c r="G500" s="240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2.0" customHeight="1">
      <c r="A501" s="38"/>
      <c r="B501" s="38"/>
      <c r="C501" s="38"/>
      <c r="D501" s="38"/>
      <c r="E501" s="38"/>
      <c r="F501" s="239"/>
      <c r="G501" s="240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2.0" customHeight="1">
      <c r="A502" s="38"/>
      <c r="B502" s="38"/>
      <c r="C502" s="38"/>
      <c r="D502" s="38"/>
      <c r="E502" s="38"/>
      <c r="F502" s="239"/>
      <c r="G502" s="240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2.0" customHeight="1">
      <c r="A503" s="38"/>
      <c r="B503" s="38"/>
      <c r="C503" s="38"/>
      <c r="D503" s="38"/>
      <c r="E503" s="38"/>
      <c r="F503" s="239"/>
      <c r="G503" s="240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2.0" customHeight="1">
      <c r="A504" s="38"/>
      <c r="B504" s="38"/>
      <c r="C504" s="38"/>
      <c r="D504" s="38"/>
      <c r="E504" s="38"/>
      <c r="F504" s="239"/>
      <c r="G504" s="240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2.0" customHeight="1">
      <c r="A505" s="38"/>
      <c r="B505" s="38"/>
      <c r="C505" s="38"/>
      <c r="D505" s="38"/>
      <c r="E505" s="38"/>
      <c r="F505" s="239"/>
      <c r="G505" s="240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2.0" customHeight="1">
      <c r="A506" s="38"/>
      <c r="B506" s="38"/>
      <c r="C506" s="38"/>
      <c r="D506" s="38"/>
      <c r="E506" s="38"/>
      <c r="F506" s="239"/>
      <c r="G506" s="240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2.0" customHeight="1">
      <c r="A507" s="38"/>
      <c r="B507" s="38"/>
      <c r="C507" s="38"/>
      <c r="D507" s="38"/>
      <c r="E507" s="38"/>
      <c r="F507" s="239"/>
      <c r="G507" s="240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2.0" customHeight="1">
      <c r="A508" s="38"/>
      <c r="B508" s="38"/>
      <c r="C508" s="38"/>
      <c r="D508" s="38"/>
      <c r="E508" s="38"/>
      <c r="F508" s="239"/>
      <c r="G508" s="240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2.0" customHeight="1">
      <c r="A509" s="38"/>
      <c r="B509" s="38"/>
      <c r="C509" s="38"/>
      <c r="D509" s="38"/>
      <c r="E509" s="38"/>
      <c r="F509" s="239"/>
      <c r="G509" s="240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2.0" customHeight="1">
      <c r="A510" s="38"/>
      <c r="B510" s="38"/>
      <c r="C510" s="38"/>
      <c r="D510" s="38"/>
      <c r="E510" s="38"/>
      <c r="F510" s="239"/>
      <c r="G510" s="240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2.0" customHeight="1">
      <c r="A511" s="38"/>
      <c r="B511" s="38"/>
      <c r="C511" s="38"/>
      <c r="D511" s="38"/>
      <c r="E511" s="38"/>
      <c r="F511" s="239"/>
      <c r="G511" s="240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2.0" customHeight="1">
      <c r="A512" s="38"/>
      <c r="B512" s="38"/>
      <c r="C512" s="38"/>
      <c r="D512" s="38"/>
      <c r="E512" s="38"/>
      <c r="F512" s="239"/>
      <c r="G512" s="240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2.0" customHeight="1">
      <c r="A513" s="38"/>
      <c r="B513" s="38"/>
      <c r="C513" s="38"/>
      <c r="D513" s="38"/>
      <c r="E513" s="38"/>
      <c r="F513" s="239"/>
      <c r="G513" s="240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2.0" customHeight="1">
      <c r="A514" s="38"/>
      <c r="B514" s="38"/>
      <c r="C514" s="38"/>
      <c r="D514" s="38"/>
      <c r="E514" s="38"/>
      <c r="F514" s="239"/>
      <c r="G514" s="240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2.0" customHeight="1">
      <c r="A515" s="38"/>
      <c r="B515" s="38"/>
      <c r="C515" s="38"/>
      <c r="D515" s="38"/>
      <c r="E515" s="38"/>
      <c r="F515" s="239"/>
      <c r="G515" s="240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2.0" customHeight="1">
      <c r="A516" s="38"/>
      <c r="B516" s="38"/>
      <c r="C516" s="38"/>
      <c r="D516" s="38"/>
      <c r="E516" s="38"/>
      <c r="F516" s="239"/>
      <c r="G516" s="240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2.0" customHeight="1">
      <c r="A517" s="38"/>
      <c r="B517" s="38"/>
      <c r="C517" s="38"/>
      <c r="D517" s="38"/>
      <c r="E517" s="38"/>
      <c r="F517" s="239"/>
      <c r="G517" s="240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2.0" customHeight="1">
      <c r="A518" s="38"/>
      <c r="B518" s="38"/>
      <c r="C518" s="38"/>
      <c r="D518" s="38"/>
      <c r="E518" s="38"/>
      <c r="F518" s="239"/>
      <c r="G518" s="240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2.0" customHeight="1">
      <c r="A519" s="38"/>
      <c r="B519" s="38"/>
      <c r="C519" s="38"/>
      <c r="D519" s="38"/>
      <c r="E519" s="38"/>
      <c r="F519" s="239"/>
      <c r="G519" s="240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2.0" customHeight="1">
      <c r="A520" s="38"/>
      <c r="B520" s="38"/>
      <c r="C520" s="38"/>
      <c r="D520" s="38"/>
      <c r="E520" s="38"/>
      <c r="F520" s="239"/>
      <c r="G520" s="240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2.0" customHeight="1">
      <c r="A521" s="38"/>
      <c r="B521" s="38"/>
      <c r="C521" s="38"/>
      <c r="D521" s="38"/>
      <c r="E521" s="38"/>
      <c r="F521" s="239"/>
      <c r="G521" s="240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2.0" customHeight="1">
      <c r="A522" s="38"/>
      <c r="B522" s="38"/>
      <c r="C522" s="38"/>
      <c r="D522" s="38"/>
      <c r="E522" s="38"/>
      <c r="F522" s="239"/>
      <c r="G522" s="240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2.0" customHeight="1">
      <c r="A523" s="38"/>
      <c r="B523" s="38"/>
      <c r="C523" s="38"/>
      <c r="D523" s="38"/>
      <c r="E523" s="38"/>
      <c r="F523" s="239"/>
      <c r="G523" s="240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2.0" customHeight="1">
      <c r="A524" s="38"/>
      <c r="B524" s="38"/>
      <c r="C524" s="38"/>
      <c r="D524" s="38"/>
      <c r="E524" s="38"/>
      <c r="F524" s="239"/>
      <c r="G524" s="240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2.0" customHeight="1">
      <c r="A525" s="38"/>
      <c r="B525" s="38"/>
      <c r="C525" s="38"/>
      <c r="D525" s="38"/>
      <c r="E525" s="38"/>
      <c r="F525" s="239"/>
      <c r="G525" s="240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2.0" customHeight="1">
      <c r="A526" s="38"/>
      <c r="B526" s="38"/>
      <c r="C526" s="38"/>
      <c r="D526" s="38"/>
      <c r="E526" s="38"/>
      <c r="F526" s="239"/>
      <c r="G526" s="240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2.0" customHeight="1">
      <c r="A527" s="38"/>
      <c r="B527" s="38"/>
      <c r="C527" s="38"/>
      <c r="D527" s="38"/>
      <c r="E527" s="38"/>
      <c r="F527" s="239"/>
      <c r="G527" s="240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2.0" customHeight="1">
      <c r="A528" s="38"/>
      <c r="B528" s="38"/>
      <c r="C528" s="38"/>
      <c r="D528" s="38"/>
      <c r="E528" s="38"/>
      <c r="F528" s="239"/>
      <c r="G528" s="240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2.0" customHeight="1">
      <c r="A529" s="38"/>
      <c r="B529" s="38"/>
      <c r="C529" s="38"/>
      <c r="D529" s="38"/>
      <c r="E529" s="38"/>
      <c r="F529" s="239"/>
      <c r="G529" s="240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2.0" customHeight="1">
      <c r="A530" s="38"/>
      <c r="B530" s="38"/>
      <c r="C530" s="38"/>
      <c r="D530" s="38"/>
      <c r="E530" s="38"/>
      <c r="F530" s="239"/>
      <c r="G530" s="240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2.0" customHeight="1">
      <c r="A531" s="38"/>
      <c r="B531" s="38"/>
      <c r="C531" s="38"/>
      <c r="D531" s="38"/>
      <c r="E531" s="38"/>
      <c r="F531" s="239"/>
      <c r="G531" s="240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2.0" customHeight="1">
      <c r="A532" s="38"/>
      <c r="B532" s="38"/>
      <c r="C532" s="38"/>
      <c r="D532" s="38"/>
      <c r="E532" s="38"/>
      <c r="F532" s="239"/>
      <c r="G532" s="240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2.0" customHeight="1">
      <c r="A533" s="38"/>
      <c r="B533" s="38"/>
      <c r="C533" s="38"/>
      <c r="D533" s="38"/>
      <c r="E533" s="38"/>
      <c r="F533" s="239"/>
      <c r="G533" s="240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2.0" customHeight="1">
      <c r="A534" s="38"/>
      <c r="B534" s="38"/>
      <c r="C534" s="38"/>
      <c r="D534" s="38"/>
      <c r="E534" s="38"/>
      <c r="F534" s="239"/>
      <c r="G534" s="240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2.0" customHeight="1">
      <c r="A535" s="38"/>
      <c r="B535" s="38"/>
      <c r="C535" s="38"/>
      <c r="D535" s="38"/>
      <c r="E535" s="38"/>
      <c r="F535" s="239"/>
      <c r="G535" s="240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2.0" customHeight="1">
      <c r="A536" s="38"/>
      <c r="B536" s="38"/>
      <c r="C536" s="38"/>
      <c r="D536" s="38"/>
      <c r="E536" s="38"/>
      <c r="F536" s="239"/>
      <c r="G536" s="240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2.0" customHeight="1">
      <c r="A537" s="38"/>
      <c r="B537" s="38"/>
      <c r="C537" s="38"/>
      <c r="D537" s="38"/>
      <c r="E537" s="38"/>
      <c r="F537" s="239"/>
      <c r="G537" s="240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2.0" customHeight="1">
      <c r="A538" s="38"/>
      <c r="B538" s="38"/>
      <c r="C538" s="38"/>
      <c r="D538" s="38"/>
      <c r="E538" s="38"/>
      <c r="F538" s="239"/>
      <c r="G538" s="240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2.0" customHeight="1">
      <c r="A539" s="38"/>
      <c r="B539" s="38"/>
      <c r="C539" s="38"/>
      <c r="D539" s="38"/>
      <c r="E539" s="38"/>
      <c r="F539" s="239"/>
      <c r="G539" s="240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2.0" customHeight="1">
      <c r="A540" s="38"/>
      <c r="B540" s="38"/>
      <c r="C540" s="38"/>
      <c r="D540" s="38"/>
      <c r="E540" s="38"/>
      <c r="F540" s="239"/>
      <c r="G540" s="240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2.0" customHeight="1">
      <c r="A541" s="38"/>
      <c r="B541" s="38"/>
      <c r="C541" s="38"/>
      <c r="D541" s="38"/>
      <c r="E541" s="38"/>
      <c r="F541" s="239"/>
      <c r="G541" s="240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2.0" customHeight="1">
      <c r="A542" s="38"/>
      <c r="B542" s="38"/>
      <c r="C542" s="38"/>
      <c r="D542" s="38"/>
      <c r="E542" s="38"/>
      <c r="F542" s="239"/>
      <c r="G542" s="240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2.0" customHeight="1">
      <c r="A543" s="38"/>
      <c r="B543" s="38"/>
      <c r="C543" s="38"/>
      <c r="D543" s="38"/>
      <c r="E543" s="38"/>
      <c r="F543" s="239"/>
      <c r="G543" s="240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2.0" customHeight="1">
      <c r="A544" s="38"/>
      <c r="B544" s="38"/>
      <c r="C544" s="38"/>
      <c r="D544" s="38"/>
      <c r="E544" s="38"/>
      <c r="F544" s="239"/>
      <c r="G544" s="240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2.0" customHeight="1">
      <c r="A545" s="38"/>
      <c r="B545" s="38"/>
      <c r="C545" s="38"/>
      <c r="D545" s="38"/>
      <c r="E545" s="38"/>
      <c r="F545" s="239"/>
      <c r="G545" s="240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2.0" customHeight="1">
      <c r="A546" s="38"/>
      <c r="B546" s="38"/>
      <c r="C546" s="38"/>
      <c r="D546" s="38"/>
      <c r="E546" s="38"/>
      <c r="F546" s="239"/>
      <c r="G546" s="240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2.0" customHeight="1">
      <c r="A547" s="38"/>
      <c r="B547" s="38"/>
      <c r="C547" s="38"/>
      <c r="D547" s="38"/>
      <c r="E547" s="38"/>
      <c r="F547" s="239"/>
      <c r="G547" s="240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2.0" customHeight="1">
      <c r="A548" s="38"/>
      <c r="B548" s="38"/>
      <c r="C548" s="38"/>
      <c r="D548" s="38"/>
      <c r="E548" s="38"/>
      <c r="F548" s="239"/>
      <c r="G548" s="240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2.0" customHeight="1">
      <c r="A549" s="38"/>
      <c r="B549" s="38"/>
      <c r="C549" s="38"/>
      <c r="D549" s="38"/>
      <c r="E549" s="38"/>
      <c r="F549" s="239"/>
      <c r="G549" s="240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2.0" customHeight="1">
      <c r="A550" s="38"/>
      <c r="B550" s="38"/>
      <c r="C550" s="38"/>
      <c r="D550" s="38"/>
      <c r="E550" s="38"/>
      <c r="F550" s="239"/>
      <c r="G550" s="240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2.0" customHeight="1">
      <c r="A551" s="38"/>
      <c r="B551" s="38"/>
      <c r="C551" s="38"/>
      <c r="D551" s="38"/>
      <c r="E551" s="38"/>
      <c r="F551" s="239"/>
      <c r="G551" s="240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2.0" customHeight="1">
      <c r="A552" s="38"/>
      <c r="B552" s="38"/>
      <c r="C552" s="38"/>
      <c r="D552" s="38"/>
      <c r="E552" s="38"/>
      <c r="F552" s="239"/>
      <c r="G552" s="240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2.0" customHeight="1">
      <c r="A553" s="38"/>
      <c r="B553" s="38"/>
      <c r="C553" s="38"/>
      <c r="D553" s="38"/>
      <c r="E553" s="38"/>
      <c r="F553" s="239"/>
      <c r="G553" s="240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2.0" customHeight="1">
      <c r="A554" s="38"/>
      <c r="B554" s="38"/>
      <c r="C554" s="38"/>
      <c r="D554" s="38"/>
      <c r="E554" s="38"/>
      <c r="F554" s="239"/>
      <c r="G554" s="240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2.0" customHeight="1">
      <c r="A555" s="38"/>
      <c r="B555" s="38"/>
      <c r="C555" s="38"/>
      <c r="D555" s="38"/>
      <c r="E555" s="38"/>
      <c r="F555" s="239"/>
      <c r="G555" s="240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2.0" customHeight="1">
      <c r="A556" s="38"/>
      <c r="B556" s="38"/>
      <c r="C556" s="38"/>
      <c r="D556" s="38"/>
      <c r="E556" s="38"/>
      <c r="F556" s="239"/>
      <c r="G556" s="240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2.0" customHeight="1">
      <c r="A557" s="38"/>
      <c r="B557" s="38"/>
      <c r="C557" s="38"/>
      <c r="D557" s="38"/>
      <c r="E557" s="38"/>
      <c r="F557" s="239"/>
      <c r="G557" s="240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2.0" customHeight="1">
      <c r="A558" s="38"/>
      <c r="B558" s="38"/>
      <c r="C558" s="38"/>
      <c r="D558" s="38"/>
      <c r="E558" s="38"/>
      <c r="F558" s="239"/>
      <c r="G558" s="240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2.0" customHeight="1">
      <c r="A559" s="38"/>
      <c r="B559" s="38"/>
      <c r="C559" s="38"/>
      <c r="D559" s="38"/>
      <c r="E559" s="38"/>
      <c r="F559" s="239"/>
      <c r="G559" s="240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2.0" customHeight="1">
      <c r="A560" s="38"/>
      <c r="B560" s="38"/>
      <c r="C560" s="38"/>
      <c r="D560" s="38"/>
      <c r="E560" s="38"/>
      <c r="F560" s="239"/>
      <c r="G560" s="240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2.0" customHeight="1">
      <c r="A561" s="38"/>
      <c r="B561" s="38"/>
      <c r="C561" s="38"/>
      <c r="D561" s="38"/>
      <c r="E561" s="38"/>
      <c r="F561" s="239"/>
      <c r="G561" s="240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2.0" customHeight="1">
      <c r="A562" s="38"/>
      <c r="B562" s="38"/>
      <c r="C562" s="38"/>
      <c r="D562" s="38"/>
      <c r="E562" s="38"/>
      <c r="F562" s="239"/>
      <c r="G562" s="240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2.0" customHeight="1">
      <c r="A563" s="38"/>
      <c r="B563" s="38"/>
      <c r="C563" s="38"/>
      <c r="D563" s="38"/>
      <c r="E563" s="38"/>
      <c r="F563" s="239"/>
      <c r="G563" s="240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2.0" customHeight="1">
      <c r="A564" s="38"/>
      <c r="B564" s="38"/>
      <c r="C564" s="38"/>
      <c r="D564" s="38"/>
      <c r="E564" s="38"/>
      <c r="F564" s="239"/>
      <c r="G564" s="240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2.0" customHeight="1">
      <c r="A565" s="38"/>
      <c r="B565" s="38"/>
      <c r="C565" s="38"/>
      <c r="D565" s="38"/>
      <c r="E565" s="38"/>
      <c r="F565" s="239"/>
      <c r="G565" s="240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2.0" customHeight="1">
      <c r="A566" s="38"/>
      <c r="B566" s="38"/>
      <c r="C566" s="38"/>
      <c r="D566" s="38"/>
      <c r="E566" s="38"/>
      <c r="F566" s="239"/>
      <c r="G566" s="240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2.0" customHeight="1">
      <c r="A567" s="38"/>
      <c r="B567" s="38"/>
      <c r="C567" s="38"/>
      <c r="D567" s="38"/>
      <c r="E567" s="38"/>
      <c r="F567" s="239"/>
      <c r="G567" s="240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2.0" customHeight="1">
      <c r="A568" s="38"/>
      <c r="B568" s="38"/>
      <c r="C568" s="38"/>
      <c r="D568" s="38"/>
      <c r="E568" s="38"/>
      <c r="F568" s="239"/>
      <c r="G568" s="240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2.0" customHeight="1">
      <c r="A569" s="38"/>
      <c r="B569" s="38"/>
      <c r="C569" s="38"/>
      <c r="D569" s="38"/>
      <c r="E569" s="38"/>
      <c r="F569" s="239"/>
      <c r="G569" s="240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2.0" customHeight="1">
      <c r="A570" s="38"/>
      <c r="B570" s="38"/>
      <c r="C570" s="38"/>
      <c r="D570" s="38"/>
      <c r="E570" s="38"/>
      <c r="F570" s="239"/>
      <c r="G570" s="240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2.0" customHeight="1">
      <c r="A571" s="38"/>
      <c r="B571" s="38"/>
      <c r="C571" s="38"/>
      <c r="D571" s="38"/>
      <c r="E571" s="38"/>
      <c r="F571" s="239"/>
      <c r="G571" s="240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2.0" customHeight="1">
      <c r="A572" s="38"/>
      <c r="B572" s="38"/>
      <c r="C572" s="38"/>
      <c r="D572" s="38"/>
      <c r="E572" s="38"/>
      <c r="F572" s="239"/>
      <c r="G572" s="240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2.0" customHeight="1">
      <c r="A573" s="38"/>
      <c r="B573" s="38"/>
      <c r="C573" s="38"/>
      <c r="D573" s="38"/>
      <c r="E573" s="38"/>
      <c r="F573" s="239"/>
      <c r="G573" s="240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2.0" customHeight="1">
      <c r="A574" s="38"/>
      <c r="B574" s="38"/>
      <c r="C574" s="38"/>
      <c r="D574" s="38"/>
      <c r="E574" s="38"/>
      <c r="F574" s="239"/>
      <c r="G574" s="240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2.0" customHeight="1">
      <c r="A575" s="38"/>
      <c r="B575" s="38"/>
      <c r="C575" s="38"/>
      <c r="D575" s="38"/>
      <c r="E575" s="38"/>
      <c r="F575" s="239"/>
      <c r="G575" s="240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2.0" customHeight="1">
      <c r="A576" s="38"/>
      <c r="B576" s="38"/>
      <c r="C576" s="38"/>
      <c r="D576" s="38"/>
      <c r="E576" s="38"/>
      <c r="F576" s="239"/>
      <c r="G576" s="240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2.0" customHeight="1">
      <c r="A577" s="38"/>
      <c r="B577" s="38"/>
      <c r="C577" s="38"/>
      <c r="D577" s="38"/>
      <c r="E577" s="38"/>
      <c r="F577" s="239"/>
      <c r="G577" s="240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2.0" customHeight="1">
      <c r="A578" s="38"/>
      <c r="B578" s="38"/>
      <c r="C578" s="38"/>
      <c r="D578" s="38"/>
      <c r="E578" s="38"/>
      <c r="F578" s="239"/>
      <c r="G578" s="240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2.0" customHeight="1">
      <c r="A579" s="38"/>
      <c r="B579" s="38"/>
      <c r="C579" s="38"/>
      <c r="D579" s="38"/>
      <c r="E579" s="38"/>
      <c r="F579" s="239"/>
      <c r="G579" s="240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2.0" customHeight="1">
      <c r="A580" s="38"/>
      <c r="B580" s="38"/>
      <c r="C580" s="38"/>
      <c r="D580" s="38"/>
      <c r="E580" s="38"/>
      <c r="F580" s="239"/>
      <c r="G580" s="240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2.0" customHeight="1">
      <c r="A581" s="38"/>
      <c r="B581" s="38"/>
      <c r="C581" s="38"/>
      <c r="D581" s="38"/>
      <c r="E581" s="38"/>
      <c r="F581" s="239"/>
      <c r="G581" s="240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2.0" customHeight="1">
      <c r="A582" s="38"/>
      <c r="B582" s="38"/>
      <c r="C582" s="38"/>
      <c r="D582" s="38"/>
      <c r="E582" s="38"/>
      <c r="F582" s="239"/>
      <c r="G582" s="240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2.0" customHeight="1">
      <c r="A583" s="38"/>
      <c r="B583" s="38"/>
      <c r="C583" s="38"/>
      <c r="D583" s="38"/>
      <c r="E583" s="38"/>
      <c r="F583" s="239"/>
      <c r="G583" s="240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2.0" customHeight="1">
      <c r="A584" s="38"/>
      <c r="B584" s="38"/>
      <c r="C584" s="38"/>
      <c r="D584" s="38"/>
      <c r="E584" s="38"/>
      <c r="F584" s="239"/>
      <c r="G584" s="240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2.0" customHeight="1">
      <c r="A585" s="38"/>
      <c r="B585" s="38"/>
      <c r="C585" s="38"/>
      <c r="D585" s="38"/>
      <c r="E585" s="38"/>
      <c r="F585" s="239"/>
      <c r="G585" s="240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2.0" customHeight="1">
      <c r="A586" s="38"/>
      <c r="B586" s="38"/>
      <c r="C586" s="38"/>
      <c r="D586" s="38"/>
      <c r="E586" s="38"/>
      <c r="F586" s="239"/>
      <c r="G586" s="240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2.0" customHeight="1">
      <c r="A587" s="38"/>
      <c r="B587" s="38"/>
      <c r="C587" s="38"/>
      <c r="D587" s="38"/>
      <c r="E587" s="38"/>
      <c r="F587" s="239"/>
      <c r="G587" s="240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2.0" customHeight="1">
      <c r="A588" s="38"/>
      <c r="B588" s="38"/>
      <c r="C588" s="38"/>
      <c r="D588" s="38"/>
      <c r="E588" s="38"/>
      <c r="F588" s="239"/>
      <c r="G588" s="240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2.0" customHeight="1">
      <c r="A589" s="38"/>
      <c r="B589" s="38"/>
      <c r="C589" s="38"/>
      <c r="D589" s="38"/>
      <c r="E589" s="38"/>
      <c r="F589" s="239"/>
      <c r="G589" s="240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2.0" customHeight="1">
      <c r="A590" s="38"/>
      <c r="B590" s="38"/>
      <c r="C590" s="38"/>
      <c r="D590" s="38"/>
      <c r="E590" s="38"/>
      <c r="F590" s="239"/>
      <c r="G590" s="240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2.0" customHeight="1">
      <c r="A591" s="38"/>
      <c r="B591" s="38"/>
      <c r="C591" s="38"/>
      <c r="D591" s="38"/>
      <c r="E591" s="38"/>
      <c r="F591" s="239"/>
      <c r="G591" s="240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2.0" customHeight="1">
      <c r="A592" s="38"/>
      <c r="B592" s="38"/>
      <c r="C592" s="38"/>
      <c r="D592" s="38"/>
      <c r="E592" s="38"/>
      <c r="F592" s="239"/>
      <c r="G592" s="240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2.0" customHeight="1">
      <c r="A593" s="38"/>
      <c r="B593" s="38"/>
      <c r="C593" s="38"/>
      <c r="D593" s="38"/>
      <c r="E593" s="38"/>
      <c r="F593" s="239"/>
      <c r="G593" s="240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2.0" customHeight="1">
      <c r="A594" s="38"/>
      <c r="B594" s="38"/>
      <c r="C594" s="38"/>
      <c r="D594" s="38"/>
      <c r="E594" s="38"/>
      <c r="F594" s="239"/>
      <c r="G594" s="240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2.0" customHeight="1">
      <c r="A595" s="38"/>
      <c r="B595" s="38"/>
      <c r="C595" s="38"/>
      <c r="D595" s="38"/>
      <c r="E595" s="38"/>
      <c r="F595" s="239"/>
      <c r="G595" s="240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2.0" customHeight="1">
      <c r="A596" s="38"/>
      <c r="B596" s="38"/>
      <c r="C596" s="38"/>
      <c r="D596" s="38"/>
      <c r="E596" s="38"/>
      <c r="F596" s="239"/>
      <c r="G596" s="240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2.0" customHeight="1">
      <c r="A597" s="38"/>
      <c r="B597" s="38"/>
      <c r="C597" s="38"/>
      <c r="D597" s="38"/>
      <c r="E597" s="38"/>
      <c r="F597" s="239"/>
      <c r="G597" s="240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2.0" customHeight="1">
      <c r="A598" s="38"/>
      <c r="B598" s="38"/>
      <c r="C598" s="38"/>
      <c r="D598" s="38"/>
      <c r="E598" s="38"/>
      <c r="F598" s="239"/>
      <c r="G598" s="240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2.0" customHeight="1">
      <c r="A599" s="38"/>
      <c r="B599" s="38"/>
      <c r="C599" s="38"/>
      <c r="D599" s="38"/>
      <c r="E599" s="38"/>
      <c r="F599" s="239"/>
      <c r="G599" s="240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2.0" customHeight="1">
      <c r="A600" s="38"/>
      <c r="B600" s="38"/>
      <c r="C600" s="38"/>
      <c r="D600" s="38"/>
      <c r="E600" s="38"/>
      <c r="F600" s="239"/>
      <c r="G600" s="240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2.0" customHeight="1">
      <c r="A601" s="38"/>
      <c r="B601" s="38"/>
      <c r="C601" s="38"/>
      <c r="D601" s="38"/>
      <c r="E601" s="38"/>
      <c r="F601" s="239"/>
      <c r="G601" s="240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2.0" customHeight="1">
      <c r="A602" s="38"/>
      <c r="B602" s="38"/>
      <c r="C602" s="38"/>
      <c r="D602" s="38"/>
      <c r="E602" s="38"/>
      <c r="F602" s="239"/>
      <c r="G602" s="240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2.0" customHeight="1">
      <c r="A603" s="38"/>
      <c r="B603" s="38"/>
      <c r="C603" s="38"/>
      <c r="D603" s="38"/>
      <c r="E603" s="38"/>
      <c r="F603" s="239"/>
      <c r="G603" s="240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2.0" customHeight="1">
      <c r="A604" s="38"/>
      <c r="B604" s="38"/>
      <c r="C604" s="38"/>
      <c r="D604" s="38"/>
      <c r="E604" s="38"/>
      <c r="F604" s="239"/>
      <c r="G604" s="240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2.0" customHeight="1">
      <c r="A605" s="38"/>
      <c r="B605" s="38"/>
      <c r="C605" s="38"/>
      <c r="D605" s="38"/>
      <c r="E605" s="38"/>
      <c r="F605" s="239"/>
      <c r="G605" s="240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2.0" customHeight="1">
      <c r="A606" s="38"/>
      <c r="B606" s="38"/>
      <c r="C606" s="38"/>
      <c r="D606" s="38"/>
      <c r="E606" s="38"/>
      <c r="F606" s="239"/>
      <c r="G606" s="240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2.0" customHeight="1">
      <c r="A607" s="38"/>
      <c r="B607" s="38"/>
      <c r="C607" s="38"/>
      <c r="D607" s="38"/>
      <c r="E607" s="38"/>
      <c r="F607" s="239"/>
      <c r="G607" s="240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2.0" customHeight="1">
      <c r="A608" s="38"/>
      <c r="B608" s="38"/>
      <c r="C608" s="38"/>
      <c r="D608" s="38"/>
      <c r="E608" s="38"/>
      <c r="F608" s="239"/>
      <c r="G608" s="240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2.0" customHeight="1">
      <c r="A609" s="38"/>
      <c r="B609" s="38"/>
      <c r="C609" s="38"/>
      <c r="D609" s="38"/>
      <c r="E609" s="38"/>
      <c r="F609" s="239"/>
      <c r="G609" s="240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2.0" customHeight="1">
      <c r="A610" s="38"/>
      <c r="B610" s="38"/>
      <c r="C610" s="38"/>
      <c r="D610" s="38"/>
      <c r="E610" s="38"/>
      <c r="F610" s="239"/>
      <c r="G610" s="240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2.0" customHeight="1">
      <c r="A611" s="38"/>
      <c r="B611" s="38"/>
      <c r="C611" s="38"/>
      <c r="D611" s="38"/>
      <c r="E611" s="38"/>
      <c r="F611" s="239"/>
      <c r="G611" s="240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2.0" customHeight="1">
      <c r="A612" s="38"/>
      <c r="B612" s="38"/>
      <c r="C612" s="38"/>
      <c r="D612" s="38"/>
      <c r="E612" s="38"/>
      <c r="F612" s="239"/>
      <c r="G612" s="240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2.0" customHeight="1">
      <c r="A613" s="38"/>
      <c r="B613" s="38"/>
      <c r="C613" s="38"/>
      <c r="D613" s="38"/>
      <c r="E613" s="38"/>
      <c r="F613" s="239"/>
      <c r="G613" s="240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2.0" customHeight="1">
      <c r="A614" s="38"/>
      <c r="B614" s="38"/>
      <c r="C614" s="38"/>
      <c r="D614" s="38"/>
      <c r="E614" s="38"/>
      <c r="F614" s="239"/>
      <c r="G614" s="240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2.0" customHeight="1">
      <c r="A615" s="38"/>
      <c r="B615" s="38"/>
      <c r="C615" s="38"/>
      <c r="D615" s="38"/>
      <c r="E615" s="38"/>
      <c r="F615" s="239"/>
      <c r="G615" s="240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2.0" customHeight="1">
      <c r="A616" s="38"/>
      <c r="B616" s="38"/>
      <c r="C616" s="38"/>
      <c r="D616" s="38"/>
      <c r="E616" s="38"/>
      <c r="F616" s="239"/>
      <c r="G616" s="240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2.0" customHeight="1">
      <c r="A617" s="38"/>
      <c r="B617" s="38"/>
      <c r="C617" s="38"/>
      <c r="D617" s="38"/>
      <c r="E617" s="38"/>
      <c r="F617" s="239"/>
      <c r="G617" s="240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2.0" customHeight="1">
      <c r="A618" s="38"/>
      <c r="B618" s="38"/>
      <c r="C618" s="38"/>
      <c r="D618" s="38"/>
      <c r="E618" s="38"/>
      <c r="F618" s="239"/>
      <c r="G618" s="240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2.0" customHeight="1">
      <c r="A619" s="38"/>
      <c r="B619" s="38"/>
      <c r="C619" s="38"/>
      <c r="D619" s="38"/>
      <c r="E619" s="38"/>
      <c r="F619" s="239"/>
      <c r="G619" s="240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2.0" customHeight="1">
      <c r="A620" s="38"/>
      <c r="B620" s="38"/>
      <c r="C620" s="38"/>
      <c r="D620" s="38"/>
      <c r="E620" s="38"/>
      <c r="F620" s="239"/>
      <c r="G620" s="240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2.0" customHeight="1">
      <c r="A621" s="38"/>
      <c r="B621" s="38"/>
      <c r="C621" s="38"/>
      <c r="D621" s="38"/>
      <c r="E621" s="38"/>
      <c r="F621" s="239"/>
      <c r="G621" s="240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2.0" customHeight="1">
      <c r="A622" s="38"/>
      <c r="B622" s="38"/>
      <c r="C622" s="38"/>
      <c r="D622" s="38"/>
      <c r="E622" s="38"/>
      <c r="F622" s="239"/>
      <c r="G622" s="240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2.0" customHeight="1">
      <c r="A623" s="38"/>
      <c r="B623" s="38"/>
      <c r="C623" s="38"/>
      <c r="D623" s="38"/>
      <c r="E623" s="38"/>
      <c r="F623" s="239"/>
      <c r="G623" s="240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2.0" customHeight="1">
      <c r="A624" s="38"/>
      <c r="B624" s="38"/>
      <c r="C624" s="38"/>
      <c r="D624" s="38"/>
      <c r="E624" s="38"/>
      <c r="F624" s="239"/>
      <c r="G624" s="240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2.0" customHeight="1">
      <c r="A625" s="38"/>
      <c r="B625" s="38"/>
      <c r="C625" s="38"/>
      <c r="D625" s="38"/>
      <c r="E625" s="38"/>
      <c r="F625" s="239"/>
      <c r="G625" s="240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2.0" customHeight="1">
      <c r="A626" s="38"/>
      <c r="B626" s="38"/>
      <c r="C626" s="38"/>
      <c r="D626" s="38"/>
      <c r="E626" s="38"/>
      <c r="F626" s="239"/>
      <c r="G626" s="240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2.0" customHeight="1">
      <c r="A627" s="38"/>
      <c r="B627" s="38"/>
      <c r="C627" s="38"/>
      <c r="D627" s="38"/>
      <c r="E627" s="38"/>
      <c r="F627" s="239"/>
      <c r="G627" s="240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2.0" customHeight="1">
      <c r="A628" s="38"/>
      <c r="B628" s="38"/>
      <c r="C628" s="38"/>
      <c r="D628" s="38"/>
      <c r="E628" s="38"/>
      <c r="F628" s="239"/>
      <c r="G628" s="240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2.0" customHeight="1">
      <c r="A629" s="38"/>
      <c r="B629" s="38"/>
      <c r="C629" s="38"/>
      <c r="D629" s="38"/>
      <c r="E629" s="38"/>
      <c r="F629" s="239"/>
      <c r="G629" s="240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2.0" customHeight="1">
      <c r="A630" s="38"/>
      <c r="B630" s="38"/>
      <c r="C630" s="38"/>
      <c r="D630" s="38"/>
      <c r="E630" s="38"/>
      <c r="F630" s="239"/>
      <c r="G630" s="240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2.0" customHeight="1">
      <c r="A631" s="38"/>
      <c r="B631" s="38"/>
      <c r="C631" s="38"/>
      <c r="D631" s="38"/>
      <c r="E631" s="38"/>
      <c r="F631" s="239"/>
      <c r="G631" s="240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2.0" customHeight="1">
      <c r="A632" s="38"/>
      <c r="B632" s="38"/>
      <c r="C632" s="38"/>
      <c r="D632" s="38"/>
      <c r="E632" s="38"/>
      <c r="F632" s="239"/>
      <c r="G632" s="240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2.0" customHeight="1">
      <c r="A633" s="38"/>
      <c r="B633" s="38"/>
      <c r="C633" s="38"/>
      <c r="D633" s="38"/>
      <c r="E633" s="38"/>
      <c r="F633" s="239"/>
      <c r="G633" s="240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2.0" customHeight="1">
      <c r="A634" s="38"/>
      <c r="B634" s="38"/>
      <c r="C634" s="38"/>
      <c r="D634" s="38"/>
      <c r="E634" s="38"/>
      <c r="F634" s="239"/>
      <c r="G634" s="240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2.0" customHeight="1">
      <c r="A635" s="38"/>
      <c r="B635" s="38"/>
      <c r="C635" s="38"/>
      <c r="D635" s="38"/>
      <c r="E635" s="38"/>
      <c r="F635" s="239"/>
      <c r="G635" s="240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2.0" customHeight="1">
      <c r="A636" s="38"/>
      <c r="B636" s="38"/>
      <c r="C636" s="38"/>
      <c r="D636" s="38"/>
      <c r="E636" s="38"/>
      <c r="F636" s="239"/>
      <c r="G636" s="240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2.0" customHeight="1">
      <c r="A637" s="38"/>
      <c r="B637" s="38"/>
      <c r="C637" s="38"/>
      <c r="D637" s="38"/>
      <c r="E637" s="38"/>
      <c r="F637" s="239"/>
      <c r="G637" s="240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2.0" customHeight="1">
      <c r="A638" s="38"/>
      <c r="B638" s="38"/>
      <c r="C638" s="38"/>
      <c r="D638" s="38"/>
      <c r="E638" s="38"/>
      <c r="F638" s="239"/>
      <c r="G638" s="240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2.0" customHeight="1">
      <c r="A639" s="38"/>
      <c r="B639" s="38"/>
      <c r="C639" s="38"/>
      <c r="D639" s="38"/>
      <c r="E639" s="38"/>
      <c r="F639" s="239"/>
      <c r="G639" s="240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2.0" customHeight="1">
      <c r="A640" s="38"/>
      <c r="B640" s="38"/>
      <c r="C640" s="38"/>
      <c r="D640" s="38"/>
      <c r="E640" s="38"/>
      <c r="F640" s="239"/>
      <c r="G640" s="240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2.0" customHeight="1">
      <c r="A641" s="38"/>
      <c r="B641" s="38"/>
      <c r="C641" s="38"/>
      <c r="D641" s="38"/>
      <c r="E641" s="38"/>
      <c r="F641" s="239"/>
      <c r="G641" s="240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2.0" customHeight="1">
      <c r="A642" s="38"/>
      <c r="B642" s="38"/>
      <c r="C642" s="38"/>
      <c r="D642" s="38"/>
      <c r="E642" s="38"/>
      <c r="F642" s="239"/>
      <c r="G642" s="240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2.0" customHeight="1">
      <c r="A643" s="38"/>
      <c r="B643" s="38"/>
      <c r="C643" s="38"/>
      <c r="D643" s="38"/>
      <c r="E643" s="38"/>
      <c r="F643" s="239"/>
      <c r="G643" s="240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2.0" customHeight="1">
      <c r="A644" s="38"/>
      <c r="B644" s="38"/>
      <c r="C644" s="38"/>
      <c r="D644" s="38"/>
      <c r="E644" s="38"/>
      <c r="F644" s="239"/>
      <c r="G644" s="240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2.0" customHeight="1">
      <c r="A645" s="38"/>
      <c r="B645" s="38"/>
      <c r="C645" s="38"/>
      <c r="D645" s="38"/>
      <c r="E645" s="38"/>
      <c r="F645" s="239"/>
      <c r="G645" s="240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2.0" customHeight="1">
      <c r="A646" s="38"/>
      <c r="B646" s="38"/>
      <c r="C646" s="38"/>
      <c r="D646" s="38"/>
      <c r="E646" s="38"/>
      <c r="F646" s="239"/>
      <c r="G646" s="240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2.0" customHeight="1">
      <c r="A647" s="38"/>
      <c r="B647" s="38"/>
      <c r="C647" s="38"/>
      <c r="D647" s="38"/>
      <c r="E647" s="38"/>
      <c r="F647" s="239"/>
      <c r="G647" s="240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2.0" customHeight="1">
      <c r="A648" s="38"/>
      <c r="B648" s="38"/>
      <c r="C648" s="38"/>
      <c r="D648" s="38"/>
      <c r="E648" s="38"/>
      <c r="F648" s="239"/>
      <c r="G648" s="240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2.0" customHeight="1">
      <c r="A649" s="38"/>
      <c r="B649" s="38"/>
      <c r="C649" s="38"/>
      <c r="D649" s="38"/>
      <c r="E649" s="38"/>
      <c r="F649" s="239"/>
      <c r="G649" s="240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2.0" customHeight="1">
      <c r="A650" s="38"/>
      <c r="B650" s="38"/>
      <c r="C650" s="38"/>
      <c r="D650" s="38"/>
      <c r="E650" s="38"/>
      <c r="F650" s="239"/>
      <c r="G650" s="240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2.0" customHeight="1">
      <c r="A651" s="38"/>
      <c r="B651" s="38"/>
      <c r="C651" s="38"/>
      <c r="D651" s="38"/>
      <c r="E651" s="38"/>
      <c r="F651" s="239"/>
      <c r="G651" s="240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2.0" customHeight="1">
      <c r="A652" s="38"/>
      <c r="B652" s="38"/>
      <c r="C652" s="38"/>
      <c r="D652" s="38"/>
      <c r="E652" s="38"/>
      <c r="F652" s="239"/>
      <c r="G652" s="240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2.0" customHeight="1">
      <c r="A653" s="38"/>
      <c r="B653" s="38"/>
      <c r="C653" s="38"/>
      <c r="D653" s="38"/>
      <c r="E653" s="38"/>
      <c r="F653" s="239"/>
      <c r="G653" s="240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2.0" customHeight="1">
      <c r="A654" s="38"/>
      <c r="B654" s="38"/>
      <c r="C654" s="38"/>
      <c r="D654" s="38"/>
      <c r="E654" s="38"/>
      <c r="F654" s="239"/>
      <c r="G654" s="240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2.0" customHeight="1">
      <c r="A655" s="38"/>
      <c r="B655" s="38"/>
      <c r="C655" s="38"/>
      <c r="D655" s="38"/>
      <c r="E655" s="38"/>
      <c r="F655" s="239"/>
      <c r="G655" s="240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2.0" customHeight="1">
      <c r="A656" s="38"/>
      <c r="B656" s="38"/>
      <c r="C656" s="38"/>
      <c r="D656" s="38"/>
      <c r="E656" s="38"/>
      <c r="F656" s="239"/>
      <c r="G656" s="240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2.0" customHeight="1">
      <c r="A657" s="38"/>
      <c r="B657" s="38"/>
      <c r="C657" s="38"/>
      <c r="D657" s="38"/>
      <c r="E657" s="38"/>
      <c r="F657" s="239"/>
      <c r="G657" s="240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2.0" customHeight="1">
      <c r="A658" s="38"/>
      <c r="B658" s="38"/>
      <c r="C658" s="38"/>
      <c r="D658" s="38"/>
      <c r="E658" s="38"/>
      <c r="F658" s="239"/>
      <c r="G658" s="240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2.0" customHeight="1">
      <c r="A659" s="38"/>
      <c r="B659" s="38"/>
      <c r="C659" s="38"/>
      <c r="D659" s="38"/>
      <c r="E659" s="38"/>
      <c r="F659" s="239"/>
      <c r="G659" s="240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2.0" customHeight="1">
      <c r="A660" s="38"/>
      <c r="B660" s="38"/>
      <c r="C660" s="38"/>
      <c r="D660" s="38"/>
      <c r="E660" s="38"/>
      <c r="F660" s="239"/>
      <c r="G660" s="240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2.0" customHeight="1">
      <c r="A661" s="38"/>
      <c r="B661" s="38"/>
      <c r="C661" s="38"/>
      <c r="D661" s="38"/>
      <c r="E661" s="38"/>
      <c r="F661" s="239"/>
      <c r="G661" s="240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2.0" customHeight="1">
      <c r="A662" s="38"/>
      <c r="B662" s="38"/>
      <c r="C662" s="38"/>
      <c r="D662" s="38"/>
      <c r="E662" s="38"/>
      <c r="F662" s="239"/>
      <c r="G662" s="240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2.0" customHeight="1">
      <c r="A663" s="38"/>
      <c r="B663" s="38"/>
      <c r="C663" s="38"/>
      <c r="D663" s="38"/>
      <c r="E663" s="38"/>
      <c r="F663" s="239"/>
      <c r="G663" s="240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2.0" customHeight="1">
      <c r="A664" s="38"/>
      <c r="B664" s="38"/>
      <c r="C664" s="38"/>
      <c r="D664" s="38"/>
      <c r="E664" s="38"/>
      <c r="F664" s="239"/>
      <c r="G664" s="240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2.0" customHeight="1">
      <c r="A665" s="38"/>
      <c r="B665" s="38"/>
      <c r="C665" s="38"/>
      <c r="D665" s="38"/>
      <c r="E665" s="38"/>
      <c r="F665" s="239"/>
      <c r="G665" s="240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2.0" customHeight="1">
      <c r="A666" s="38"/>
      <c r="B666" s="38"/>
      <c r="C666" s="38"/>
      <c r="D666" s="38"/>
      <c r="E666" s="38"/>
      <c r="F666" s="239"/>
      <c r="G666" s="240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2.0" customHeight="1">
      <c r="A667" s="38"/>
      <c r="B667" s="38"/>
      <c r="C667" s="38"/>
      <c r="D667" s="38"/>
      <c r="E667" s="38"/>
      <c r="F667" s="239"/>
      <c r="G667" s="240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2.0" customHeight="1">
      <c r="A668" s="38"/>
      <c r="B668" s="38"/>
      <c r="C668" s="38"/>
      <c r="D668" s="38"/>
      <c r="E668" s="38"/>
      <c r="F668" s="239"/>
      <c r="G668" s="240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2.0" customHeight="1">
      <c r="A669" s="38"/>
      <c r="B669" s="38"/>
      <c r="C669" s="38"/>
      <c r="D669" s="38"/>
      <c r="E669" s="38"/>
      <c r="F669" s="239"/>
      <c r="G669" s="240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2.0" customHeight="1">
      <c r="A670" s="38"/>
      <c r="B670" s="38"/>
      <c r="C670" s="38"/>
      <c r="D670" s="38"/>
      <c r="E670" s="38"/>
      <c r="F670" s="239"/>
      <c r="G670" s="240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2.0" customHeight="1">
      <c r="A671" s="38"/>
      <c r="B671" s="38"/>
      <c r="C671" s="38"/>
      <c r="D671" s="38"/>
      <c r="E671" s="38"/>
      <c r="F671" s="239"/>
      <c r="G671" s="240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2.0" customHeight="1">
      <c r="A672" s="38"/>
      <c r="B672" s="38"/>
      <c r="C672" s="38"/>
      <c r="D672" s="38"/>
      <c r="E672" s="38"/>
      <c r="F672" s="239"/>
      <c r="G672" s="240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2.0" customHeight="1">
      <c r="A673" s="38"/>
      <c r="B673" s="38"/>
      <c r="C673" s="38"/>
      <c r="D673" s="38"/>
      <c r="E673" s="38"/>
      <c r="F673" s="239"/>
      <c r="G673" s="240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2.0" customHeight="1">
      <c r="A674" s="38"/>
      <c r="B674" s="38"/>
      <c r="C674" s="38"/>
      <c r="D674" s="38"/>
      <c r="E674" s="38"/>
      <c r="F674" s="239"/>
      <c r="G674" s="240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2.0" customHeight="1">
      <c r="A675" s="38"/>
      <c r="B675" s="38"/>
      <c r="C675" s="38"/>
      <c r="D675" s="38"/>
      <c r="E675" s="38"/>
      <c r="F675" s="239"/>
      <c r="G675" s="240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2.0" customHeight="1">
      <c r="A676" s="38"/>
      <c r="B676" s="38"/>
      <c r="C676" s="38"/>
      <c r="D676" s="38"/>
      <c r="E676" s="38"/>
      <c r="F676" s="239"/>
      <c r="G676" s="240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2.0" customHeight="1">
      <c r="A677" s="38"/>
      <c r="B677" s="38"/>
      <c r="C677" s="38"/>
      <c r="D677" s="38"/>
      <c r="E677" s="38"/>
      <c r="F677" s="239"/>
      <c r="G677" s="240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2.0" customHeight="1">
      <c r="A678" s="38"/>
      <c r="B678" s="38"/>
      <c r="C678" s="38"/>
      <c r="D678" s="38"/>
      <c r="E678" s="38"/>
      <c r="F678" s="239"/>
      <c r="G678" s="240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2.0" customHeight="1">
      <c r="A679" s="38"/>
      <c r="B679" s="38"/>
      <c r="C679" s="38"/>
      <c r="D679" s="38"/>
      <c r="E679" s="38"/>
      <c r="F679" s="239"/>
      <c r="G679" s="240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2.0" customHeight="1">
      <c r="A680" s="38"/>
      <c r="B680" s="38"/>
      <c r="C680" s="38"/>
      <c r="D680" s="38"/>
      <c r="E680" s="38"/>
      <c r="F680" s="239"/>
      <c r="G680" s="240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2.0" customHeight="1">
      <c r="A681" s="38"/>
      <c r="B681" s="38"/>
      <c r="C681" s="38"/>
      <c r="D681" s="38"/>
      <c r="E681" s="38"/>
      <c r="F681" s="239"/>
      <c r="G681" s="240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2.0" customHeight="1">
      <c r="A682" s="38"/>
      <c r="B682" s="38"/>
      <c r="C682" s="38"/>
      <c r="D682" s="38"/>
      <c r="E682" s="38"/>
      <c r="F682" s="239"/>
      <c r="G682" s="240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2.0" customHeight="1">
      <c r="A683" s="38"/>
      <c r="B683" s="38"/>
      <c r="C683" s="38"/>
      <c r="D683" s="38"/>
      <c r="E683" s="38"/>
      <c r="F683" s="239"/>
      <c r="G683" s="240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2.0" customHeight="1">
      <c r="A684" s="38"/>
      <c r="B684" s="38"/>
      <c r="C684" s="38"/>
      <c r="D684" s="38"/>
      <c r="E684" s="38"/>
      <c r="F684" s="239"/>
      <c r="G684" s="240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2.0" customHeight="1">
      <c r="A685" s="38"/>
      <c r="B685" s="38"/>
      <c r="C685" s="38"/>
      <c r="D685" s="38"/>
      <c r="E685" s="38"/>
      <c r="F685" s="239"/>
      <c r="G685" s="240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2.0" customHeight="1">
      <c r="A686" s="38"/>
      <c r="B686" s="38"/>
      <c r="C686" s="38"/>
      <c r="D686" s="38"/>
      <c r="E686" s="38"/>
      <c r="F686" s="239"/>
      <c r="G686" s="240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2.0" customHeight="1">
      <c r="A687" s="38"/>
      <c r="B687" s="38"/>
      <c r="C687" s="38"/>
      <c r="D687" s="38"/>
      <c r="E687" s="38"/>
      <c r="F687" s="239"/>
      <c r="G687" s="240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2.0" customHeight="1">
      <c r="A688" s="38"/>
      <c r="B688" s="38"/>
      <c r="C688" s="38"/>
      <c r="D688" s="38"/>
      <c r="E688" s="38"/>
      <c r="F688" s="239"/>
      <c r="G688" s="240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2.0" customHeight="1">
      <c r="A689" s="38"/>
      <c r="B689" s="38"/>
      <c r="C689" s="38"/>
      <c r="D689" s="38"/>
      <c r="E689" s="38"/>
      <c r="F689" s="239"/>
      <c r="G689" s="240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2.0" customHeight="1">
      <c r="A690" s="38"/>
      <c r="B690" s="38"/>
      <c r="C690" s="38"/>
      <c r="D690" s="38"/>
      <c r="E690" s="38"/>
      <c r="F690" s="239"/>
      <c r="G690" s="240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2.0" customHeight="1">
      <c r="A691" s="38"/>
      <c r="B691" s="38"/>
      <c r="C691" s="38"/>
      <c r="D691" s="38"/>
      <c r="E691" s="38"/>
      <c r="F691" s="239"/>
      <c r="G691" s="240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2.0" customHeight="1">
      <c r="A692" s="38"/>
      <c r="B692" s="38"/>
      <c r="C692" s="38"/>
      <c r="D692" s="38"/>
      <c r="E692" s="38"/>
      <c r="F692" s="239"/>
      <c r="G692" s="240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2.0" customHeight="1">
      <c r="A693" s="38"/>
      <c r="B693" s="38"/>
      <c r="C693" s="38"/>
      <c r="D693" s="38"/>
      <c r="E693" s="38"/>
      <c r="F693" s="239"/>
      <c r="G693" s="240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2.0" customHeight="1">
      <c r="A694" s="38"/>
      <c r="B694" s="38"/>
      <c r="C694" s="38"/>
      <c r="D694" s="38"/>
      <c r="E694" s="38"/>
      <c r="F694" s="239"/>
      <c r="G694" s="240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2.0" customHeight="1">
      <c r="A695" s="38"/>
      <c r="B695" s="38"/>
      <c r="C695" s="38"/>
      <c r="D695" s="38"/>
      <c r="E695" s="38"/>
      <c r="F695" s="239"/>
      <c r="G695" s="240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2.0" customHeight="1">
      <c r="A696" s="38"/>
      <c r="B696" s="38"/>
      <c r="C696" s="38"/>
      <c r="D696" s="38"/>
      <c r="E696" s="38"/>
      <c r="F696" s="239"/>
      <c r="G696" s="240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2.0" customHeight="1">
      <c r="A697" s="38"/>
      <c r="B697" s="38"/>
      <c r="C697" s="38"/>
      <c r="D697" s="38"/>
      <c r="E697" s="38"/>
      <c r="F697" s="239"/>
      <c r="G697" s="240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2.0" customHeight="1">
      <c r="A698" s="38"/>
      <c r="B698" s="38"/>
      <c r="C698" s="38"/>
      <c r="D698" s="38"/>
      <c r="E698" s="38"/>
      <c r="F698" s="239"/>
      <c r="G698" s="240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2.0" customHeight="1">
      <c r="A699" s="38"/>
      <c r="B699" s="38"/>
      <c r="C699" s="38"/>
      <c r="D699" s="38"/>
      <c r="E699" s="38"/>
      <c r="F699" s="239"/>
      <c r="G699" s="240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2.0" customHeight="1">
      <c r="A700" s="38"/>
      <c r="B700" s="38"/>
      <c r="C700" s="38"/>
      <c r="D700" s="38"/>
      <c r="E700" s="38"/>
      <c r="F700" s="239"/>
      <c r="G700" s="240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2.0" customHeight="1">
      <c r="A701" s="38"/>
      <c r="B701" s="38"/>
      <c r="C701" s="38"/>
      <c r="D701" s="38"/>
      <c r="E701" s="38"/>
      <c r="F701" s="239"/>
      <c r="G701" s="240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2.0" customHeight="1">
      <c r="A702" s="38"/>
      <c r="B702" s="38"/>
      <c r="C702" s="38"/>
      <c r="D702" s="38"/>
      <c r="E702" s="38"/>
      <c r="F702" s="239"/>
      <c r="G702" s="240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2.0" customHeight="1">
      <c r="A703" s="38"/>
      <c r="B703" s="38"/>
      <c r="C703" s="38"/>
      <c r="D703" s="38"/>
      <c r="E703" s="38"/>
      <c r="F703" s="239"/>
      <c r="G703" s="240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2.0" customHeight="1">
      <c r="A704" s="38"/>
      <c r="B704" s="38"/>
      <c r="C704" s="38"/>
      <c r="D704" s="38"/>
      <c r="E704" s="38"/>
      <c r="F704" s="239"/>
      <c r="G704" s="240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2.0" customHeight="1">
      <c r="A705" s="38"/>
      <c r="B705" s="38"/>
      <c r="C705" s="38"/>
      <c r="D705" s="38"/>
      <c r="E705" s="38"/>
      <c r="F705" s="239"/>
      <c r="G705" s="240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2.0" customHeight="1">
      <c r="A706" s="38"/>
      <c r="B706" s="38"/>
      <c r="C706" s="38"/>
      <c r="D706" s="38"/>
      <c r="E706" s="38"/>
      <c r="F706" s="239"/>
      <c r="G706" s="240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2.0" customHeight="1">
      <c r="A707" s="38"/>
      <c r="B707" s="38"/>
      <c r="C707" s="38"/>
      <c r="D707" s="38"/>
      <c r="E707" s="38"/>
      <c r="F707" s="239"/>
      <c r="G707" s="240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2.0" customHeight="1">
      <c r="A708" s="38"/>
      <c r="B708" s="38"/>
      <c r="C708" s="38"/>
      <c r="D708" s="38"/>
      <c r="E708" s="38"/>
      <c r="F708" s="239"/>
      <c r="G708" s="240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2.0" customHeight="1">
      <c r="A709" s="38"/>
      <c r="B709" s="38"/>
      <c r="C709" s="38"/>
      <c r="D709" s="38"/>
      <c r="E709" s="38"/>
      <c r="F709" s="239"/>
      <c r="G709" s="240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2.0" customHeight="1">
      <c r="A710" s="38"/>
      <c r="B710" s="38"/>
      <c r="C710" s="38"/>
      <c r="D710" s="38"/>
      <c r="E710" s="38"/>
      <c r="F710" s="239"/>
      <c r="G710" s="240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2.0" customHeight="1">
      <c r="A711" s="38"/>
      <c r="B711" s="38"/>
      <c r="C711" s="38"/>
      <c r="D711" s="38"/>
      <c r="E711" s="38"/>
      <c r="F711" s="239"/>
      <c r="G711" s="240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2.0" customHeight="1">
      <c r="A712" s="38"/>
      <c r="B712" s="38"/>
      <c r="C712" s="38"/>
      <c r="D712" s="38"/>
      <c r="E712" s="38"/>
      <c r="F712" s="239"/>
      <c r="G712" s="240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2.0" customHeight="1">
      <c r="A713" s="38"/>
      <c r="B713" s="38"/>
      <c r="C713" s="38"/>
      <c r="D713" s="38"/>
      <c r="E713" s="38"/>
      <c r="F713" s="239"/>
      <c r="G713" s="240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2.0" customHeight="1">
      <c r="A714" s="38"/>
      <c r="B714" s="38"/>
      <c r="C714" s="38"/>
      <c r="D714" s="38"/>
      <c r="E714" s="38"/>
      <c r="F714" s="239"/>
      <c r="G714" s="240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2.0" customHeight="1">
      <c r="A715" s="38"/>
      <c r="B715" s="38"/>
      <c r="C715" s="38"/>
      <c r="D715" s="38"/>
      <c r="E715" s="38"/>
      <c r="F715" s="239"/>
      <c r="G715" s="240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2.0" customHeight="1">
      <c r="A716" s="38"/>
      <c r="B716" s="38"/>
      <c r="C716" s="38"/>
      <c r="D716" s="38"/>
      <c r="E716" s="38"/>
      <c r="F716" s="239"/>
      <c r="G716" s="240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2.0" customHeight="1">
      <c r="A717" s="38"/>
      <c r="B717" s="38"/>
      <c r="C717" s="38"/>
      <c r="D717" s="38"/>
      <c r="E717" s="38"/>
      <c r="F717" s="239"/>
      <c r="G717" s="240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2.0" customHeight="1">
      <c r="A718" s="38"/>
      <c r="B718" s="38"/>
      <c r="C718" s="38"/>
      <c r="D718" s="38"/>
      <c r="E718" s="38"/>
      <c r="F718" s="239"/>
      <c r="G718" s="240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2.0" customHeight="1">
      <c r="A719" s="38"/>
      <c r="B719" s="38"/>
      <c r="C719" s="38"/>
      <c r="D719" s="38"/>
      <c r="E719" s="38"/>
      <c r="F719" s="239"/>
      <c r="G719" s="240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2.0" customHeight="1">
      <c r="A720" s="38"/>
      <c r="B720" s="38"/>
      <c r="C720" s="38"/>
      <c r="D720" s="38"/>
      <c r="E720" s="38"/>
      <c r="F720" s="239"/>
      <c r="G720" s="240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2.0" customHeight="1">
      <c r="A721" s="38"/>
      <c r="B721" s="38"/>
      <c r="C721" s="38"/>
      <c r="D721" s="38"/>
      <c r="E721" s="38"/>
      <c r="F721" s="239"/>
      <c r="G721" s="240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2.0" customHeight="1">
      <c r="A722" s="38"/>
      <c r="B722" s="38"/>
      <c r="C722" s="38"/>
      <c r="D722" s="38"/>
      <c r="E722" s="38"/>
      <c r="F722" s="239"/>
      <c r="G722" s="240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2.0" customHeight="1">
      <c r="A723" s="38"/>
      <c r="B723" s="38"/>
      <c r="C723" s="38"/>
      <c r="D723" s="38"/>
      <c r="E723" s="38"/>
      <c r="F723" s="239"/>
      <c r="G723" s="240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2.0" customHeight="1">
      <c r="A724" s="38"/>
      <c r="B724" s="38"/>
      <c r="C724" s="38"/>
      <c r="D724" s="38"/>
      <c r="E724" s="38"/>
      <c r="F724" s="239"/>
      <c r="G724" s="240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2.0" customHeight="1">
      <c r="A725" s="38"/>
      <c r="B725" s="38"/>
      <c r="C725" s="38"/>
      <c r="D725" s="38"/>
      <c r="E725" s="38"/>
      <c r="F725" s="239"/>
      <c r="G725" s="240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2.0" customHeight="1">
      <c r="A726" s="38"/>
      <c r="B726" s="38"/>
      <c r="C726" s="38"/>
      <c r="D726" s="38"/>
      <c r="E726" s="38"/>
      <c r="F726" s="239"/>
      <c r="G726" s="240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2.0" customHeight="1">
      <c r="A727" s="38"/>
      <c r="B727" s="38"/>
      <c r="C727" s="38"/>
      <c r="D727" s="38"/>
      <c r="E727" s="38"/>
      <c r="F727" s="239"/>
      <c r="G727" s="240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2.0" customHeight="1">
      <c r="A728" s="38"/>
      <c r="B728" s="38"/>
      <c r="C728" s="38"/>
      <c r="D728" s="38"/>
      <c r="E728" s="38"/>
      <c r="F728" s="239"/>
      <c r="G728" s="240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2.0" customHeight="1">
      <c r="A729" s="38"/>
      <c r="B729" s="38"/>
      <c r="C729" s="38"/>
      <c r="D729" s="38"/>
      <c r="E729" s="38"/>
      <c r="F729" s="239"/>
      <c r="G729" s="240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2.0" customHeight="1">
      <c r="A730" s="38"/>
      <c r="B730" s="38"/>
      <c r="C730" s="38"/>
      <c r="D730" s="38"/>
      <c r="E730" s="38"/>
      <c r="F730" s="239"/>
      <c r="G730" s="240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2.0" customHeight="1">
      <c r="A731" s="38"/>
      <c r="B731" s="38"/>
      <c r="C731" s="38"/>
      <c r="D731" s="38"/>
      <c r="E731" s="38"/>
      <c r="F731" s="239"/>
      <c r="G731" s="240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2.0" customHeight="1">
      <c r="A732" s="38"/>
      <c r="B732" s="38"/>
      <c r="C732" s="38"/>
      <c r="D732" s="38"/>
      <c r="E732" s="38"/>
      <c r="F732" s="239"/>
      <c r="G732" s="240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2.0" customHeight="1">
      <c r="A733" s="38"/>
      <c r="B733" s="38"/>
      <c r="C733" s="38"/>
      <c r="D733" s="38"/>
      <c r="E733" s="38"/>
      <c r="F733" s="239"/>
      <c r="G733" s="240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2.0" customHeight="1">
      <c r="A734" s="38"/>
      <c r="B734" s="38"/>
      <c r="C734" s="38"/>
      <c r="D734" s="38"/>
      <c r="E734" s="38"/>
      <c r="F734" s="239"/>
      <c r="G734" s="240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2.0" customHeight="1">
      <c r="A735" s="38"/>
      <c r="B735" s="38"/>
      <c r="C735" s="38"/>
      <c r="D735" s="38"/>
      <c r="E735" s="38"/>
      <c r="F735" s="239"/>
      <c r="G735" s="240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2.0" customHeight="1">
      <c r="A736" s="38"/>
      <c r="B736" s="38"/>
      <c r="C736" s="38"/>
      <c r="D736" s="38"/>
      <c r="E736" s="38"/>
      <c r="F736" s="239"/>
      <c r="G736" s="240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2.0" customHeight="1">
      <c r="A737" s="38"/>
      <c r="B737" s="38"/>
      <c r="C737" s="38"/>
      <c r="D737" s="38"/>
      <c r="E737" s="38"/>
      <c r="F737" s="239"/>
      <c r="G737" s="240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2.0" customHeight="1">
      <c r="A738" s="38"/>
      <c r="B738" s="38"/>
      <c r="C738" s="38"/>
      <c r="D738" s="38"/>
      <c r="E738" s="38"/>
      <c r="F738" s="239"/>
      <c r="G738" s="240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2.0" customHeight="1">
      <c r="A739" s="38"/>
      <c r="B739" s="38"/>
      <c r="C739" s="38"/>
      <c r="D739" s="38"/>
      <c r="E739" s="38"/>
      <c r="F739" s="239"/>
      <c r="G739" s="240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2.0" customHeight="1">
      <c r="A740" s="38"/>
      <c r="B740" s="38"/>
      <c r="C740" s="38"/>
      <c r="D740" s="38"/>
      <c r="E740" s="38"/>
      <c r="F740" s="239"/>
      <c r="G740" s="240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2.0" customHeight="1">
      <c r="A741" s="38"/>
      <c r="B741" s="38"/>
      <c r="C741" s="38"/>
      <c r="D741" s="38"/>
      <c r="E741" s="38"/>
      <c r="F741" s="239"/>
      <c r="G741" s="240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2.0" customHeight="1">
      <c r="A742" s="38"/>
      <c r="B742" s="38"/>
      <c r="C742" s="38"/>
      <c r="D742" s="38"/>
      <c r="E742" s="38"/>
      <c r="F742" s="239"/>
      <c r="G742" s="240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2.0" customHeight="1">
      <c r="A743" s="38"/>
      <c r="B743" s="38"/>
      <c r="C743" s="38"/>
      <c r="D743" s="38"/>
      <c r="E743" s="38"/>
      <c r="F743" s="239"/>
      <c r="G743" s="240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2.0" customHeight="1">
      <c r="A744" s="38"/>
      <c r="B744" s="38"/>
      <c r="C744" s="38"/>
      <c r="D744" s="38"/>
      <c r="E744" s="38"/>
      <c r="F744" s="239"/>
      <c r="G744" s="240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2.0" customHeight="1">
      <c r="A745" s="38"/>
      <c r="B745" s="38"/>
      <c r="C745" s="38"/>
      <c r="D745" s="38"/>
      <c r="E745" s="38"/>
      <c r="F745" s="239"/>
      <c r="G745" s="240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2.0" customHeight="1">
      <c r="A746" s="38"/>
      <c r="B746" s="38"/>
      <c r="C746" s="38"/>
      <c r="D746" s="38"/>
      <c r="E746" s="38"/>
      <c r="F746" s="239"/>
      <c r="G746" s="240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2.0" customHeight="1">
      <c r="A747" s="38"/>
      <c r="B747" s="38"/>
      <c r="C747" s="38"/>
      <c r="D747" s="38"/>
      <c r="E747" s="38"/>
      <c r="F747" s="239"/>
      <c r="G747" s="240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2.0" customHeight="1">
      <c r="A748" s="38"/>
      <c r="B748" s="38"/>
      <c r="C748" s="38"/>
      <c r="D748" s="38"/>
      <c r="E748" s="38"/>
      <c r="F748" s="239"/>
      <c r="G748" s="240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2.0" customHeight="1">
      <c r="A749" s="38"/>
      <c r="B749" s="38"/>
      <c r="C749" s="38"/>
      <c r="D749" s="38"/>
      <c r="E749" s="38"/>
      <c r="F749" s="239"/>
      <c r="G749" s="240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2.0" customHeight="1">
      <c r="A750" s="38"/>
      <c r="B750" s="38"/>
      <c r="C750" s="38"/>
      <c r="D750" s="38"/>
      <c r="E750" s="38"/>
      <c r="F750" s="239"/>
      <c r="G750" s="240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2.0" customHeight="1">
      <c r="A751" s="38"/>
      <c r="B751" s="38"/>
      <c r="C751" s="38"/>
      <c r="D751" s="38"/>
      <c r="E751" s="38"/>
      <c r="F751" s="239"/>
      <c r="G751" s="240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2.0" customHeight="1">
      <c r="A752" s="38"/>
      <c r="B752" s="38"/>
      <c r="C752" s="38"/>
      <c r="D752" s="38"/>
      <c r="E752" s="38"/>
      <c r="F752" s="239"/>
      <c r="G752" s="240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2.0" customHeight="1">
      <c r="A753" s="38"/>
      <c r="B753" s="38"/>
      <c r="C753" s="38"/>
      <c r="D753" s="38"/>
      <c r="E753" s="38"/>
      <c r="F753" s="239"/>
      <c r="G753" s="240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2.0" customHeight="1">
      <c r="A754" s="38"/>
      <c r="B754" s="38"/>
      <c r="C754" s="38"/>
      <c r="D754" s="38"/>
      <c r="E754" s="38"/>
      <c r="F754" s="239"/>
      <c r="G754" s="240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2.0" customHeight="1">
      <c r="A755" s="38"/>
      <c r="B755" s="38"/>
      <c r="C755" s="38"/>
      <c r="D755" s="38"/>
      <c r="E755" s="38"/>
      <c r="F755" s="239"/>
      <c r="G755" s="240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2.0" customHeight="1">
      <c r="A756" s="38"/>
      <c r="B756" s="38"/>
      <c r="C756" s="38"/>
      <c r="D756" s="38"/>
      <c r="E756" s="38"/>
      <c r="F756" s="239"/>
      <c r="G756" s="240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2.0" customHeight="1">
      <c r="A757" s="38"/>
      <c r="B757" s="38"/>
      <c r="C757" s="38"/>
      <c r="D757" s="38"/>
      <c r="E757" s="38"/>
      <c r="F757" s="239"/>
      <c r="G757" s="240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2.0" customHeight="1">
      <c r="A758" s="38"/>
      <c r="B758" s="38"/>
      <c r="C758" s="38"/>
      <c r="D758" s="38"/>
      <c r="E758" s="38"/>
      <c r="F758" s="239"/>
      <c r="G758" s="240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2.0" customHeight="1">
      <c r="A759" s="38"/>
      <c r="B759" s="38"/>
      <c r="C759" s="38"/>
      <c r="D759" s="38"/>
      <c r="E759" s="38"/>
      <c r="F759" s="239"/>
      <c r="G759" s="240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2.0" customHeight="1">
      <c r="A760" s="38"/>
      <c r="B760" s="38"/>
      <c r="C760" s="38"/>
      <c r="D760" s="38"/>
      <c r="E760" s="38"/>
      <c r="F760" s="239"/>
      <c r="G760" s="240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2.0" customHeight="1">
      <c r="A761" s="38"/>
      <c r="B761" s="38"/>
      <c r="C761" s="38"/>
      <c r="D761" s="38"/>
      <c r="E761" s="38"/>
      <c r="F761" s="239"/>
      <c r="G761" s="240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2.0" customHeight="1">
      <c r="A762" s="38"/>
      <c r="B762" s="38"/>
      <c r="C762" s="38"/>
      <c r="D762" s="38"/>
      <c r="E762" s="38"/>
      <c r="F762" s="239"/>
      <c r="G762" s="240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2.0" customHeight="1">
      <c r="A763" s="38"/>
      <c r="B763" s="38"/>
      <c r="C763" s="38"/>
      <c r="D763" s="38"/>
      <c r="E763" s="38"/>
      <c r="F763" s="239"/>
      <c r="G763" s="240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2.0" customHeight="1">
      <c r="A764" s="38"/>
      <c r="B764" s="38"/>
      <c r="C764" s="38"/>
      <c r="D764" s="38"/>
      <c r="E764" s="38"/>
      <c r="F764" s="239"/>
      <c r="G764" s="240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2.0" customHeight="1">
      <c r="A765" s="38"/>
      <c r="B765" s="38"/>
      <c r="C765" s="38"/>
      <c r="D765" s="38"/>
      <c r="E765" s="38"/>
      <c r="F765" s="239"/>
      <c r="G765" s="240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2.0" customHeight="1">
      <c r="A766" s="38"/>
      <c r="B766" s="38"/>
      <c r="C766" s="38"/>
      <c r="D766" s="38"/>
      <c r="E766" s="38"/>
      <c r="F766" s="239"/>
      <c r="G766" s="240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2.0" customHeight="1">
      <c r="A767" s="38"/>
      <c r="B767" s="38"/>
      <c r="C767" s="38"/>
      <c r="D767" s="38"/>
      <c r="E767" s="38"/>
      <c r="F767" s="239"/>
      <c r="G767" s="240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2.0" customHeight="1">
      <c r="A768" s="38"/>
      <c r="B768" s="38"/>
      <c r="C768" s="38"/>
      <c r="D768" s="38"/>
      <c r="E768" s="38"/>
      <c r="F768" s="239"/>
      <c r="G768" s="240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2.0" customHeight="1">
      <c r="A769" s="38"/>
      <c r="B769" s="38"/>
      <c r="C769" s="38"/>
      <c r="D769" s="38"/>
      <c r="E769" s="38"/>
      <c r="F769" s="239"/>
      <c r="G769" s="240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2.0" customHeight="1">
      <c r="A770" s="38"/>
      <c r="B770" s="38"/>
      <c r="C770" s="38"/>
      <c r="D770" s="38"/>
      <c r="E770" s="38"/>
      <c r="F770" s="239"/>
      <c r="G770" s="240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2.0" customHeight="1">
      <c r="A771" s="38"/>
      <c r="B771" s="38"/>
      <c r="C771" s="38"/>
      <c r="D771" s="38"/>
      <c r="E771" s="38"/>
      <c r="F771" s="239"/>
      <c r="G771" s="240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2.0" customHeight="1">
      <c r="A772" s="38"/>
      <c r="B772" s="38"/>
      <c r="C772" s="38"/>
      <c r="D772" s="38"/>
      <c r="E772" s="38"/>
      <c r="F772" s="239"/>
      <c r="G772" s="240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2.0" customHeight="1">
      <c r="A773" s="38"/>
      <c r="B773" s="38"/>
      <c r="C773" s="38"/>
      <c r="D773" s="38"/>
      <c r="E773" s="38"/>
      <c r="F773" s="239"/>
      <c r="G773" s="240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2.0" customHeight="1">
      <c r="A774" s="38"/>
      <c r="B774" s="38"/>
      <c r="C774" s="38"/>
      <c r="D774" s="38"/>
      <c r="E774" s="38"/>
      <c r="F774" s="239"/>
      <c r="G774" s="240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2.0" customHeight="1">
      <c r="A775" s="38"/>
      <c r="B775" s="38"/>
      <c r="C775" s="38"/>
      <c r="D775" s="38"/>
      <c r="E775" s="38"/>
      <c r="F775" s="239"/>
      <c r="G775" s="240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2.0" customHeight="1">
      <c r="A776" s="38"/>
      <c r="B776" s="38"/>
      <c r="C776" s="38"/>
      <c r="D776" s="38"/>
      <c r="E776" s="38"/>
      <c r="F776" s="239"/>
      <c r="G776" s="240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2.0" customHeight="1">
      <c r="A777" s="38"/>
      <c r="B777" s="38"/>
      <c r="C777" s="38"/>
      <c r="D777" s="38"/>
      <c r="E777" s="38"/>
      <c r="F777" s="239"/>
      <c r="G777" s="240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2.0" customHeight="1">
      <c r="A778" s="38"/>
      <c r="B778" s="38"/>
      <c r="C778" s="38"/>
      <c r="D778" s="38"/>
      <c r="E778" s="38"/>
      <c r="F778" s="239"/>
      <c r="G778" s="240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2.0" customHeight="1">
      <c r="A779" s="38"/>
      <c r="B779" s="38"/>
      <c r="C779" s="38"/>
      <c r="D779" s="38"/>
      <c r="E779" s="38"/>
      <c r="F779" s="239"/>
      <c r="G779" s="240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2.0" customHeight="1">
      <c r="A780" s="38"/>
      <c r="B780" s="38"/>
      <c r="C780" s="38"/>
      <c r="D780" s="38"/>
      <c r="E780" s="38"/>
      <c r="F780" s="239"/>
      <c r="G780" s="240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2.0" customHeight="1">
      <c r="A781" s="38"/>
      <c r="B781" s="38"/>
      <c r="C781" s="38"/>
      <c r="D781" s="38"/>
      <c r="E781" s="38"/>
      <c r="F781" s="239"/>
      <c r="G781" s="240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2.0" customHeight="1">
      <c r="A782" s="38"/>
      <c r="B782" s="38"/>
      <c r="C782" s="38"/>
      <c r="D782" s="38"/>
      <c r="E782" s="38"/>
      <c r="F782" s="239"/>
      <c r="G782" s="240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2.0" customHeight="1">
      <c r="A783" s="38"/>
      <c r="B783" s="38"/>
      <c r="C783" s="38"/>
      <c r="D783" s="38"/>
      <c r="E783" s="38"/>
      <c r="F783" s="239"/>
      <c r="G783" s="240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2.0" customHeight="1">
      <c r="A784" s="38"/>
      <c r="B784" s="38"/>
      <c r="C784" s="38"/>
      <c r="D784" s="38"/>
      <c r="E784" s="38"/>
      <c r="F784" s="239"/>
      <c r="G784" s="240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2.0" customHeight="1">
      <c r="A785" s="38"/>
      <c r="B785" s="38"/>
      <c r="C785" s="38"/>
      <c r="D785" s="38"/>
      <c r="E785" s="38"/>
      <c r="F785" s="239"/>
      <c r="G785" s="240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2.0" customHeight="1">
      <c r="A786" s="38"/>
      <c r="B786" s="38"/>
      <c r="C786" s="38"/>
      <c r="D786" s="38"/>
      <c r="E786" s="38"/>
      <c r="F786" s="239"/>
      <c r="G786" s="240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2.0" customHeight="1">
      <c r="A787" s="38"/>
      <c r="B787" s="38"/>
      <c r="C787" s="38"/>
      <c r="D787" s="38"/>
      <c r="E787" s="38"/>
      <c r="F787" s="239"/>
      <c r="G787" s="240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2.0" customHeight="1">
      <c r="A788" s="38"/>
      <c r="B788" s="38"/>
      <c r="C788" s="38"/>
      <c r="D788" s="38"/>
      <c r="E788" s="38"/>
      <c r="F788" s="239"/>
      <c r="G788" s="240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2.0" customHeight="1">
      <c r="A789" s="38"/>
      <c r="B789" s="38"/>
      <c r="C789" s="38"/>
      <c r="D789" s="38"/>
      <c r="E789" s="38"/>
      <c r="F789" s="239"/>
      <c r="G789" s="240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2.0" customHeight="1">
      <c r="A790" s="38"/>
      <c r="B790" s="38"/>
      <c r="C790" s="38"/>
      <c r="D790" s="38"/>
      <c r="E790" s="38"/>
      <c r="F790" s="239"/>
      <c r="G790" s="240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2.0" customHeight="1">
      <c r="A791" s="38"/>
      <c r="B791" s="38"/>
      <c r="C791" s="38"/>
      <c r="D791" s="38"/>
      <c r="E791" s="38"/>
      <c r="F791" s="239"/>
      <c r="G791" s="240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2.0" customHeight="1">
      <c r="A792" s="38"/>
      <c r="B792" s="38"/>
      <c r="C792" s="38"/>
      <c r="D792" s="38"/>
      <c r="E792" s="38"/>
      <c r="F792" s="239"/>
      <c r="G792" s="240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2.0" customHeight="1">
      <c r="A793" s="38"/>
      <c r="B793" s="38"/>
      <c r="C793" s="38"/>
      <c r="D793" s="38"/>
      <c r="E793" s="38"/>
      <c r="F793" s="239"/>
      <c r="G793" s="240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2.0" customHeight="1">
      <c r="A794" s="38"/>
      <c r="B794" s="38"/>
      <c r="C794" s="38"/>
      <c r="D794" s="38"/>
      <c r="E794" s="38"/>
      <c r="F794" s="239"/>
      <c r="G794" s="240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2.0" customHeight="1">
      <c r="A795" s="38"/>
      <c r="B795" s="38"/>
      <c r="C795" s="38"/>
      <c r="D795" s="38"/>
      <c r="E795" s="38"/>
      <c r="F795" s="239"/>
      <c r="G795" s="240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2.0" customHeight="1">
      <c r="A796" s="38"/>
      <c r="B796" s="38"/>
      <c r="C796" s="38"/>
      <c r="D796" s="38"/>
      <c r="E796" s="38"/>
      <c r="F796" s="239"/>
      <c r="G796" s="240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2.0" customHeight="1">
      <c r="A797" s="38"/>
      <c r="B797" s="38"/>
      <c r="C797" s="38"/>
      <c r="D797" s="38"/>
      <c r="E797" s="38"/>
      <c r="F797" s="239"/>
      <c r="G797" s="240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2.0" customHeight="1">
      <c r="A798" s="38"/>
      <c r="B798" s="38"/>
      <c r="C798" s="38"/>
      <c r="D798" s="38"/>
      <c r="E798" s="38"/>
      <c r="F798" s="239"/>
      <c r="G798" s="240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2.0" customHeight="1">
      <c r="A799" s="38"/>
      <c r="B799" s="38"/>
      <c r="C799" s="38"/>
      <c r="D799" s="38"/>
      <c r="E799" s="38"/>
      <c r="F799" s="239"/>
      <c r="G799" s="240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2.0" customHeight="1">
      <c r="A800" s="38"/>
      <c r="B800" s="38"/>
      <c r="C800" s="38"/>
      <c r="D800" s="38"/>
      <c r="E800" s="38"/>
      <c r="F800" s="239"/>
      <c r="G800" s="240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2.0" customHeight="1">
      <c r="A801" s="38"/>
      <c r="B801" s="38"/>
      <c r="C801" s="38"/>
      <c r="D801" s="38"/>
      <c r="E801" s="38"/>
      <c r="F801" s="239"/>
      <c r="G801" s="240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2.0" customHeight="1">
      <c r="A802" s="38"/>
      <c r="B802" s="38"/>
      <c r="C802" s="38"/>
      <c r="D802" s="38"/>
      <c r="E802" s="38"/>
      <c r="F802" s="239"/>
      <c r="G802" s="240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2.0" customHeight="1">
      <c r="A803" s="38"/>
      <c r="B803" s="38"/>
      <c r="C803" s="38"/>
      <c r="D803" s="38"/>
      <c r="E803" s="38"/>
      <c r="F803" s="239"/>
      <c r="G803" s="240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2.0" customHeight="1">
      <c r="A804" s="38"/>
      <c r="B804" s="38"/>
      <c r="C804" s="38"/>
      <c r="D804" s="38"/>
      <c r="E804" s="38"/>
      <c r="F804" s="239"/>
      <c r="G804" s="240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2.0" customHeight="1">
      <c r="A805" s="38"/>
      <c r="B805" s="38"/>
      <c r="C805" s="38"/>
      <c r="D805" s="38"/>
      <c r="E805" s="38"/>
      <c r="F805" s="239"/>
      <c r="G805" s="240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2.0" customHeight="1">
      <c r="A806" s="38"/>
      <c r="B806" s="38"/>
      <c r="C806" s="38"/>
      <c r="D806" s="38"/>
      <c r="E806" s="38"/>
      <c r="F806" s="239"/>
      <c r="G806" s="240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2.0" customHeight="1">
      <c r="A807" s="38"/>
      <c r="B807" s="38"/>
      <c r="C807" s="38"/>
      <c r="D807" s="38"/>
      <c r="E807" s="38"/>
      <c r="F807" s="239"/>
      <c r="G807" s="240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2.0" customHeight="1">
      <c r="A808" s="38"/>
      <c r="B808" s="38"/>
      <c r="C808" s="38"/>
      <c r="D808" s="38"/>
      <c r="E808" s="38"/>
      <c r="F808" s="239"/>
      <c r="G808" s="240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2.0" customHeight="1">
      <c r="A809" s="38"/>
      <c r="B809" s="38"/>
      <c r="C809" s="38"/>
      <c r="D809" s="38"/>
      <c r="E809" s="38"/>
      <c r="F809" s="239"/>
      <c r="G809" s="240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2.0" customHeight="1">
      <c r="A810" s="38"/>
      <c r="B810" s="38"/>
      <c r="C810" s="38"/>
      <c r="D810" s="38"/>
      <c r="E810" s="38"/>
      <c r="F810" s="239"/>
      <c r="G810" s="240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2.0" customHeight="1">
      <c r="A811" s="38"/>
      <c r="B811" s="38"/>
      <c r="C811" s="38"/>
      <c r="D811" s="38"/>
      <c r="E811" s="38"/>
      <c r="F811" s="239"/>
      <c r="G811" s="240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2.0" customHeight="1">
      <c r="A812" s="38"/>
      <c r="B812" s="38"/>
      <c r="C812" s="38"/>
      <c r="D812" s="38"/>
      <c r="E812" s="38"/>
      <c r="F812" s="239"/>
      <c r="G812" s="240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2.0" customHeight="1">
      <c r="A813" s="38"/>
      <c r="B813" s="38"/>
      <c r="C813" s="38"/>
      <c r="D813" s="38"/>
      <c r="E813" s="38"/>
      <c r="F813" s="239"/>
      <c r="G813" s="240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2.0" customHeight="1">
      <c r="A814" s="38"/>
      <c r="B814" s="38"/>
      <c r="C814" s="38"/>
      <c r="D814" s="38"/>
      <c r="E814" s="38"/>
      <c r="F814" s="239"/>
      <c r="G814" s="240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2.0" customHeight="1">
      <c r="A815" s="38"/>
      <c r="B815" s="38"/>
      <c r="C815" s="38"/>
      <c r="D815" s="38"/>
      <c r="E815" s="38"/>
      <c r="F815" s="239"/>
      <c r="G815" s="240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2.0" customHeight="1">
      <c r="A816" s="38"/>
      <c r="B816" s="38"/>
      <c r="C816" s="38"/>
      <c r="D816" s="38"/>
      <c r="E816" s="38"/>
      <c r="F816" s="239"/>
      <c r="G816" s="240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2.0" customHeight="1">
      <c r="A817" s="38"/>
      <c r="B817" s="38"/>
      <c r="C817" s="38"/>
      <c r="D817" s="38"/>
      <c r="E817" s="38"/>
      <c r="F817" s="239"/>
      <c r="G817" s="240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2.0" customHeight="1">
      <c r="A818" s="38"/>
      <c r="B818" s="38"/>
      <c r="C818" s="38"/>
      <c r="D818" s="38"/>
      <c r="E818" s="38"/>
      <c r="F818" s="239"/>
      <c r="G818" s="240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2.0" customHeight="1">
      <c r="A819" s="38"/>
      <c r="B819" s="38"/>
      <c r="C819" s="38"/>
      <c r="D819" s="38"/>
      <c r="E819" s="38"/>
      <c r="F819" s="239"/>
      <c r="G819" s="240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2.0" customHeight="1">
      <c r="A820" s="38"/>
      <c r="B820" s="38"/>
      <c r="C820" s="38"/>
      <c r="D820" s="38"/>
      <c r="E820" s="38"/>
      <c r="F820" s="239"/>
      <c r="G820" s="240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2.0" customHeight="1">
      <c r="A821" s="38"/>
      <c r="B821" s="38"/>
      <c r="C821" s="38"/>
      <c r="D821" s="38"/>
      <c r="E821" s="38"/>
      <c r="F821" s="239"/>
      <c r="G821" s="240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2.0" customHeight="1">
      <c r="A822" s="38"/>
      <c r="B822" s="38"/>
      <c r="C822" s="38"/>
      <c r="D822" s="38"/>
      <c r="E822" s="38"/>
      <c r="F822" s="239"/>
      <c r="G822" s="240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2.0" customHeight="1">
      <c r="A823" s="38"/>
      <c r="B823" s="38"/>
      <c r="C823" s="38"/>
      <c r="D823" s="38"/>
      <c r="E823" s="38"/>
      <c r="F823" s="239"/>
      <c r="G823" s="240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2.0" customHeight="1">
      <c r="A824" s="38"/>
      <c r="B824" s="38"/>
      <c r="C824" s="38"/>
      <c r="D824" s="38"/>
      <c r="E824" s="38"/>
      <c r="F824" s="239"/>
      <c r="G824" s="240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2.0" customHeight="1">
      <c r="A825" s="38"/>
      <c r="B825" s="38"/>
      <c r="C825" s="38"/>
      <c r="D825" s="38"/>
      <c r="E825" s="38"/>
      <c r="F825" s="239"/>
      <c r="G825" s="240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2.0" customHeight="1">
      <c r="A826" s="38"/>
      <c r="B826" s="38"/>
      <c r="C826" s="38"/>
      <c r="D826" s="38"/>
      <c r="E826" s="38"/>
      <c r="F826" s="239"/>
      <c r="G826" s="240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2.0" customHeight="1">
      <c r="A827" s="38"/>
      <c r="B827" s="38"/>
      <c r="C827" s="38"/>
      <c r="D827" s="38"/>
      <c r="E827" s="38"/>
      <c r="F827" s="239"/>
      <c r="G827" s="240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2.0" customHeight="1">
      <c r="A828" s="38"/>
      <c r="B828" s="38"/>
      <c r="C828" s="38"/>
      <c r="D828" s="38"/>
      <c r="E828" s="38"/>
      <c r="F828" s="239"/>
      <c r="G828" s="240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2.0" customHeight="1">
      <c r="A829" s="38"/>
      <c r="B829" s="38"/>
      <c r="C829" s="38"/>
      <c r="D829" s="38"/>
      <c r="E829" s="38"/>
      <c r="F829" s="239"/>
      <c r="G829" s="240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2.0" customHeight="1">
      <c r="A830" s="38"/>
      <c r="B830" s="38"/>
      <c r="C830" s="38"/>
      <c r="D830" s="38"/>
      <c r="E830" s="38"/>
      <c r="F830" s="239"/>
      <c r="G830" s="240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2.0" customHeight="1">
      <c r="A831" s="38"/>
      <c r="B831" s="38"/>
      <c r="C831" s="38"/>
      <c r="D831" s="38"/>
      <c r="E831" s="38"/>
      <c r="F831" s="239"/>
      <c r="G831" s="240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2.0" customHeight="1">
      <c r="A832" s="38"/>
      <c r="B832" s="38"/>
      <c r="C832" s="38"/>
      <c r="D832" s="38"/>
      <c r="E832" s="38"/>
      <c r="F832" s="239"/>
      <c r="G832" s="240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2.0" customHeight="1">
      <c r="A833" s="38"/>
      <c r="B833" s="38"/>
      <c r="C833" s="38"/>
      <c r="D833" s="38"/>
      <c r="E833" s="38"/>
      <c r="F833" s="239"/>
      <c r="G833" s="240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2.0" customHeight="1">
      <c r="A834" s="38"/>
      <c r="B834" s="38"/>
      <c r="C834" s="38"/>
      <c r="D834" s="38"/>
      <c r="E834" s="38"/>
      <c r="F834" s="239"/>
      <c r="G834" s="240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2.0" customHeight="1">
      <c r="A835" s="38"/>
      <c r="B835" s="38"/>
      <c r="C835" s="38"/>
      <c r="D835" s="38"/>
      <c r="E835" s="38"/>
      <c r="F835" s="239"/>
      <c r="G835" s="240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2.0" customHeight="1">
      <c r="A836" s="38"/>
      <c r="B836" s="38"/>
      <c r="C836" s="38"/>
      <c r="D836" s="38"/>
      <c r="E836" s="38"/>
      <c r="F836" s="239"/>
      <c r="G836" s="240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2.0" customHeight="1">
      <c r="A837" s="38"/>
      <c r="B837" s="38"/>
      <c r="C837" s="38"/>
      <c r="D837" s="38"/>
      <c r="E837" s="38"/>
      <c r="F837" s="239"/>
      <c r="G837" s="240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2.0" customHeight="1">
      <c r="A838" s="38"/>
      <c r="B838" s="38"/>
      <c r="C838" s="38"/>
      <c r="D838" s="38"/>
      <c r="E838" s="38"/>
      <c r="F838" s="239"/>
      <c r="G838" s="240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2.0" customHeight="1">
      <c r="A839" s="38"/>
      <c r="B839" s="38"/>
      <c r="C839" s="38"/>
      <c r="D839" s="38"/>
      <c r="E839" s="38"/>
      <c r="F839" s="239"/>
      <c r="G839" s="240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2.0" customHeight="1">
      <c r="A840" s="38"/>
      <c r="B840" s="38"/>
      <c r="C840" s="38"/>
      <c r="D840" s="38"/>
      <c r="E840" s="38"/>
      <c r="F840" s="239"/>
      <c r="G840" s="240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2.0" customHeight="1">
      <c r="A841" s="38"/>
      <c r="B841" s="38"/>
      <c r="C841" s="38"/>
      <c r="D841" s="38"/>
      <c r="E841" s="38"/>
      <c r="F841" s="239"/>
      <c r="G841" s="240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2.0" customHeight="1">
      <c r="A842" s="38"/>
      <c r="B842" s="38"/>
      <c r="C842" s="38"/>
      <c r="D842" s="38"/>
      <c r="E842" s="38"/>
      <c r="F842" s="239"/>
      <c r="G842" s="240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2.0" customHeight="1">
      <c r="A843" s="38"/>
      <c r="B843" s="38"/>
      <c r="C843" s="38"/>
      <c r="D843" s="38"/>
      <c r="E843" s="38"/>
      <c r="F843" s="239"/>
      <c r="G843" s="240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2.0" customHeight="1">
      <c r="A844" s="38"/>
      <c r="B844" s="38"/>
      <c r="C844" s="38"/>
      <c r="D844" s="38"/>
      <c r="E844" s="38"/>
      <c r="F844" s="239"/>
      <c r="G844" s="240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2.0" customHeight="1">
      <c r="A845" s="38"/>
      <c r="B845" s="38"/>
      <c r="C845" s="38"/>
      <c r="D845" s="38"/>
      <c r="E845" s="38"/>
      <c r="F845" s="239"/>
      <c r="G845" s="240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2.0" customHeight="1">
      <c r="A846" s="38"/>
      <c r="B846" s="38"/>
      <c r="C846" s="38"/>
      <c r="D846" s="38"/>
      <c r="E846" s="38"/>
      <c r="F846" s="239"/>
      <c r="G846" s="240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2.0" customHeight="1">
      <c r="A847" s="38"/>
      <c r="B847" s="38"/>
      <c r="C847" s="38"/>
      <c r="D847" s="38"/>
      <c r="E847" s="38"/>
      <c r="F847" s="239"/>
      <c r="G847" s="240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2.0" customHeight="1">
      <c r="A848" s="38"/>
      <c r="B848" s="38"/>
      <c r="C848" s="38"/>
      <c r="D848" s="38"/>
      <c r="E848" s="38"/>
      <c r="F848" s="239"/>
      <c r="G848" s="240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2.0" customHeight="1">
      <c r="A849" s="38"/>
      <c r="B849" s="38"/>
      <c r="C849" s="38"/>
      <c r="D849" s="38"/>
      <c r="E849" s="38"/>
      <c r="F849" s="239"/>
      <c r="G849" s="240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2.0" customHeight="1">
      <c r="A850" s="38"/>
      <c r="B850" s="38"/>
      <c r="C850" s="38"/>
      <c r="D850" s="38"/>
      <c r="E850" s="38"/>
      <c r="F850" s="239"/>
      <c r="G850" s="240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2.0" customHeight="1">
      <c r="A851" s="38"/>
      <c r="B851" s="38"/>
      <c r="C851" s="38"/>
      <c r="D851" s="38"/>
      <c r="E851" s="38"/>
      <c r="F851" s="239"/>
      <c r="G851" s="240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2.0" customHeight="1">
      <c r="A852" s="38"/>
      <c r="B852" s="38"/>
      <c r="C852" s="38"/>
      <c r="D852" s="38"/>
      <c r="E852" s="38"/>
      <c r="F852" s="239"/>
      <c r="G852" s="240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2.0" customHeight="1">
      <c r="A853" s="38"/>
      <c r="B853" s="38"/>
      <c r="C853" s="38"/>
      <c r="D853" s="38"/>
      <c r="E853" s="38"/>
      <c r="F853" s="239"/>
      <c r="G853" s="240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2.0" customHeight="1">
      <c r="A854" s="38"/>
      <c r="B854" s="38"/>
      <c r="C854" s="38"/>
      <c r="D854" s="38"/>
      <c r="E854" s="38"/>
      <c r="F854" s="239"/>
      <c r="G854" s="240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2.0" customHeight="1">
      <c r="A855" s="38"/>
      <c r="B855" s="38"/>
      <c r="C855" s="38"/>
      <c r="D855" s="38"/>
      <c r="E855" s="38"/>
      <c r="F855" s="239"/>
      <c r="G855" s="240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2.0" customHeight="1">
      <c r="A856" s="38"/>
      <c r="B856" s="38"/>
      <c r="C856" s="38"/>
      <c r="D856" s="38"/>
      <c r="E856" s="38"/>
      <c r="F856" s="239"/>
      <c r="G856" s="240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2.0" customHeight="1">
      <c r="A857" s="38"/>
      <c r="B857" s="38"/>
      <c r="C857" s="38"/>
      <c r="D857" s="38"/>
      <c r="E857" s="38"/>
      <c r="F857" s="239"/>
      <c r="G857" s="240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2.0" customHeight="1">
      <c r="A858" s="38"/>
      <c r="B858" s="38"/>
      <c r="C858" s="38"/>
      <c r="D858" s="38"/>
      <c r="E858" s="38"/>
      <c r="F858" s="239"/>
      <c r="G858" s="240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2.0" customHeight="1">
      <c r="A859" s="38"/>
      <c r="B859" s="38"/>
      <c r="C859" s="38"/>
      <c r="D859" s="38"/>
      <c r="E859" s="38"/>
      <c r="F859" s="239"/>
      <c r="G859" s="240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2.0" customHeight="1">
      <c r="A860" s="38"/>
      <c r="B860" s="38"/>
      <c r="C860" s="38"/>
      <c r="D860" s="38"/>
      <c r="E860" s="38"/>
      <c r="F860" s="239"/>
      <c r="G860" s="240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2.0" customHeight="1">
      <c r="A861" s="38"/>
      <c r="B861" s="38"/>
      <c r="C861" s="38"/>
      <c r="D861" s="38"/>
      <c r="E861" s="38"/>
      <c r="F861" s="239"/>
      <c r="G861" s="240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2.0" customHeight="1">
      <c r="A862" s="38"/>
      <c r="B862" s="38"/>
      <c r="C862" s="38"/>
      <c r="D862" s="38"/>
      <c r="E862" s="38"/>
      <c r="F862" s="239"/>
      <c r="G862" s="240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2.0" customHeight="1">
      <c r="A863" s="38"/>
      <c r="B863" s="38"/>
      <c r="C863" s="38"/>
      <c r="D863" s="38"/>
      <c r="E863" s="38"/>
      <c r="F863" s="239"/>
      <c r="G863" s="240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2.0" customHeight="1">
      <c r="A864" s="38"/>
      <c r="B864" s="38"/>
      <c r="C864" s="38"/>
      <c r="D864" s="38"/>
      <c r="E864" s="38"/>
      <c r="F864" s="239"/>
      <c r="G864" s="240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2.0" customHeight="1">
      <c r="A865" s="38"/>
      <c r="B865" s="38"/>
      <c r="C865" s="38"/>
      <c r="D865" s="38"/>
      <c r="E865" s="38"/>
      <c r="F865" s="239"/>
      <c r="G865" s="240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2.0" customHeight="1">
      <c r="A866" s="38"/>
      <c r="B866" s="38"/>
      <c r="C866" s="38"/>
      <c r="D866" s="38"/>
      <c r="E866" s="38"/>
      <c r="F866" s="239"/>
      <c r="G866" s="240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2.0" customHeight="1">
      <c r="A867" s="38"/>
      <c r="B867" s="38"/>
      <c r="C867" s="38"/>
      <c r="D867" s="38"/>
      <c r="E867" s="38"/>
      <c r="F867" s="239"/>
      <c r="G867" s="240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2.0" customHeight="1">
      <c r="A868" s="38"/>
      <c r="B868" s="38"/>
      <c r="C868" s="38"/>
      <c r="D868" s="38"/>
      <c r="E868" s="38"/>
      <c r="F868" s="239"/>
      <c r="G868" s="240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2.0" customHeight="1">
      <c r="A869" s="38"/>
      <c r="B869" s="38"/>
      <c r="C869" s="38"/>
      <c r="D869" s="38"/>
      <c r="E869" s="38"/>
      <c r="F869" s="239"/>
      <c r="G869" s="240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2.0" customHeight="1">
      <c r="A870" s="38"/>
      <c r="B870" s="38"/>
      <c r="C870" s="38"/>
      <c r="D870" s="38"/>
      <c r="E870" s="38"/>
      <c r="F870" s="239"/>
      <c r="G870" s="240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2.0" customHeight="1">
      <c r="A871" s="38"/>
      <c r="B871" s="38"/>
      <c r="C871" s="38"/>
      <c r="D871" s="38"/>
      <c r="E871" s="38"/>
      <c r="F871" s="239"/>
      <c r="G871" s="240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2.0" customHeight="1">
      <c r="A872" s="38"/>
      <c r="B872" s="38"/>
      <c r="C872" s="38"/>
      <c r="D872" s="38"/>
      <c r="E872" s="38"/>
      <c r="F872" s="239"/>
      <c r="G872" s="240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2.0" customHeight="1">
      <c r="A873" s="38"/>
      <c r="B873" s="38"/>
      <c r="C873" s="38"/>
      <c r="D873" s="38"/>
      <c r="E873" s="38"/>
      <c r="F873" s="239"/>
      <c r="G873" s="240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2.0" customHeight="1">
      <c r="A874" s="38"/>
      <c r="B874" s="38"/>
      <c r="C874" s="38"/>
      <c r="D874" s="38"/>
      <c r="E874" s="38"/>
      <c r="F874" s="239"/>
      <c r="G874" s="240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2.0" customHeight="1">
      <c r="A875" s="38"/>
      <c r="B875" s="38"/>
      <c r="C875" s="38"/>
      <c r="D875" s="38"/>
      <c r="E875" s="38"/>
      <c r="F875" s="239"/>
      <c r="G875" s="240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2.0" customHeight="1">
      <c r="A876" s="38"/>
      <c r="B876" s="38"/>
      <c r="C876" s="38"/>
      <c r="D876" s="38"/>
      <c r="E876" s="38"/>
      <c r="F876" s="239"/>
      <c r="G876" s="240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2.0" customHeight="1">
      <c r="A877" s="38"/>
      <c r="B877" s="38"/>
      <c r="C877" s="38"/>
      <c r="D877" s="38"/>
      <c r="E877" s="38"/>
      <c r="F877" s="239"/>
      <c r="G877" s="240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2.0" customHeight="1">
      <c r="A878" s="38"/>
      <c r="B878" s="38"/>
      <c r="C878" s="38"/>
      <c r="D878" s="38"/>
      <c r="E878" s="38"/>
      <c r="F878" s="239"/>
      <c r="G878" s="240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2.0" customHeight="1">
      <c r="A879" s="38"/>
      <c r="B879" s="38"/>
      <c r="C879" s="38"/>
      <c r="D879" s="38"/>
      <c r="E879" s="38"/>
      <c r="F879" s="239"/>
      <c r="G879" s="240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2.0" customHeight="1">
      <c r="A880" s="38"/>
      <c r="B880" s="38"/>
      <c r="C880" s="38"/>
      <c r="D880" s="38"/>
      <c r="E880" s="38"/>
      <c r="F880" s="239"/>
      <c r="G880" s="240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2.0" customHeight="1">
      <c r="A881" s="38"/>
      <c r="B881" s="38"/>
      <c r="C881" s="38"/>
      <c r="D881" s="38"/>
      <c r="E881" s="38"/>
      <c r="F881" s="239"/>
      <c r="G881" s="240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2.0" customHeight="1">
      <c r="A882" s="38"/>
      <c r="B882" s="38"/>
      <c r="C882" s="38"/>
      <c r="D882" s="38"/>
      <c r="E882" s="38"/>
      <c r="F882" s="239"/>
      <c r="G882" s="240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2.0" customHeight="1">
      <c r="A883" s="38"/>
      <c r="B883" s="38"/>
      <c r="C883" s="38"/>
      <c r="D883" s="38"/>
      <c r="E883" s="38"/>
      <c r="F883" s="239"/>
      <c r="G883" s="240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2.0" customHeight="1">
      <c r="A884" s="38"/>
      <c r="B884" s="38"/>
      <c r="C884" s="38"/>
      <c r="D884" s="38"/>
      <c r="E884" s="38"/>
      <c r="F884" s="239"/>
      <c r="G884" s="240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2.0" customHeight="1">
      <c r="A885" s="38"/>
      <c r="B885" s="38"/>
      <c r="C885" s="38"/>
      <c r="D885" s="38"/>
      <c r="E885" s="38"/>
      <c r="F885" s="239"/>
      <c r="G885" s="240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2.0" customHeight="1">
      <c r="A886" s="38"/>
      <c r="B886" s="38"/>
      <c r="C886" s="38"/>
      <c r="D886" s="38"/>
      <c r="E886" s="38"/>
      <c r="F886" s="239"/>
      <c r="G886" s="240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2.0" customHeight="1">
      <c r="A887" s="38"/>
      <c r="B887" s="38"/>
      <c r="C887" s="38"/>
      <c r="D887" s="38"/>
      <c r="E887" s="38"/>
      <c r="F887" s="239"/>
      <c r="G887" s="240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2.0" customHeight="1">
      <c r="A888" s="38"/>
      <c r="B888" s="38"/>
      <c r="C888" s="38"/>
      <c r="D888" s="38"/>
      <c r="E888" s="38"/>
      <c r="F888" s="239"/>
      <c r="G888" s="240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2.0" customHeight="1">
      <c r="A889" s="38"/>
      <c r="B889" s="38"/>
      <c r="C889" s="38"/>
      <c r="D889" s="38"/>
      <c r="E889" s="38"/>
      <c r="F889" s="239"/>
      <c r="G889" s="240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2.0" customHeight="1">
      <c r="A890" s="38"/>
      <c r="B890" s="38"/>
      <c r="C890" s="38"/>
      <c r="D890" s="38"/>
      <c r="E890" s="38"/>
      <c r="F890" s="239"/>
      <c r="G890" s="240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2.0" customHeight="1">
      <c r="A891" s="38"/>
      <c r="B891" s="38"/>
      <c r="C891" s="38"/>
      <c r="D891" s="38"/>
      <c r="E891" s="38"/>
      <c r="F891" s="239"/>
      <c r="G891" s="240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2.0" customHeight="1">
      <c r="A892" s="38"/>
      <c r="B892" s="38"/>
      <c r="C892" s="38"/>
      <c r="D892" s="38"/>
      <c r="E892" s="38"/>
      <c r="F892" s="239"/>
      <c r="G892" s="240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2.0" customHeight="1">
      <c r="A893" s="38"/>
      <c r="B893" s="38"/>
      <c r="C893" s="38"/>
      <c r="D893" s="38"/>
      <c r="E893" s="38"/>
      <c r="F893" s="239"/>
      <c r="G893" s="240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2.0" customHeight="1">
      <c r="A894" s="38"/>
      <c r="B894" s="38"/>
      <c r="C894" s="38"/>
      <c r="D894" s="38"/>
      <c r="E894" s="38"/>
      <c r="F894" s="239"/>
      <c r="G894" s="240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2.0" customHeight="1">
      <c r="A895" s="38"/>
      <c r="B895" s="38"/>
      <c r="C895" s="38"/>
      <c r="D895" s="38"/>
      <c r="E895" s="38"/>
      <c r="F895" s="239"/>
      <c r="G895" s="240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2.0" customHeight="1">
      <c r="A896" s="38"/>
      <c r="B896" s="38"/>
      <c r="C896" s="38"/>
      <c r="D896" s="38"/>
      <c r="E896" s="38"/>
      <c r="F896" s="239"/>
      <c r="G896" s="240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2.0" customHeight="1">
      <c r="A897" s="38"/>
      <c r="B897" s="38"/>
      <c r="C897" s="38"/>
      <c r="D897" s="38"/>
      <c r="E897" s="38"/>
      <c r="F897" s="239"/>
      <c r="G897" s="240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2.0" customHeight="1">
      <c r="A898" s="38"/>
      <c r="B898" s="38"/>
      <c r="C898" s="38"/>
      <c r="D898" s="38"/>
      <c r="E898" s="38"/>
      <c r="F898" s="239"/>
      <c r="G898" s="240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2.0" customHeight="1">
      <c r="A899" s="38"/>
      <c r="B899" s="38"/>
      <c r="C899" s="38"/>
      <c r="D899" s="38"/>
      <c r="E899" s="38"/>
      <c r="F899" s="239"/>
      <c r="G899" s="240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2.0" customHeight="1">
      <c r="A900" s="38"/>
      <c r="B900" s="38"/>
      <c r="C900" s="38"/>
      <c r="D900" s="38"/>
      <c r="E900" s="38"/>
      <c r="F900" s="239"/>
      <c r="G900" s="240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2.0" customHeight="1">
      <c r="A901" s="38"/>
      <c r="B901" s="38"/>
      <c r="C901" s="38"/>
      <c r="D901" s="38"/>
      <c r="E901" s="38"/>
      <c r="F901" s="239"/>
      <c r="G901" s="240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2.0" customHeight="1">
      <c r="A902" s="38"/>
      <c r="B902" s="38"/>
      <c r="C902" s="38"/>
      <c r="D902" s="38"/>
      <c r="E902" s="38"/>
      <c r="F902" s="239"/>
      <c r="G902" s="240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2.0" customHeight="1">
      <c r="A903" s="38"/>
      <c r="B903" s="38"/>
      <c r="C903" s="38"/>
      <c r="D903" s="38"/>
      <c r="E903" s="38"/>
      <c r="F903" s="239"/>
      <c r="G903" s="240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2.0" customHeight="1">
      <c r="A904" s="38"/>
      <c r="B904" s="38"/>
      <c r="C904" s="38"/>
      <c r="D904" s="38"/>
      <c r="E904" s="38"/>
      <c r="F904" s="239"/>
      <c r="G904" s="240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2.0" customHeight="1">
      <c r="A905" s="38"/>
      <c r="B905" s="38"/>
      <c r="C905" s="38"/>
      <c r="D905" s="38"/>
      <c r="E905" s="38"/>
      <c r="F905" s="239"/>
      <c r="G905" s="240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2.0" customHeight="1">
      <c r="A906" s="38"/>
      <c r="B906" s="38"/>
      <c r="C906" s="38"/>
      <c r="D906" s="38"/>
      <c r="E906" s="38"/>
      <c r="F906" s="239"/>
      <c r="G906" s="240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2.0" customHeight="1">
      <c r="A907" s="38"/>
      <c r="B907" s="38"/>
      <c r="C907" s="38"/>
      <c r="D907" s="38"/>
      <c r="E907" s="38"/>
      <c r="F907" s="239"/>
      <c r="G907" s="240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2.0" customHeight="1">
      <c r="A908" s="38"/>
      <c r="B908" s="38"/>
      <c r="C908" s="38"/>
      <c r="D908" s="38"/>
      <c r="E908" s="38"/>
      <c r="F908" s="239"/>
      <c r="G908" s="240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2.0" customHeight="1">
      <c r="A909" s="38"/>
      <c r="B909" s="38"/>
      <c r="C909" s="38"/>
      <c r="D909" s="38"/>
      <c r="E909" s="38"/>
      <c r="F909" s="239"/>
      <c r="G909" s="240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2.0" customHeight="1">
      <c r="A910" s="38"/>
      <c r="B910" s="38"/>
      <c r="C910" s="38"/>
      <c r="D910" s="38"/>
      <c r="E910" s="38"/>
      <c r="F910" s="239"/>
      <c r="G910" s="240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2.0" customHeight="1">
      <c r="A911" s="38"/>
      <c r="B911" s="38"/>
      <c r="C911" s="38"/>
      <c r="D911" s="38"/>
      <c r="E911" s="38"/>
      <c r="F911" s="239"/>
      <c r="G911" s="240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2.0" customHeight="1">
      <c r="A912" s="38"/>
      <c r="B912" s="38"/>
      <c r="C912" s="38"/>
      <c r="D912" s="38"/>
      <c r="E912" s="38"/>
      <c r="F912" s="239"/>
      <c r="G912" s="240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2.0" customHeight="1">
      <c r="A913" s="38"/>
      <c r="B913" s="38"/>
      <c r="C913" s="38"/>
      <c r="D913" s="38"/>
      <c r="E913" s="38"/>
      <c r="F913" s="239"/>
      <c r="G913" s="240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2.0" customHeight="1">
      <c r="A914" s="38"/>
      <c r="B914" s="38"/>
      <c r="C914" s="38"/>
      <c r="D914" s="38"/>
      <c r="E914" s="38"/>
      <c r="F914" s="239"/>
      <c r="G914" s="240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2.0" customHeight="1">
      <c r="A915" s="38"/>
      <c r="B915" s="38"/>
      <c r="C915" s="38"/>
      <c r="D915" s="38"/>
      <c r="E915" s="38"/>
      <c r="F915" s="239"/>
      <c r="G915" s="240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2.0" customHeight="1">
      <c r="A916" s="38"/>
      <c r="B916" s="38"/>
      <c r="C916" s="38"/>
      <c r="D916" s="38"/>
      <c r="E916" s="38"/>
      <c r="F916" s="239"/>
      <c r="G916" s="240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2.0" customHeight="1">
      <c r="A917" s="38"/>
      <c r="B917" s="38"/>
      <c r="C917" s="38"/>
      <c r="D917" s="38"/>
      <c r="E917" s="38"/>
      <c r="F917" s="239"/>
      <c r="G917" s="240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2.0" customHeight="1">
      <c r="A918" s="38"/>
      <c r="B918" s="38"/>
      <c r="C918" s="38"/>
      <c r="D918" s="38"/>
      <c r="E918" s="38"/>
      <c r="F918" s="239"/>
      <c r="G918" s="240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2.0" customHeight="1">
      <c r="A919" s="38"/>
      <c r="B919" s="38"/>
      <c r="C919" s="38"/>
      <c r="D919" s="38"/>
      <c r="E919" s="38"/>
      <c r="F919" s="239"/>
      <c r="G919" s="240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2.0" customHeight="1">
      <c r="A920" s="38"/>
      <c r="B920" s="38"/>
      <c r="C920" s="38"/>
      <c r="D920" s="38"/>
      <c r="E920" s="38"/>
      <c r="F920" s="239"/>
      <c r="G920" s="240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2.0" customHeight="1">
      <c r="A921" s="38"/>
      <c r="B921" s="38"/>
      <c r="C921" s="38"/>
      <c r="D921" s="38"/>
      <c r="E921" s="38"/>
      <c r="F921" s="239"/>
      <c r="G921" s="240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2.0" customHeight="1">
      <c r="A922" s="38"/>
      <c r="B922" s="38"/>
      <c r="C922" s="38"/>
      <c r="D922" s="38"/>
      <c r="E922" s="38"/>
      <c r="F922" s="239"/>
      <c r="G922" s="240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2.0" customHeight="1">
      <c r="A923" s="38"/>
      <c r="B923" s="38"/>
      <c r="C923" s="38"/>
      <c r="D923" s="38"/>
      <c r="E923" s="38"/>
      <c r="F923" s="239"/>
      <c r="G923" s="240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2.0" customHeight="1">
      <c r="A924" s="38"/>
      <c r="B924" s="38"/>
      <c r="C924" s="38"/>
      <c r="D924" s="38"/>
      <c r="E924" s="38"/>
      <c r="F924" s="239"/>
      <c r="G924" s="240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2.0" customHeight="1">
      <c r="A925" s="38"/>
      <c r="B925" s="38"/>
      <c r="C925" s="38"/>
      <c r="D925" s="38"/>
      <c r="E925" s="38"/>
      <c r="F925" s="239"/>
      <c r="G925" s="240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2.0" customHeight="1">
      <c r="A926" s="38"/>
      <c r="B926" s="38"/>
      <c r="C926" s="38"/>
      <c r="D926" s="38"/>
      <c r="E926" s="38"/>
      <c r="F926" s="239"/>
      <c r="G926" s="240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2.0" customHeight="1">
      <c r="A927" s="38"/>
      <c r="B927" s="38"/>
      <c r="C927" s="38"/>
      <c r="D927" s="38"/>
      <c r="E927" s="38"/>
      <c r="F927" s="239"/>
      <c r="G927" s="240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2.0" customHeight="1">
      <c r="A928" s="38"/>
      <c r="B928" s="38"/>
      <c r="C928" s="38"/>
      <c r="D928" s="38"/>
      <c r="E928" s="38"/>
      <c r="F928" s="239"/>
      <c r="G928" s="240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2.0" customHeight="1">
      <c r="A929" s="38"/>
      <c r="B929" s="38"/>
      <c r="C929" s="38"/>
      <c r="D929" s="38"/>
      <c r="E929" s="38"/>
      <c r="F929" s="239"/>
      <c r="G929" s="240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2.0" customHeight="1">
      <c r="A930" s="38"/>
      <c r="B930" s="38"/>
      <c r="C930" s="38"/>
      <c r="D930" s="38"/>
      <c r="E930" s="38"/>
      <c r="F930" s="239"/>
      <c r="G930" s="240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2.0" customHeight="1">
      <c r="A931" s="38"/>
      <c r="B931" s="38"/>
      <c r="C931" s="38"/>
      <c r="D931" s="38"/>
      <c r="E931" s="38"/>
      <c r="F931" s="239"/>
      <c r="G931" s="240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2.0" customHeight="1">
      <c r="A932" s="38"/>
      <c r="B932" s="38"/>
      <c r="C932" s="38"/>
      <c r="D932" s="38"/>
      <c r="E932" s="38"/>
      <c r="F932" s="239"/>
      <c r="G932" s="240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2.0" customHeight="1">
      <c r="A933" s="38"/>
      <c r="B933" s="38"/>
      <c r="C933" s="38"/>
      <c r="D933" s="38"/>
      <c r="E933" s="38"/>
      <c r="F933" s="239"/>
      <c r="G933" s="240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2.0" customHeight="1">
      <c r="A934" s="38"/>
      <c r="B934" s="38"/>
      <c r="C934" s="38"/>
      <c r="D934" s="38"/>
      <c r="E934" s="38"/>
      <c r="F934" s="239"/>
      <c r="G934" s="240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2.0" customHeight="1">
      <c r="A935" s="38"/>
      <c r="B935" s="38"/>
      <c r="C935" s="38"/>
      <c r="D935" s="38"/>
      <c r="E935" s="38"/>
      <c r="F935" s="239"/>
      <c r="G935" s="240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2.0" customHeight="1">
      <c r="A936" s="38"/>
      <c r="B936" s="38"/>
      <c r="C936" s="38"/>
      <c r="D936" s="38"/>
      <c r="E936" s="38"/>
      <c r="F936" s="239"/>
      <c r="G936" s="240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2.0" customHeight="1">
      <c r="A937" s="38"/>
      <c r="B937" s="38"/>
      <c r="C937" s="38"/>
      <c r="D937" s="38"/>
      <c r="E937" s="38"/>
      <c r="F937" s="239"/>
      <c r="G937" s="240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2.0" customHeight="1">
      <c r="A938" s="38"/>
      <c r="B938" s="38"/>
      <c r="C938" s="38"/>
      <c r="D938" s="38"/>
      <c r="E938" s="38"/>
      <c r="F938" s="239"/>
      <c r="G938" s="240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2.0" customHeight="1">
      <c r="A939" s="38"/>
      <c r="B939" s="38"/>
      <c r="C939" s="38"/>
      <c r="D939" s="38"/>
      <c r="E939" s="38"/>
      <c r="F939" s="239"/>
      <c r="G939" s="240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2.0" customHeight="1">
      <c r="A940" s="38"/>
      <c r="B940" s="38"/>
      <c r="C940" s="38"/>
      <c r="D940" s="38"/>
      <c r="E940" s="38"/>
      <c r="F940" s="239"/>
      <c r="G940" s="240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2.0" customHeight="1">
      <c r="A941" s="38"/>
      <c r="B941" s="38"/>
      <c r="C941" s="38"/>
      <c r="D941" s="38"/>
      <c r="E941" s="38"/>
      <c r="F941" s="239"/>
      <c r="G941" s="240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2.0" customHeight="1">
      <c r="A942" s="38"/>
      <c r="B942" s="38"/>
      <c r="C942" s="38"/>
      <c r="D942" s="38"/>
      <c r="E942" s="38"/>
      <c r="F942" s="239"/>
      <c r="G942" s="240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2.0" customHeight="1">
      <c r="A943" s="38"/>
      <c r="B943" s="38"/>
      <c r="C943" s="38"/>
      <c r="D943" s="38"/>
      <c r="E943" s="38"/>
      <c r="F943" s="239"/>
      <c r="G943" s="240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2.0" customHeight="1">
      <c r="A944" s="38"/>
      <c r="B944" s="38"/>
      <c r="C944" s="38"/>
      <c r="D944" s="38"/>
      <c r="E944" s="38"/>
      <c r="F944" s="239"/>
      <c r="G944" s="240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2.0" customHeight="1">
      <c r="A945" s="38"/>
      <c r="B945" s="38"/>
      <c r="C945" s="38"/>
      <c r="D945" s="38"/>
      <c r="E945" s="38"/>
      <c r="F945" s="239"/>
      <c r="G945" s="240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2.0" customHeight="1">
      <c r="A946" s="38"/>
      <c r="B946" s="38"/>
      <c r="C946" s="38"/>
      <c r="D946" s="38"/>
      <c r="E946" s="38"/>
      <c r="F946" s="239"/>
      <c r="G946" s="240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2.0" customHeight="1">
      <c r="A947" s="38"/>
      <c r="B947" s="38"/>
      <c r="C947" s="38"/>
      <c r="D947" s="38"/>
      <c r="E947" s="38"/>
      <c r="F947" s="239"/>
      <c r="G947" s="240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2.0" customHeight="1">
      <c r="A948" s="38"/>
      <c r="B948" s="38"/>
      <c r="C948" s="38"/>
      <c r="D948" s="38"/>
      <c r="E948" s="38"/>
      <c r="F948" s="239"/>
      <c r="G948" s="240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2.0" customHeight="1">
      <c r="A949" s="38"/>
      <c r="B949" s="38"/>
      <c r="C949" s="38"/>
      <c r="D949" s="38"/>
      <c r="E949" s="38"/>
      <c r="F949" s="239"/>
      <c r="G949" s="240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2.0" customHeight="1">
      <c r="A950" s="38"/>
      <c r="B950" s="38"/>
      <c r="C950" s="38"/>
      <c r="D950" s="38"/>
      <c r="E950" s="38"/>
      <c r="F950" s="239"/>
      <c r="G950" s="240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2.0" customHeight="1">
      <c r="A951" s="38"/>
      <c r="B951" s="38"/>
      <c r="C951" s="38"/>
      <c r="D951" s="38"/>
      <c r="E951" s="38"/>
      <c r="F951" s="239"/>
      <c r="G951" s="240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2.0" customHeight="1">
      <c r="A952" s="38"/>
      <c r="B952" s="38"/>
      <c r="C952" s="38"/>
      <c r="D952" s="38"/>
      <c r="E952" s="38"/>
      <c r="F952" s="239"/>
      <c r="G952" s="240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2.0" customHeight="1">
      <c r="A953" s="38"/>
      <c r="B953" s="38"/>
      <c r="C953" s="38"/>
      <c r="D953" s="38"/>
      <c r="E953" s="38"/>
      <c r="F953" s="239"/>
      <c r="G953" s="240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2.0" customHeight="1">
      <c r="A954" s="38"/>
      <c r="B954" s="38"/>
      <c r="C954" s="38"/>
      <c r="D954" s="38"/>
      <c r="E954" s="38"/>
      <c r="F954" s="239"/>
      <c r="G954" s="240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2.0" customHeight="1">
      <c r="A955" s="38"/>
      <c r="B955" s="38"/>
      <c r="C955" s="38"/>
      <c r="D955" s="38"/>
      <c r="E955" s="38"/>
      <c r="F955" s="239"/>
      <c r="G955" s="240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2.0" customHeight="1">
      <c r="A956" s="38"/>
      <c r="B956" s="38"/>
      <c r="C956" s="38"/>
      <c r="D956" s="38"/>
      <c r="E956" s="38"/>
      <c r="F956" s="239"/>
      <c r="G956" s="240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2.0" customHeight="1">
      <c r="A957" s="38"/>
      <c r="B957" s="38"/>
      <c r="C957" s="38"/>
      <c r="D957" s="38"/>
      <c r="E957" s="38"/>
      <c r="F957" s="239"/>
      <c r="G957" s="240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2.0" customHeight="1">
      <c r="A958" s="38"/>
      <c r="B958" s="38"/>
      <c r="C958" s="38"/>
      <c r="D958" s="38"/>
      <c r="E958" s="38"/>
      <c r="F958" s="239"/>
      <c r="G958" s="240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2.0" customHeight="1">
      <c r="A959" s="38"/>
      <c r="B959" s="38"/>
      <c r="C959" s="38"/>
      <c r="D959" s="38"/>
      <c r="E959" s="38"/>
      <c r="F959" s="239"/>
      <c r="G959" s="240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2.0" customHeight="1">
      <c r="A960" s="38"/>
      <c r="B960" s="38"/>
      <c r="C960" s="38"/>
      <c r="D960" s="38"/>
      <c r="E960" s="38"/>
      <c r="F960" s="239"/>
      <c r="G960" s="240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2.0" customHeight="1">
      <c r="A961" s="38"/>
      <c r="B961" s="38"/>
      <c r="C961" s="38"/>
      <c r="D961" s="38"/>
      <c r="E961" s="38"/>
      <c r="F961" s="239"/>
      <c r="G961" s="240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2.0" customHeight="1">
      <c r="A962" s="38"/>
      <c r="B962" s="38"/>
      <c r="C962" s="38"/>
      <c r="D962" s="38"/>
      <c r="E962" s="38"/>
      <c r="F962" s="239"/>
      <c r="G962" s="240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2.0" customHeight="1">
      <c r="A963" s="38"/>
      <c r="B963" s="38"/>
      <c r="C963" s="38"/>
      <c r="D963" s="38"/>
      <c r="E963" s="38"/>
      <c r="F963" s="239"/>
      <c r="G963" s="240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2.0" customHeight="1">
      <c r="A964" s="38"/>
      <c r="B964" s="38"/>
      <c r="C964" s="38"/>
      <c r="D964" s="38"/>
      <c r="E964" s="38"/>
      <c r="F964" s="239"/>
      <c r="G964" s="240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2.0" customHeight="1">
      <c r="A965" s="38"/>
      <c r="B965" s="38"/>
      <c r="C965" s="38"/>
      <c r="D965" s="38"/>
      <c r="E965" s="38"/>
      <c r="F965" s="239"/>
      <c r="G965" s="240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2.0" customHeight="1">
      <c r="A966" s="38"/>
      <c r="B966" s="38"/>
      <c r="C966" s="38"/>
      <c r="D966" s="38"/>
      <c r="E966" s="38"/>
      <c r="F966" s="239"/>
      <c r="G966" s="240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2.0" customHeight="1">
      <c r="A967" s="38"/>
      <c r="B967" s="38"/>
      <c r="C967" s="38"/>
      <c r="D967" s="38"/>
      <c r="E967" s="38"/>
      <c r="F967" s="239"/>
      <c r="G967" s="240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2.0" customHeight="1">
      <c r="A968" s="38"/>
      <c r="B968" s="38"/>
      <c r="C968" s="38"/>
      <c r="D968" s="38"/>
      <c r="E968" s="38"/>
      <c r="F968" s="239"/>
      <c r="G968" s="240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2.0" customHeight="1">
      <c r="A969" s="38"/>
      <c r="B969" s="38"/>
      <c r="C969" s="38"/>
      <c r="D969" s="38"/>
      <c r="E969" s="38"/>
      <c r="F969" s="239"/>
      <c r="G969" s="240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2.0" customHeight="1">
      <c r="A970" s="38"/>
      <c r="B970" s="38"/>
      <c r="C970" s="38"/>
      <c r="D970" s="38"/>
      <c r="E970" s="38"/>
      <c r="F970" s="239"/>
      <c r="G970" s="240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2.0" customHeight="1">
      <c r="A971" s="38"/>
      <c r="B971" s="38"/>
      <c r="C971" s="38"/>
      <c r="D971" s="38"/>
      <c r="E971" s="38"/>
      <c r="F971" s="239"/>
      <c r="G971" s="240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2.0" customHeight="1">
      <c r="A972" s="38"/>
      <c r="B972" s="38"/>
      <c r="C972" s="38"/>
      <c r="D972" s="38"/>
      <c r="E972" s="38"/>
      <c r="F972" s="239"/>
      <c r="G972" s="240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2.0" customHeight="1">
      <c r="A973" s="38"/>
      <c r="B973" s="38"/>
      <c r="C973" s="38"/>
      <c r="D973" s="38"/>
      <c r="E973" s="38"/>
      <c r="F973" s="239"/>
      <c r="G973" s="240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2.0" customHeight="1">
      <c r="A974" s="38"/>
      <c r="B974" s="38"/>
      <c r="C974" s="38"/>
      <c r="D974" s="38"/>
      <c r="E974" s="38"/>
      <c r="F974" s="239"/>
      <c r="G974" s="240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2.0" customHeight="1">
      <c r="A975" s="38"/>
      <c r="B975" s="38"/>
      <c r="C975" s="38"/>
      <c r="D975" s="38"/>
      <c r="E975" s="38"/>
      <c r="F975" s="239"/>
      <c r="G975" s="240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2.0" customHeight="1">
      <c r="A976" s="38"/>
      <c r="B976" s="38"/>
      <c r="C976" s="38"/>
      <c r="D976" s="38"/>
      <c r="E976" s="38"/>
      <c r="F976" s="239"/>
      <c r="G976" s="240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2.0" customHeight="1">
      <c r="A977" s="38"/>
      <c r="B977" s="38"/>
      <c r="C977" s="38"/>
      <c r="D977" s="38"/>
      <c r="E977" s="38"/>
      <c r="F977" s="239"/>
      <c r="G977" s="240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2.0" customHeight="1">
      <c r="A978" s="38"/>
      <c r="B978" s="38"/>
      <c r="C978" s="38"/>
      <c r="D978" s="38"/>
      <c r="E978" s="38"/>
      <c r="F978" s="239"/>
      <c r="G978" s="240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2.0" customHeight="1">
      <c r="A979" s="38"/>
      <c r="B979" s="38"/>
      <c r="C979" s="38"/>
      <c r="D979" s="38"/>
      <c r="E979" s="38"/>
      <c r="F979" s="239"/>
      <c r="G979" s="240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2.0" customHeight="1">
      <c r="A980" s="38"/>
      <c r="B980" s="38"/>
      <c r="C980" s="38"/>
      <c r="D980" s="38"/>
      <c r="E980" s="38"/>
      <c r="F980" s="239"/>
      <c r="G980" s="240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2.0" customHeight="1">
      <c r="A981" s="38"/>
      <c r="B981" s="38"/>
      <c r="C981" s="38"/>
      <c r="D981" s="38"/>
      <c r="E981" s="38"/>
      <c r="F981" s="239"/>
      <c r="G981" s="240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2.0" customHeight="1">
      <c r="A982" s="38"/>
      <c r="B982" s="38"/>
      <c r="C982" s="38"/>
      <c r="D982" s="38"/>
      <c r="E982" s="38"/>
      <c r="F982" s="239"/>
      <c r="G982" s="240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2.0" customHeight="1">
      <c r="A983" s="38"/>
      <c r="B983" s="38"/>
      <c r="C983" s="38"/>
      <c r="D983" s="38"/>
      <c r="E983" s="38"/>
      <c r="F983" s="239"/>
      <c r="G983" s="240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2.0" customHeight="1">
      <c r="A984" s="38"/>
      <c r="B984" s="38"/>
      <c r="C984" s="38"/>
      <c r="D984" s="38"/>
      <c r="E984" s="38"/>
      <c r="F984" s="239"/>
      <c r="G984" s="240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2.0" customHeight="1">
      <c r="A985" s="38"/>
      <c r="B985" s="38"/>
      <c r="C985" s="38"/>
      <c r="D985" s="38"/>
      <c r="E985" s="38"/>
      <c r="F985" s="239"/>
      <c r="G985" s="240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2.0" customHeight="1">
      <c r="A986" s="38"/>
      <c r="B986" s="38"/>
      <c r="C986" s="38"/>
      <c r="D986" s="38"/>
      <c r="E986" s="38"/>
      <c r="F986" s="239"/>
      <c r="G986" s="240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2.0" customHeight="1">
      <c r="A987" s="38"/>
      <c r="B987" s="38"/>
      <c r="C987" s="38"/>
      <c r="D987" s="38"/>
      <c r="E987" s="38"/>
      <c r="F987" s="239"/>
      <c r="G987" s="240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2.0" customHeight="1">
      <c r="A988" s="38"/>
      <c r="B988" s="38"/>
      <c r="C988" s="38"/>
      <c r="D988" s="38"/>
      <c r="E988" s="38"/>
      <c r="F988" s="239"/>
      <c r="G988" s="240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2.0" customHeight="1">
      <c r="A989" s="38"/>
      <c r="B989" s="38"/>
      <c r="C989" s="38"/>
      <c r="D989" s="38"/>
      <c r="E989" s="38"/>
      <c r="F989" s="239"/>
      <c r="G989" s="240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2.0" customHeight="1">
      <c r="A990" s="38"/>
      <c r="B990" s="38"/>
      <c r="C990" s="38"/>
      <c r="D990" s="38"/>
      <c r="E990" s="38"/>
      <c r="F990" s="239"/>
      <c r="G990" s="240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2.0" customHeight="1">
      <c r="A991" s="38"/>
      <c r="B991" s="38"/>
      <c r="C991" s="38"/>
      <c r="D991" s="38"/>
      <c r="E991" s="38"/>
      <c r="F991" s="239"/>
      <c r="G991" s="240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2.0" customHeight="1">
      <c r="A992" s="38"/>
      <c r="B992" s="38"/>
      <c r="C992" s="38"/>
      <c r="D992" s="38"/>
      <c r="E992" s="38"/>
      <c r="F992" s="239"/>
      <c r="G992" s="240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2.0" customHeight="1">
      <c r="A993" s="38"/>
      <c r="B993" s="38"/>
      <c r="C993" s="38"/>
      <c r="D993" s="38"/>
      <c r="E993" s="38"/>
      <c r="F993" s="239"/>
      <c r="G993" s="240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2.0" customHeight="1">
      <c r="A994" s="38"/>
      <c r="B994" s="38"/>
      <c r="C994" s="38"/>
      <c r="D994" s="38"/>
      <c r="E994" s="38"/>
      <c r="F994" s="239"/>
      <c r="G994" s="240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2.0" customHeight="1">
      <c r="A995" s="38"/>
      <c r="B995" s="38"/>
      <c r="C995" s="38"/>
      <c r="D995" s="38"/>
      <c r="E995" s="38"/>
      <c r="F995" s="239"/>
      <c r="G995" s="240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2.0" customHeight="1">
      <c r="A996" s="38"/>
      <c r="B996" s="38"/>
      <c r="C996" s="38"/>
      <c r="D996" s="38"/>
      <c r="E996" s="38"/>
      <c r="F996" s="239"/>
      <c r="G996" s="240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2.0" customHeight="1">
      <c r="A997" s="38"/>
      <c r="B997" s="38"/>
      <c r="C997" s="38"/>
      <c r="D997" s="38"/>
      <c r="E997" s="38"/>
      <c r="F997" s="239"/>
      <c r="G997" s="240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2.0" customHeight="1">
      <c r="A998" s="38"/>
      <c r="B998" s="38"/>
      <c r="C998" s="38"/>
      <c r="D998" s="38"/>
      <c r="E998" s="38"/>
      <c r="F998" s="239"/>
      <c r="G998" s="240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2.0" customHeight="1">
      <c r="A999" s="38"/>
      <c r="B999" s="38"/>
      <c r="C999" s="38"/>
      <c r="D999" s="38"/>
      <c r="E999" s="38"/>
      <c r="F999" s="239"/>
      <c r="G999" s="240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2.0" customHeight="1">
      <c r="A1000" s="38"/>
      <c r="B1000" s="38"/>
      <c r="C1000" s="38"/>
      <c r="D1000" s="38"/>
      <c r="E1000" s="38"/>
      <c r="F1000" s="239"/>
      <c r="G1000" s="240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0" t="s">
        <v>332</v>
      </c>
      <c r="B1" s="251"/>
      <c r="C1" s="251"/>
      <c r="D1" s="251"/>
      <c r="E1" s="251"/>
      <c r="F1" s="251"/>
      <c r="G1" s="250" t="s">
        <v>333</v>
      </c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A2" s="252" t="s">
        <v>334</v>
      </c>
      <c r="B2" s="251"/>
      <c r="C2" s="251"/>
      <c r="D2" s="251"/>
      <c r="E2" s="251"/>
      <c r="F2" s="251"/>
      <c r="G2" s="252" t="s">
        <v>335</v>
      </c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253" t="s">
        <v>336</v>
      </c>
      <c r="B3" s="251"/>
      <c r="C3" s="251"/>
      <c r="D3" s="251"/>
      <c r="E3" s="251"/>
      <c r="F3" s="251"/>
      <c r="G3" s="253" t="s">
        <v>337</v>
      </c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254" t="s">
        <v>338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251"/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252" t="s">
        <v>339</v>
      </c>
      <c r="B6" s="251"/>
      <c r="C6" s="251"/>
      <c r="D6" s="251"/>
      <c r="E6" s="251"/>
      <c r="F6" s="251"/>
      <c r="G6" s="252" t="s">
        <v>340</v>
      </c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251"/>
      <c r="B7" s="251"/>
      <c r="C7" s="251"/>
      <c r="D7" s="251"/>
      <c r="E7" s="251"/>
      <c r="F7" s="251"/>
      <c r="G7" s="253" t="s">
        <v>341</v>
      </c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251"/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251"/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252" t="s">
        <v>342</v>
      </c>
      <c r="B10" s="251"/>
      <c r="C10" s="251"/>
      <c r="D10" s="251"/>
      <c r="E10" s="251"/>
      <c r="F10" s="251"/>
      <c r="G10" s="252" t="s">
        <v>343</v>
      </c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253" t="s">
        <v>344</v>
      </c>
      <c r="B11" s="251"/>
      <c r="C11" s="251"/>
      <c r="D11" s="251"/>
      <c r="E11" s="251"/>
      <c r="F11" s="251"/>
      <c r="G11" s="253" t="s">
        <v>345</v>
      </c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252" t="s">
        <v>346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251"/>
      <c r="B14" s="251"/>
      <c r="C14" s="251"/>
      <c r="D14" s="251"/>
      <c r="E14" s="251"/>
      <c r="F14" s="251"/>
      <c r="G14" s="252" t="s">
        <v>347</v>
      </c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251"/>
      <c r="B15" s="251"/>
      <c r="C15" s="251"/>
      <c r="D15" s="251"/>
      <c r="E15" s="251"/>
      <c r="F15" s="251"/>
      <c r="G15" s="253" t="s">
        <v>348</v>
      </c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255" t="s">
        <v>349</v>
      </c>
      <c r="B17" s="256">
        <v>375.0</v>
      </c>
      <c r="C17" s="257" t="s">
        <v>350</v>
      </c>
      <c r="D17" s="251"/>
      <c r="E17" s="251"/>
      <c r="F17" s="251"/>
      <c r="G17" s="258" t="s">
        <v>351</v>
      </c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>
      <c r="A18" s="251"/>
      <c r="B18" s="251"/>
      <c r="C18" s="251"/>
      <c r="D18" s="251"/>
      <c r="E18" s="251"/>
      <c r="F18" s="251"/>
      <c r="G18" s="257" t="s">
        <v>352</v>
      </c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255" t="s">
        <v>353</v>
      </c>
      <c r="B19" s="256">
        <v>13.0</v>
      </c>
      <c r="C19" s="259" t="s">
        <v>354</v>
      </c>
      <c r="D19" s="260" t="s">
        <v>355</v>
      </c>
      <c r="E19" s="251"/>
      <c r="F19" s="251"/>
      <c r="G19" s="257" t="s">
        <v>356</v>
      </c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255" t="s">
        <v>357</v>
      </c>
      <c r="B20" s="256">
        <v>600.0</v>
      </c>
      <c r="C20" s="257" t="s">
        <v>358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>
      <c r="A21" s="261" t="s">
        <v>359</v>
      </c>
      <c r="B21" s="261">
        <v>750.0</v>
      </c>
      <c r="C21" s="262" t="s">
        <v>360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>
      <c r="A221" s="251"/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</row>
    <row r="222">
      <c r="A222" s="251"/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</row>
    <row r="223">
      <c r="A223" s="251"/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</row>
    <row r="224">
      <c r="A224" s="251"/>
      <c r="B224" s="251"/>
      <c r="C224" s="251"/>
      <c r="D224" s="251"/>
      <c r="E224" s="251"/>
      <c r="F224" s="251"/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</row>
    <row r="225">
      <c r="A225" s="251"/>
      <c r="B225" s="251"/>
      <c r="C225" s="251"/>
      <c r="D225" s="251"/>
      <c r="E225" s="251"/>
      <c r="F225" s="251"/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</row>
    <row r="226">
      <c r="A226" s="251"/>
      <c r="B226" s="251"/>
      <c r="C226" s="251"/>
      <c r="D226" s="251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</row>
    <row r="227">
      <c r="A227" s="251"/>
      <c r="B227" s="251"/>
      <c r="C227" s="251"/>
      <c r="D227" s="251"/>
      <c r="E227" s="251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</row>
    <row r="228">
      <c r="A228" s="251"/>
      <c r="B228" s="251"/>
      <c r="C228" s="251"/>
      <c r="D228" s="251"/>
      <c r="E228" s="251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</row>
    <row r="229">
      <c r="A229" s="251"/>
      <c r="B229" s="251"/>
      <c r="C229" s="251"/>
      <c r="D229" s="251"/>
      <c r="E229" s="251"/>
      <c r="F229" s="251"/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</row>
    <row r="230">
      <c r="A230" s="251"/>
      <c r="B230" s="251"/>
      <c r="C230" s="251"/>
      <c r="D230" s="251"/>
      <c r="E230" s="251"/>
      <c r="F230" s="251"/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</row>
    <row r="231">
      <c r="A231" s="251"/>
      <c r="B231" s="251"/>
      <c r="C231" s="251"/>
      <c r="D231" s="251"/>
      <c r="E231" s="251"/>
      <c r="F231" s="251"/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</row>
    <row r="232">
      <c r="A232" s="251"/>
      <c r="B232" s="251"/>
      <c r="C232" s="251"/>
      <c r="D232" s="251"/>
      <c r="E232" s="251"/>
      <c r="F232" s="251"/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</row>
    <row r="233">
      <c r="A233" s="251"/>
      <c r="B233" s="251"/>
      <c r="C233" s="251"/>
      <c r="D233" s="251"/>
      <c r="E233" s="251"/>
      <c r="F233" s="251"/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</row>
    <row r="234">
      <c r="A234" s="251"/>
      <c r="B234" s="251"/>
      <c r="C234" s="251"/>
      <c r="D234" s="251"/>
      <c r="E234" s="251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</row>
    <row r="235">
      <c r="A235" s="251"/>
      <c r="B235" s="251"/>
      <c r="C235" s="251"/>
      <c r="D235" s="251"/>
      <c r="E235" s="251"/>
      <c r="F235" s="251"/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</row>
    <row r="236">
      <c r="A236" s="251"/>
      <c r="B236" s="251"/>
      <c r="C236" s="251"/>
      <c r="D236" s="251"/>
      <c r="E236" s="251"/>
      <c r="F236" s="251"/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</row>
    <row r="237">
      <c r="A237" s="251"/>
      <c r="B237" s="251"/>
      <c r="C237" s="251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</row>
    <row r="238">
      <c r="A238" s="251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</row>
    <row r="239">
      <c r="A239" s="251"/>
      <c r="B239" s="251"/>
      <c r="C239" s="251"/>
      <c r="D239" s="251"/>
      <c r="E239" s="251"/>
      <c r="F239" s="251"/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</row>
    <row r="240">
      <c r="A240" s="251"/>
      <c r="B240" s="251"/>
      <c r="C240" s="251"/>
      <c r="D240" s="251"/>
      <c r="E240" s="251"/>
      <c r="F240" s="251"/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</row>
    <row r="241">
      <c r="A241" s="251"/>
      <c r="B241" s="251"/>
      <c r="C241" s="251"/>
      <c r="D241" s="251"/>
      <c r="E241" s="251"/>
      <c r="F241" s="251"/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</row>
    <row r="242">
      <c r="A242" s="251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</row>
    <row r="243">
      <c r="A243" s="251"/>
      <c r="B243" s="251"/>
      <c r="C243" s="251"/>
      <c r="D243" s="251"/>
      <c r="E243" s="251"/>
      <c r="F243" s="251"/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</row>
    <row r="244">
      <c r="A244" s="251"/>
      <c r="B244" s="251"/>
      <c r="C244" s="251"/>
      <c r="D244" s="251"/>
      <c r="E244" s="251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</row>
    <row r="245">
      <c r="A245" s="251"/>
      <c r="B245" s="251"/>
      <c r="C245" s="251"/>
      <c r="D245" s="251"/>
      <c r="E245" s="251"/>
      <c r="F245" s="251"/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</row>
    <row r="246">
      <c r="A246" s="251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</row>
    <row r="247">
      <c r="A247" s="251"/>
      <c r="B247" s="251"/>
      <c r="C247" s="251"/>
      <c r="D247" s="251"/>
      <c r="E247" s="251"/>
      <c r="F247" s="251"/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</row>
    <row r="248">
      <c r="A248" s="251"/>
      <c r="B248" s="251"/>
      <c r="C248" s="251"/>
      <c r="D248" s="251"/>
      <c r="E248" s="251"/>
      <c r="F248" s="251"/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</row>
    <row r="249">
      <c r="A249" s="251"/>
      <c r="B249" s="251"/>
      <c r="C249" s="251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</row>
    <row r="250">
      <c r="A250" s="251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</row>
    <row r="251">
      <c r="A251" s="251"/>
      <c r="B251" s="251"/>
      <c r="C251" s="251"/>
      <c r="D251" s="251"/>
      <c r="E251" s="251"/>
      <c r="F251" s="251"/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</row>
    <row r="252">
      <c r="A252" s="251"/>
      <c r="B252" s="251"/>
      <c r="C252" s="251"/>
      <c r="D252" s="251"/>
      <c r="E252" s="251"/>
      <c r="F252" s="251"/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</row>
    <row r="253">
      <c r="A253" s="251"/>
      <c r="B253" s="251"/>
      <c r="C253" s="251"/>
      <c r="D253" s="251"/>
      <c r="E253" s="251"/>
      <c r="F253" s="251"/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</row>
    <row r="254">
      <c r="A254" s="251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</row>
    <row r="255">
      <c r="A255" s="251"/>
      <c r="B255" s="251"/>
      <c r="C255" s="251"/>
      <c r="D255" s="251"/>
      <c r="E255" s="251"/>
      <c r="F255" s="251"/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</row>
    <row r="256">
      <c r="A256" s="251"/>
      <c r="B256" s="251"/>
      <c r="C256" s="251"/>
      <c r="D256" s="251"/>
      <c r="E256" s="251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</row>
    <row r="257">
      <c r="A257" s="251"/>
      <c r="B257" s="251"/>
      <c r="C257" s="251"/>
      <c r="D257" s="251"/>
      <c r="E257" s="251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</row>
    <row r="258">
      <c r="A258" s="251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</row>
    <row r="259">
      <c r="A259" s="251"/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</row>
    <row r="260">
      <c r="A260" s="251"/>
      <c r="B260" s="251"/>
      <c r="C260" s="251"/>
      <c r="D260" s="251"/>
      <c r="E260" s="251"/>
      <c r="F260" s="251"/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</row>
    <row r="261">
      <c r="A261" s="251"/>
      <c r="B261" s="251"/>
      <c r="C261" s="251"/>
      <c r="D261" s="251"/>
      <c r="E261" s="251"/>
      <c r="F261" s="251"/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</row>
    <row r="262">
      <c r="A262" s="251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</row>
    <row r="263">
      <c r="A263" s="251"/>
      <c r="B263" s="251"/>
      <c r="C263" s="251"/>
      <c r="D263" s="251"/>
      <c r="E263" s="251"/>
      <c r="F263" s="251"/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</row>
    <row r="264">
      <c r="A264" s="251"/>
      <c r="B264" s="251"/>
      <c r="C264" s="251"/>
      <c r="D264" s="251"/>
      <c r="E264" s="251"/>
      <c r="F264" s="251"/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</row>
    <row r="265">
      <c r="A265" s="251"/>
      <c r="B265" s="251"/>
      <c r="C265" s="251"/>
      <c r="D265" s="251"/>
      <c r="E265" s="251"/>
      <c r="F265" s="251"/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</row>
    <row r="266">
      <c r="A266" s="251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</row>
    <row r="267">
      <c r="A267" s="251"/>
      <c r="B267" s="251"/>
      <c r="C267" s="251"/>
      <c r="D267" s="251"/>
      <c r="E267" s="251"/>
      <c r="F267" s="251"/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</row>
    <row r="268">
      <c r="A268" s="251"/>
      <c r="B268" s="251"/>
      <c r="C268" s="251"/>
      <c r="D268" s="251"/>
      <c r="E268" s="251"/>
      <c r="F268" s="251"/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</row>
    <row r="269">
      <c r="A269" s="251"/>
      <c r="B269" s="251"/>
      <c r="C269" s="251"/>
      <c r="D269" s="251"/>
      <c r="E269" s="251"/>
      <c r="F269" s="251"/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</row>
    <row r="270">
      <c r="A270" s="251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</row>
    <row r="271">
      <c r="A271" s="251"/>
      <c r="B271" s="251"/>
      <c r="C271" s="251"/>
      <c r="D271" s="251"/>
      <c r="E271" s="251"/>
      <c r="F271" s="251"/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</row>
    <row r="272">
      <c r="A272" s="251"/>
      <c r="B272" s="251"/>
      <c r="C272" s="251"/>
      <c r="D272" s="251"/>
      <c r="E272" s="251"/>
      <c r="F272" s="251"/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</row>
    <row r="273">
      <c r="A273" s="251"/>
      <c r="B273" s="251"/>
      <c r="C273" s="251"/>
      <c r="D273" s="251"/>
      <c r="E273" s="251"/>
      <c r="F273" s="251"/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</row>
    <row r="274">
      <c r="A274" s="251"/>
      <c r="B274" s="251"/>
      <c r="C274" s="251"/>
      <c r="D274" s="251"/>
      <c r="E274" s="251"/>
      <c r="F274" s="251"/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</row>
    <row r="275">
      <c r="A275" s="251"/>
      <c r="B275" s="251"/>
      <c r="C275" s="251"/>
      <c r="D275" s="251"/>
      <c r="E275" s="251"/>
      <c r="F275" s="251"/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</row>
    <row r="276">
      <c r="A276" s="251"/>
      <c r="B276" s="251"/>
      <c r="C276" s="251"/>
      <c r="D276" s="251"/>
      <c r="E276" s="251"/>
      <c r="F276" s="251"/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</row>
    <row r="277">
      <c r="A277" s="251"/>
      <c r="B277" s="251"/>
      <c r="C277" s="251"/>
      <c r="D277" s="251"/>
      <c r="E277" s="251"/>
      <c r="F277" s="251"/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</row>
    <row r="278">
      <c r="A278" s="251"/>
      <c r="B278" s="251"/>
      <c r="C278" s="251"/>
      <c r="D278" s="251"/>
      <c r="E278" s="251"/>
      <c r="F278" s="251"/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</row>
    <row r="279">
      <c r="A279" s="251"/>
      <c r="B279" s="251"/>
      <c r="C279" s="251"/>
      <c r="D279" s="251"/>
      <c r="E279" s="251"/>
      <c r="F279" s="251"/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</row>
    <row r="280">
      <c r="A280" s="251"/>
      <c r="B280" s="251"/>
      <c r="C280" s="251"/>
      <c r="D280" s="251"/>
      <c r="E280" s="251"/>
      <c r="F280" s="251"/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</row>
    <row r="281">
      <c r="A281" s="251"/>
      <c r="B281" s="251"/>
      <c r="C281" s="251"/>
      <c r="D281" s="251"/>
      <c r="E281" s="251"/>
      <c r="F281" s="251"/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</row>
    <row r="282">
      <c r="A282" s="251"/>
      <c r="B282" s="251"/>
      <c r="C282" s="251"/>
      <c r="D282" s="251"/>
      <c r="E282" s="251"/>
      <c r="F282" s="251"/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</row>
    <row r="283">
      <c r="A283" s="251"/>
      <c r="B283" s="251"/>
      <c r="C283" s="251"/>
      <c r="D283" s="251"/>
      <c r="E283" s="251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</row>
    <row r="284">
      <c r="A284" s="251"/>
      <c r="B284" s="251"/>
      <c r="C284" s="251"/>
      <c r="D284" s="251"/>
      <c r="E284" s="251"/>
      <c r="F284" s="251"/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</row>
    <row r="285">
      <c r="A285" s="251"/>
      <c r="B285" s="251"/>
      <c r="C285" s="251"/>
      <c r="D285" s="251"/>
      <c r="E285" s="251"/>
      <c r="F285" s="251"/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</row>
    <row r="286">
      <c r="A286" s="251"/>
      <c r="B286" s="251"/>
      <c r="C286" s="251"/>
      <c r="D286" s="251"/>
      <c r="E286" s="251"/>
      <c r="F286" s="251"/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</row>
    <row r="287">
      <c r="A287" s="251"/>
      <c r="B287" s="251"/>
      <c r="C287" s="251"/>
      <c r="D287" s="251"/>
      <c r="E287" s="251"/>
      <c r="F287" s="251"/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</row>
    <row r="288">
      <c r="A288" s="251"/>
      <c r="B288" s="251"/>
      <c r="C288" s="251"/>
      <c r="D288" s="251"/>
      <c r="E288" s="251"/>
      <c r="F288" s="251"/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</row>
    <row r="289">
      <c r="A289" s="251"/>
      <c r="B289" s="251"/>
      <c r="C289" s="251"/>
      <c r="D289" s="251"/>
      <c r="E289" s="251"/>
      <c r="F289" s="251"/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</row>
    <row r="290">
      <c r="A290" s="251"/>
      <c r="B290" s="251"/>
      <c r="C290" s="251"/>
      <c r="D290" s="251"/>
      <c r="E290" s="251"/>
      <c r="F290" s="251"/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</row>
    <row r="291">
      <c r="A291" s="251"/>
      <c r="B291" s="251"/>
      <c r="C291" s="251"/>
      <c r="D291" s="251"/>
      <c r="E291" s="251"/>
      <c r="F291" s="251"/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</row>
    <row r="292">
      <c r="A292" s="251"/>
      <c r="B292" s="251"/>
      <c r="C292" s="251"/>
      <c r="D292" s="251"/>
      <c r="E292" s="251"/>
      <c r="F292" s="251"/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</row>
    <row r="293">
      <c r="A293" s="251"/>
      <c r="B293" s="251"/>
      <c r="C293" s="251"/>
      <c r="D293" s="251"/>
      <c r="E293" s="251"/>
      <c r="F293" s="251"/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</row>
    <row r="294">
      <c r="A294" s="251"/>
      <c r="B294" s="251"/>
      <c r="C294" s="251"/>
      <c r="D294" s="251"/>
      <c r="E294" s="251"/>
      <c r="F294" s="251"/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</row>
    <row r="295">
      <c r="A295" s="251"/>
      <c r="B295" s="251"/>
      <c r="C295" s="251"/>
      <c r="D295" s="251"/>
      <c r="E295" s="251"/>
      <c r="F295" s="251"/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</row>
    <row r="296">
      <c r="A296" s="251"/>
      <c r="B296" s="251"/>
      <c r="C296" s="251"/>
      <c r="D296" s="251"/>
      <c r="E296" s="251"/>
      <c r="F296" s="251"/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</row>
    <row r="297">
      <c r="A297" s="251"/>
      <c r="B297" s="251"/>
      <c r="C297" s="251"/>
      <c r="D297" s="251"/>
      <c r="E297" s="251"/>
      <c r="F297" s="251"/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</row>
    <row r="298">
      <c r="A298" s="251"/>
      <c r="B298" s="251"/>
      <c r="C298" s="251"/>
      <c r="D298" s="251"/>
      <c r="E298" s="251"/>
      <c r="F298" s="251"/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</row>
    <row r="299">
      <c r="A299" s="251"/>
      <c r="B299" s="251"/>
      <c r="C299" s="251"/>
      <c r="D299" s="251"/>
      <c r="E299" s="251"/>
      <c r="F299" s="251"/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</row>
    <row r="300">
      <c r="A300" s="251"/>
      <c r="B300" s="251"/>
      <c r="C300" s="251"/>
      <c r="D300" s="251"/>
      <c r="E300" s="251"/>
      <c r="F300" s="251"/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</row>
    <row r="301">
      <c r="A301" s="251"/>
      <c r="B301" s="251"/>
      <c r="C301" s="251"/>
      <c r="D301" s="251"/>
      <c r="E301" s="251"/>
      <c r="F301" s="251"/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</row>
    <row r="302">
      <c r="A302" s="251"/>
      <c r="B302" s="251"/>
      <c r="C302" s="251"/>
      <c r="D302" s="251"/>
      <c r="E302" s="251"/>
      <c r="F302" s="251"/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</row>
    <row r="303">
      <c r="A303" s="251"/>
      <c r="B303" s="251"/>
      <c r="C303" s="251"/>
      <c r="D303" s="251"/>
      <c r="E303" s="251"/>
      <c r="F303" s="251"/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</row>
    <row r="304">
      <c r="A304" s="251"/>
      <c r="B304" s="251"/>
      <c r="C304" s="251"/>
      <c r="D304" s="251"/>
      <c r="E304" s="251"/>
      <c r="F304" s="251"/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</row>
    <row r="305">
      <c r="A305" s="251"/>
      <c r="B305" s="251"/>
      <c r="C305" s="251"/>
      <c r="D305" s="251"/>
      <c r="E305" s="251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</row>
    <row r="306">
      <c r="A306" s="251"/>
      <c r="B306" s="251"/>
      <c r="C306" s="251"/>
      <c r="D306" s="251"/>
      <c r="E306" s="251"/>
      <c r="F306" s="251"/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</row>
    <row r="307">
      <c r="A307" s="251"/>
      <c r="B307" s="251"/>
      <c r="C307" s="251"/>
      <c r="D307" s="251"/>
      <c r="E307" s="251"/>
      <c r="F307" s="251"/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</row>
    <row r="308">
      <c r="A308" s="251"/>
      <c r="B308" s="251"/>
      <c r="C308" s="251"/>
      <c r="D308" s="251"/>
      <c r="E308" s="251"/>
      <c r="F308" s="251"/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</row>
    <row r="309">
      <c r="A309" s="251"/>
      <c r="B309" s="251"/>
      <c r="C309" s="251"/>
      <c r="D309" s="251"/>
      <c r="E309" s="251"/>
      <c r="F309" s="251"/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</row>
    <row r="310">
      <c r="A310" s="251"/>
      <c r="B310" s="251"/>
      <c r="C310" s="251"/>
      <c r="D310" s="251"/>
      <c r="E310" s="251"/>
      <c r="F310" s="251"/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</row>
    <row r="311">
      <c r="A311" s="251"/>
      <c r="B311" s="251"/>
      <c r="C311" s="251"/>
      <c r="D311" s="251"/>
      <c r="E311" s="251"/>
      <c r="F311" s="251"/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</row>
    <row r="312">
      <c r="A312" s="251"/>
      <c r="B312" s="251"/>
      <c r="C312" s="251"/>
      <c r="D312" s="251"/>
      <c r="E312" s="251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</row>
    <row r="313">
      <c r="A313" s="251"/>
      <c r="B313" s="251"/>
      <c r="C313" s="251"/>
      <c r="D313" s="251"/>
      <c r="E313" s="251"/>
      <c r="F313" s="251"/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</row>
    <row r="314">
      <c r="A314" s="251"/>
      <c r="B314" s="251"/>
      <c r="C314" s="251"/>
      <c r="D314" s="251"/>
      <c r="E314" s="251"/>
      <c r="F314" s="251"/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</row>
    <row r="315">
      <c r="A315" s="251"/>
      <c r="B315" s="251"/>
      <c r="C315" s="251"/>
      <c r="D315" s="251"/>
      <c r="E315" s="251"/>
      <c r="F315" s="251"/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</row>
    <row r="316">
      <c r="A316" s="251"/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</row>
    <row r="317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</row>
    <row r="318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</row>
    <row r="319">
      <c r="A319" s="251"/>
      <c r="B319" s="251"/>
      <c r="C319" s="251"/>
      <c r="D319" s="251"/>
      <c r="E319" s="251"/>
      <c r="F319" s="251"/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</row>
    <row r="320">
      <c r="A320" s="251"/>
      <c r="B320" s="251"/>
      <c r="C320" s="251"/>
      <c r="D320" s="251"/>
      <c r="E320" s="251"/>
      <c r="F320" s="251"/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</row>
    <row r="321">
      <c r="A321" s="251"/>
      <c r="B321" s="251"/>
      <c r="C321" s="251"/>
      <c r="D321" s="251"/>
      <c r="E321" s="251"/>
      <c r="F321" s="251"/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</row>
    <row r="322">
      <c r="A322" s="251"/>
      <c r="B322" s="251"/>
      <c r="C322" s="251"/>
      <c r="D322" s="251"/>
      <c r="E322" s="251"/>
      <c r="F322" s="251"/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</row>
    <row r="323">
      <c r="A323" s="251"/>
      <c r="B323" s="251"/>
      <c r="C323" s="251"/>
      <c r="D323" s="251"/>
      <c r="E323" s="251"/>
      <c r="F323" s="251"/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</row>
    <row r="324">
      <c r="A324" s="251"/>
      <c r="B324" s="251"/>
      <c r="C324" s="251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</row>
    <row r="325">
      <c r="A325" s="251"/>
      <c r="B325" s="251"/>
      <c r="C325" s="251"/>
      <c r="D325" s="251"/>
      <c r="E325" s="251"/>
      <c r="F325" s="251"/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</row>
    <row r="326">
      <c r="A326" s="251"/>
      <c r="B326" s="251"/>
      <c r="C326" s="251"/>
      <c r="D326" s="251"/>
      <c r="E326" s="251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</row>
    <row r="327">
      <c r="A327" s="251"/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</row>
    <row r="328">
      <c r="A328" s="251"/>
      <c r="B328" s="251"/>
      <c r="C328" s="251"/>
      <c r="D328" s="251"/>
      <c r="E328" s="251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</row>
    <row r="329">
      <c r="A329" s="251"/>
      <c r="B329" s="251"/>
      <c r="C329" s="251"/>
      <c r="D329" s="251"/>
      <c r="E329" s="251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</row>
    <row r="330">
      <c r="A330" s="251"/>
      <c r="B330" s="251"/>
      <c r="C330" s="251"/>
      <c r="D330" s="251"/>
      <c r="E330" s="251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</row>
    <row r="331">
      <c r="A331" s="251"/>
      <c r="B331" s="251"/>
      <c r="C331" s="251"/>
      <c r="D331" s="251"/>
      <c r="E331" s="251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</row>
    <row r="332">
      <c r="A332" s="251"/>
      <c r="B332" s="251"/>
      <c r="C332" s="251"/>
      <c r="D332" s="251"/>
      <c r="E332" s="251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</row>
    <row r="333">
      <c r="A333" s="251"/>
      <c r="B333" s="251"/>
      <c r="C333" s="251"/>
      <c r="D333" s="251"/>
      <c r="E333" s="251"/>
      <c r="F333" s="251"/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</row>
    <row r="334">
      <c r="A334" s="251"/>
      <c r="B334" s="251"/>
      <c r="C334" s="251"/>
      <c r="D334" s="251"/>
      <c r="E334" s="251"/>
      <c r="F334" s="251"/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</row>
    <row r="335">
      <c r="A335" s="251"/>
      <c r="B335" s="251"/>
      <c r="C335" s="251"/>
      <c r="D335" s="251"/>
      <c r="E335" s="251"/>
      <c r="F335" s="251"/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</row>
    <row r="336">
      <c r="A336" s="251"/>
      <c r="B336" s="251"/>
      <c r="C336" s="251"/>
      <c r="D336" s="251"/>
      <c r="E336" s="251"/>
      <c r="F336" s="251"/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</row>
    <row r="337">
      <c r="A337" s="251"/>
      <c r="B337" s="251"/>
      <c r="C337" s="251"/>
      <c r="D337" s="251"/>
      <c r="E337" s="251"/>
      <c r="F337" s="251"/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</row>
    <row r="338">
      <c r="A338" s="251"/>
      <c r="B338" s="251"/>
      <c r="C338" s="251"/>
      <c r="D338" s="251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</row>
    <row r="339">
      <c r="A339" s="251"/>
      <c r="B339" s="251"/>
      <c r="C339" s="251"/>
      <c r="D339" s="251"/>
      <c r="E339" s="251"/>
      <c r="F339" s="251"/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</row>
    <row r="340">
      <c r="A340" s="251"/>
      <c r="B340" s="251"/>
      <c r="C340" s="251"/>
      <c r="D340" s="251"/>
      <c r="E340" s="251"/>
      <c r="F340" s="251"/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</row>
    <row r="341">
      <c r="A341" s="251"/>
      <c r="B341" s="251"/>
      <c r="C341" s="251"/>
      <c r="D341" s="251"/>
      <c r="E341" s="251"/>
      <c r="F341" s="251"/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</row>
    <row r="342">
      <c r="A342" s="251"/>
      <c r="B342" s="251"/>
      <c r="C342" s="251"/>
      <c r="D342" s="251"/>
      <c r="E342" s="251"/>
      <c r="F342" s="251"/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</row>
    <row r="343">
      <c r="A343" s="251"/>
      <c r="B343" s="251"/>
      <c r="C343" s="251"/>
      <c r="D343" s="251"/>
      <c r="E343" s="251"/>
      <c r="F343" s="251"/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</row>
    <row r="344">
      <c r="A344" s="251"/>
      <c r="B344" s="251"/>
      <c r="C344" s="251"/>
      <c r="D344" s="251"/>
      <c r="E344" s="251"/>
      <c r="F344" s="251"/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</row>
    <row r="345">
      <c r="A345" s="251"/>
      <c r="B345" s="251"/>
      <c r="C345" s="251"/>
      <c r="D345" s="251"/>
      <c r="E345" s="251"/>
      <c r="F345" s="251"/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</row>
    <row r="346">
      <c r="A346" s="251"/>
      <c r="B346" s="251"/>
      <c r="C346" s="251"/>
      <c r="D346" s="251"/>
      <c r="E346" s="251"/>
      <c r="F346" s="251"/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</row>
    <row r="347">
      <c r="A347" s="251"/>
      <c r="B347" s="251"/>
      <c r="C347" s="251"/>
      <c r="D347" s="251"/>
      <c r="E347" s="251"/>
      <c r="F347" s="251"/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</row>
    <row r="348">
      <c r="A348" s="251"/>
      <c r="B348" s="251"/>
      <c r="C348" s="251"/>
      <c r="D348" s="251"/>
      <c r="E348" s="251"/>
      <c r="F348" s="251"/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</row>
    <row r="349">
      <c r="A349" s="251"/>
      <c r="B349" s="251"/>
      <c r="C349" s="251"/>
      <c r="D349" s="251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</row>
    <row r="350">
      <c r="A350" s="251"/>
      <c r="B350" s="251"/>
      <c r="C350" s="251"/>
      <c r="D350" s="251"/>
      <c r="E350" s="251"/>
      <c r="F350" s="251"/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</row>
    <row r="351">
      <c r="A351" s="251"/>
      <c r="B351" s="251"/>
      <c r="C351" s="251"/>
      <c r="D351" s="251"/>
      <c r="E351" s="251"/>
      <c r="F351" s="251"/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</row>
    <row r="352">
      <c r="A352" s="251"/>
      <c r="B352" s="251"/>
      <c r="C352" s="251"/>
      <c r="D352" s="251"/>
      <c r="E352" s="251"/>
      <c r="F352" s="251"/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</row>
    <row r="353">
      <c r="A353" s="251"/>
      <c r="B353" s="251"/>
      <c r="C353" s="251"/>
      <c r="D353" s="251"/>
      <c r="E353" s="251"/>
      <c r="F353" s="251"/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</row>
    <row r="354">
      <c r="A354" s="251"/>
      <c r="B354" s="251"/>
      <c r="C354" s="251"/>
      <c r="D354" s="251"/>
      <c r="E354" s="251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</row>
    <row r="355">
      <c r="A355" s="251"/>
      <c r="B355" s="251"/>
      <c r="C355" s="251"/>
      <c r="D355" s="251"/>
      <c r="E355" s="251"/>
      <c r="F355" s="251"/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</row>
    <row r="356">
      <c r="A356" s="251"/>
      <c r="B356" s="251"/>
      <c r="C356" s="251"/>
      <c r="D356" s="251"/>
      <c r="E356" s="251"/>
      <c r="F356" s="251"/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</row>
    <row r="357">
      <c r="A357" s="251"/>
      <c r="B357" s="251"/>
      <c r="C357" s="251"/>
      <c r="D357" s="251"/>
      <c r="E357" s="251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</row>
    <row r="358">
      <c r="A358" s="251"/>
      <c r="B358" s="251"/>
      <c r="C358" s="251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</row>
    <row r="359">
      <c r="A359" s="251"/>
      <c r="B359" s="251"/>
      <c r="C359" s="251"/>
      <c r="D359" s="251"/>
      <c r="E359" s="251"/>
      <c r="F359" s="251"/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</row>
    <row r="360">
      <c r="A360" s="251"/>
      <c r="B360" s="251"/>
      <c r="C360" s="251"/>
      <c r="D360" s="251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</row>
    <row r="361">
      <c r="A361" s="251"/>
      <c r="B361" s="251"/>
      <c r="C361" s="251"/>
      <c r="D361" s="251"/>
      <c r="E361" s="251"/>
      <c r="F361" s="251"/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</row>
    <row r="362">
      <c r="A362" s="251"/>
      <c r="B362" s="251"/>
      <c r="C362" s="251"/>
      <c r="D362" s="251"/>
      <c r="E362" s="251"/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</row>
    <row r="363">
      <c r="A363" s="251"/>
      <c r="B363" s="251"/>
      <c r="C363" s="251"/>
      <c r="D363" s="251"/>
      <c r="E363" s="251"/>
      <c r="F363" s="251"/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</row>
    <row r="364">
      <c r="A364" s="251"/>
      <c r="B364" s="251"/>
      <c r="C364" s="251"/>
      <c r="D364" s="251"/>
      <c r="E364" s="251"/>
      <c r="F364" s="251"/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</row>
    <row r="365">
      <c r="A365" s="251"/>
      <c r="B365" s="251"/>
      <c r="C365" s="251"/>
      <c r="D365" s="251"/>
      <c r="E365" s="251"/>
      <c r="F365" s="251"/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</row>
    <row r="366">
      <c r="A366" s="251"/>
      <c r="B366" s="251"/>
      <c r="C366" s="251"/>
      <c r="D366" s="251"/>
      <c r="E366" s="251"/>
      <c r="F366" s="251"/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</row>
    <row r="367">
      <c r="A367" s="251"/>
      <c r="B367" s="251"/>
      <c r="C367" s="251"/>
      <c r="D367" s="251"/>
      <c r="E367" s="251"/>
      <c r="F367" s="251"/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</row>
    <row r="368">
      <c r="A368" s="251"/>
      <c r="B368" s="251"/>
      <c r="C368" s="251"/>
      <c r="D368" s="251"/>
      <c r="E368" s="251"/>
      <c r="F368" s="251"/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</row>
    <row r="369">
      <c r="A369" s="251"/>
      <c r="B369" s="251"/>
      <c r="C369" s="251"/>
      <c r="D369" s="251"/>
      <c r="E369" s="251"/>
      <c r="F369" s="251"/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</row>
    <row r="370">
      <c r="A370" s="251"/>
      <c r="B370" s="251"/>
      <c r="C370" s="251"/>
      <c r="D370" s="251"/>
      <c r="E370" s="251"/>
      <c r="F370" s="251"/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</row>
    <row r="371">
      <c r="A371" s="251"/>
      <c r="B371" s="251"/>
      <c r="C371" s="251"/>
      <c r="D371" s="251"/>
      <c r="E371" s="251"/>
      <c r="F371" s="251"/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</row>
    <row r="372">
      <c r="A372" s="251"/>
      <c r="B372" s="251"/>
      <c r="C372" s="251"/>
      <c r="D372" s="251"/>
      <c r="E372" s="251"/>
      <c r="F372" s="251"/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</row>
    <row r="373">
      <c r="A373" s="251"/>
      <c r="B373" s="251"/>
      <c r="C373" s="251"/>
      <c r="D373" s="251"/>
      <c r="E373" s="251"/>
      <c r="F373" s="251"/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</row>
    <row r="374">
      <c r="A374" s="251"/>
      <c r="B374" s="251"/>
      <c r="C374" s="251"/>
      <c r="D374" s="251"/>
      <c r="E374" s="251"/>
      <c r="F374" s="251"/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</row>
    <row r="375">
      <c r="A375" s="251"/>
      <c r="B375" s="251"/>
      <c r="C375" s="251"/>
      <c r="D375" s="251"/>
      <c r="E375" s="251"/>
      <c r="F375" s="251"/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</row>
    <row r="376">
      <c r="A376" s="251"/>
      <c r="B376" s="251"/>
      <c r="C376" s="251"/>
      <c r="D376" s="251"/>
      <c r="E376" s="251"/>
      <c r="F376" s="251"/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</row>
    <row r="377">
      <c r="A377" s="251"/>
      <c r="B377" s="251"/>
      <c r="C377" s="251"/>
      <c r="D377" s="251"/>
      <c r="E377" s="251"/>
      <c r="F377" s="251"/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</row>
    <row r="378">
      <c r="A378" s="251"/>
      <c r="B378" s="251"/>
      <c r="C378" s="251"/>
      <c r="D378" s="251"/>
      <c r="E378" s="251"/>
      <c r="F378" s="251"/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</row>
    <row r="379">
      <c r="A379" s="251"/>
      <c r="B379" s="251"/>
      <c r="C379" s="251"/>
      <c r="D379" s="251"/>
      <c r="E379" s="251"/>
      <c r="F379" s="251"/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</row>
    <row r="380">
      <c r="A380" s="251"/>
      <c r="B380" s="251"/>
      <c r="C380" s="251"/>
      <c r="D380" s="251"/>
      <c r="E380" s="251"/>
      <c r="F380" s="251"/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</row>
    <row r="381">
      <c r="A381" s="251"/>
      <c r="B381" s="251"/>
      <c r="C381" s="251"/>
      <c r="D381" s="251"/>
      <c r="E381" s="251"/>
      <c r="F381" s="251"/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</row>
    <row r="382">
      <c r="A382" s="251"/>
      <c r="B382" s="251"/>
      <c r="C382" s="251"/>
      <c r="D382" s="251"/>
      <c r="E382" s="251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</row>
    <row r="383">
      <c r="A383" s="251"/>
      <c r="B383" s="251"/>
      <c r="C383" s="251"/>
      <c r="D383" s="251"/>
      <c r="E383" s="251"/>
      <c r="F383" s="251"/>
      <c r="G383" s="251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</row>
    <row r="384">
      <c r="A384" s="251"/>
      <c r="B384" s="251"/>
      <c r="C384" s="251"/>
      <c r="D384" s="251"/>
      <c r="E384" s="251"/>
      <c r="F384" s="251"/>
      <c r="G384" s="251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</row>
    <row r="385">
      <c r="A385" s="251"/>
      <c r="B385" s="251"/>
      <c r="C385" s="251"/>
      <c r="D385" s="251"/>
      <c r="E385" s="251"/>
      <c r="F385" s="251"/>
      <c r="G385" s="251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</row>
    <row r="386">
      <c r="A386" s="251"/>
      <c r="B386" s="251"/>
      <c r="C386" s="251"/>
      <c r="D386" s="251"/>
      <c r="E386" s="251"/>
      <c r="F386" s="251"/>
      <c r="G386" s="251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</row>
    <row r="387">
      <c r="A387" s="251"/>
      <c r="B387" s="251"/>
      <c r="C387" s="251"/>
      <c r="D387" s="251"/>
      <c r="E387" s="251"/>
      <c r="F387" s="251"/>
      <c r="G387" s="251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</row>
    <row r="388">
      <c r="A388" s="251"/>
      <c r="B388" s="251"/>
      <c r="C388" s="251"/>
      <c r="D388" s="251"/>
      <c r="E388" s="251"/>
      <c r="F388" s="251"/>
      <c r="G388" s="251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</row>
    <row r="389">
      <c r="A389" s="251"/>
      <c r="B389" s="251"/>
      <c r="C389" s="251"/>
      <c r="D389" s="251"/>
      <c r="E389" s="251"/>
      <c r="F389" s="251"/>
      <c r="G389" s="251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</row>
    <row r="390">
      <c r="A390" s="251"/>
      <c r="B390" s="251"/>
      <c r="C390" s="251"/>
      <c r="D390" s="251"/>
      <c r="E390" s="251"/>
      <c r="F390" s="251"/>
      <c r="G390" s="251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</row>
    <row r="391">
      <c r="A391" s="251"/>
      <c r="B391" s="251"/>
      <c r="C391" s="251"/>
      <c r="D391" s="251"/>
      <c r="E391" s="251"/>
      <c r="F391" s="251"/>
      <c r="G391" s="251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</row>
    <row r="392">
      <c r="A392" s="251"/>
      <c r="B392" s="251"/>
      <c r="C392" s="251"/>
      <c r="D392" s="251"/>
      <c r="E392" s="251"/>
      <c r="F392" s="251"/>
      <c r="G392" s="251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</row>
    <row r="393">
      <c r="A393" s="251"/>
      <c r="B393" s="251"/>
      <c r="C393" s="251"/>
      <c r="D393" s="251"/>
      <c r="E393" s="251"/>
      <c r="F393" s="251"/>
      <c r="G393" s="251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</row>
    <row r="394">
      <c r="A394" s="251"/>
      <c r="B394" s="251"/>
      <c r="C394" s="251"/>
      <c r="D394" s="251"/>
      <c r="E394" s="251"/>
      <c r="F394" s="251"/>
      <c r="G394" s="251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</row>
    <row r="395">
      <c r="A395" s="251"/>
      <c r="B395" s="251"/>
      <c r="C395" s="251"/>
      <c r="D395" s="251"/>
      <c r="E395" s="251"/>
      <c r="F395" s="251"/>
      <c r="G395" s="251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</row>
    <row r="396">
      <c r="A396" s="251"/>
      <c r="B396" s="251"/>
      <c r="C396" s="251"/>
      <c r="D396" s="251"/>
      <c r="E396" s="251"/>
      <c r="F396" s="251"/>
      <c r="G396" s="251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</row>
    <row r="397">
      <c r="A397" s="251"/>
      <c r="B397" s="251"/>
      <c r="C397" s="251"/>
      <c r="D397" s="251"/>
      <c r="E397" s="251"/>
      <c r="F397" s="251"/>
      <c r="G397" s="251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</row>
    <row r="398">
      <c r="A398" s="251"/>
      <c r="B398" s="251"/>
      <c r="C398" s="251"/>
      <c r="D398" s="251"/>
      <c r="E398" s="251"/>
      <c r="F398" s="251"/>
      <c r="G398" s="251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</row>
    <row r="399">
      <c r="A399" s="251"/>
      <c r="B399" s="251"/>
      <c r="C399" s="251"/>
      <c r="D399" s="251"/>
      <c r="E399" s="251"/>
      <c r="F399" s="251"/>
      <c r="G399" s="251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</row>
    <row r="400">
      <c r="A400" s="251"/>
      <c r="B400" s="251"/>
      <c r="C400" s="251"/>
      <c r="D400" s="251"/>
      <c r="E400" s="251"/>
      <c r="F400" s="251"/>
      <c r="G400" s="251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</row>
    <row r="401">
      <c r="A401" s="251"/>
      <c r="B401" s="251"/>
      <c r="C401" s="251"/>
      <c r="D401" s="251"/>
      <c r="E401" s="251"/>
      <c r="F401" s="251"/>
      <c r="G401" s="251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</row>
    <row r="402">
      <c r="A402" s="251"/>
      <c r="B402" s="251"/>
      <c r="C402" s="251"/>
      <c r="D402" s="251"/>
      <c r="E402" s="251"/>
      <c r="F402" s="251"/>
      <c r="G402" s="251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</row>
    <row r="403">
      <c r="A403" s="251"/>
      <c r="B403" s="251"/>
      <c r="C403" s="251"/>
      <c r="D403" s="251"/>
      <c r="E403" s="251"/>
      <c r="F403" s="251"/>
      <c r="G403" s="251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</row>
    <row r="404">
      <c r="A404" s="251"/>
      <c r="B404" s="251"/>
      <c r="C404" s="251"/>
      <c r="D404" s="251"/>
      <c r="E404" s="251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</row>
    <row r="405">
      <c r="A405" s="251"/>
      <c r="B405" s="251"/>
      <c r="C405" s="251"/>
      <c r="D405" s="251"/>
      <c r="E405" s="251"/>
      <c r="F405" s="251"/>
      <c r="G405" s="251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</row>
    <row r="406">
      <c r="A406" s="251"/>
      <c r="B406" s="251"/>
      <c r="C406" s="251"/>
      <c r="D406" s="251"/>
      <c r="E406" s="251"/>
      <c r="F406" s="251"/>
      <c r="G406" s="251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</row>
    <row r="407">
      <c r="A407" s="251"/>
      <c r="B407" s="251"/>
      <c r="C407" s="251"/>
      <c r="D407" s="251"/>
      <c r="E407" s="251"/>
      <c r="F407" s="251"/>
      <c r="G407" s="251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</row>
    <row r="408">
      <c r="A408" s="251"/>
      <c r="B408" s="251"/>
      <c r="C408" s="251"/>
      <c r="D408" s="251"/>
      <c r="E408" s="251"/>
      <c r="F408" s="251"/>
      <c r="G408" s="251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</row>
    <row r="409">
      <c r="A409" s="251"/>
      <c r="B409" s="251"/>
      <c r="C409" s="251"/>
      <c r="D409" s="251"/>
      <c r="E409" s="251"/>
      <c r="F409" s="251"/>
      <c r="G409" s="251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</row>
    <row r="410">
      <c r="A410" s="251"/>
      <c r="B410" s="251"/>
      <c r="C410" s="251"/>
      <c r="D410" s="251"/>
      <c r="E410" s="251"/>
      <c r="F410" s="251"/>
      <c r="G410" s="251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</row>
    <row r="411">
      <c r="A411" s="251"/>
      <c r="B411" s="251"/>
      <c r="C411" s="251"/>
      <c r="D411" s="251"/>
      <c r="E411" s="251"/>
      <c r="F411" s="251"/>
      <c r="G411" s="251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</row>
    <row r="412">
      <c r="A412" s="251"/>
      <c r="B412" s="251"/>
      <c r="C412" s="251"/>
      <c r="D412" s="251"/>
      <c r="E412" s="251"/>
      <c r="F412" s="251"/>
      <c r="G412" s="251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</row>
    <row r="413">
      <c r="A413" s="251"/>
      <c r="B413" s="251"/>
      <c r="C413" s="251"/>
      <c r="D413" s="251"/>
      <c r="E413" s="251"/>
      <c r="F413" s="251"/>
      <c r="G413" s="251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</row>
    <row r="414">
      <c r="A414" s="251"/>
      <c r="B414" s="251"/>
      <c r="C414" s="251"/>
      <c r="D414" s="251"/>
      <c r="E414" s="251"/>
      <c r="F414" s="251"/>
      <c r="G414" s="251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</row>
    <row r="415">
      <c r="A415" s="251"/>
      <c r="B415" s="251"/>
      <c r="C415" s="251"/>
      <c r="D415" s="251"/>
      <c r="E415" s="251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</row>
    <row r="416">
      <c r="A416" s="251"/>
      <c r="B416" s="251"/>
      <c r="C416" s="251"/>
      <c r="D416" s="251"/>
      <c r="E416" s="251"/>
      <c r="F416" s="251"/>
      <c r="G416" s="251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</row>
    <row r="417">
      <c r="A417" s="251"/>
      <c r="B417" s="251"/>
      <c r="C417" s="251"/>
      <c r="D417" s="251"/>
      <c r="E417" s="251"/>
      <c r="F417" s="251"/>
      <c r="G417" s="251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</row>
    <row r="418">
      <c r="A418" s="251"/>
      <c r="B418" s="251"/>
      <c r="C418" s="251"/>
      <c r="D418" s="251"/>
      <c r="E418" s="251"/>
      <c r="F418" s="251"/>
      <c r="G418" s="251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</row>
    <row r="419">
      <c r="A419" s="251"/>
      <c r="B419" s="251"/>
      <c r="C419" s="251"/>
      <c r="D419" s="251"/>
      <c r="E419" s="251"/>
      <c r="F419" s="251"/>
      <c r="G419" s="251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</row>
    <row r="420">
      <c r="A420" s="251"/>
      <c r="B420" s="251"/>
      <c r="C420" s="251"/>
      <c r="D420" s="251"/>
      <c r="E420" s="251"/>
      <c r="F420" s="251"/>
      <c r="G420" s="251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</row>
    <row r="421">
      <c r="A421" s="251"/>
      <c r="B421" s="251"/>
      <c r="C421" s="251"/>
      <c r="D421" s="251"/>
      <c r="E421" s="251"/>
      <c r="F421" s="251"/>
      <c r="G421" s="251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</row>
    <row r="422">
      <c r="A422" s="251"/>
      <c r="B422" s="251"/>
      <c r="C422" s="251"/>
      <c r="D422" s="251"/>
      <c r="E422" s="251"/>
      <c r="F422" s="251"/>
      <c r="G422" s="251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</row>
    <row r="423">
      <c r="A423" s="251"/>
      <c r="B423" s="251"/>
      <c r="C423" s="251"/>
      <c r="D423" s="251"/>
      <c r="E423" s="251"/>
      <c r="F423" s="251"/>
      <c r="G423" s="251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</row>
    <row r="424">
      <c r="A424" s="251"/>
      <c r="B424" s="251"/>
      <c r="C424" s="251"/>
      <c r="D424" s="251"/>
      <c r="E424" s="251"/>
      <c r="F424" s="251"/>
      <c r="G424" s="251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</row>
    <row r="425">
      <c r="A425" s="251"/>
      <c r="B425" s="251"/>
      <c r="C425" s="251"/>
      <c r="D425" s="251"/>
      <c r="E425" s="251"/>
      <c r="F425" s="251"/>
      <c r="G425" s="251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</row>
    <row r="426">
      <c r="A426" s="251"/>
      <c r="B426" s="251"/>
      <c r="C426" s="251"/>
      <c r="D426" s="251"/>
      <c r="E426" s="251"/>
      <c r="F426" s="251"/>
      <c r="G426" s="251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</row>
    <row r="427">
      <c r="A427" s="251"/>
      <c r="B427" s="251"/>
      <c r="C427" s="251"/>
      <c r="D427" s="251"/>
      <c r="E427" s="251"/>
      <c r="F427" s="251"/>
      <c r="G427" s="251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</row>
    <row r="428">
      <c r="A428" s="251"/>
      <c r="B428" s="251"/>
      <c r="C428" s="251"/>
      <c r="D428" s="251"/>
      <c r="E428" s="251"/>
      <c r="F428" s="251"/>
      <c r="G428" s="251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</row>
    <row r="429">
      <c r="A429" s="251"/>
      <c r="B429" s="251"/>
      <c r="C429" s="251"/>
      <c r="D429" s="251"/>
      <c r="E429" s="251"/>
      <c r="F429" s="251"/>
      <c r="G429" s="251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</row>
    <row r="430">
      <c r="A430" s="251"/>
      <c r="B430" s="251"/>
      <c r="C430" s="251"/>
      <c r="D430" s="251"/>
      <c r="E430" s="251"/>
      <c r="F430" s="251"/>
      <c r="G430" s="251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</row>
    <row r="431">
      <c r="A431" s="251"/>
      <c r="B431" s="251"/>
      <c r="C431" s="251"/>
      <c r="D431" s="251"/>
      <c r="E431" s="251"/>
      <c r="F431" s="251"/>
      <c r="G431" s="251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</row>
    <row r="432">
      <c r="A432" s="251"/>
      <c r="B432" s="251"/>
      <c r="C432" s="251"/>
      <c r="D432" s="251"/>
      <c r="E432" s="251"/>
      <c r="F432" s="251"/>
      <c r="G432" s="251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</row>
    <row r="433">
      <c r="A433" s="251"/>
      <c r="B433" s="251"/>
      <c r="C433" s="251"/>
      <c r="D433" s="251"/>
      <c r="E433" s="251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</row>
    <row r="434">
      <c r="A434" s="251"/>
      <c r="B434" s="251"/>
      <c r="C434" s="251"/>
      <c r="D434" s="251"/>
      <c r="E434" s="251"/>
      <c r="F434" s="251"/>
      <c r="G434" s="251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</row>
    <row r="435">
      <c r="A435" s="251"/>
      <c r="B435" s="251"/>
      <c r="C435" s="251"/>
      <c r="D435" s="251"/>
      <c r="E435" s="251"/>
      <c r="F435" s="251"/>
      <c r="G435" s="251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</row>
    <row r="436">
      <c r="A436" s="251"/>
      <c r="B436" s="251"/>
      <c r="C436" s="251"/>
      <c r="D436" s="251"/>
      <c r="E436" s="251"/>
      <c r="F436" s="251"/>
      <c r="G436" s="251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</row>
    <row r="437">
      <c r="A437" s="251"/>
      <c r="B437" s="251"/>
      <c r="C437" s="251"/>
      <c r="D437" s="251"/>
      <c r="E437" s="251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</row>
    <row r="438">
      <c r="A438" s="251"/>
      <c r="B438" s="251"/>
      <c r="C438" s="251"/>
      <c r="D438" s="251"/>
      <c r="E438" s="251"/>
      <c r="F438" s="251"/>
      <c r="G438" s="251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</row>
    <row r="439">
      <c r="A439" s="251"/>
      <c r="B439" s="251"/>
      <c r="C439" s="251"/>
      <c r="D439" s="251"/>
      <c r="E439" s="251"/>
      <c r="F439" s="251"/>
      <c r="G439" s="251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</row>
    <row r="440">
      <c r="A440" s="251"/>
      <c r="B440" s="251"/>
      <c r="C440" s="251"/>
      <c r="D440" s="251"/>
      <c r="E440" s="251"/>
      <c r="F440" s="251"/>
      <c r="G440" s="251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</row>
    <row r="441">
      <c r="A441" s="251"/>
      <c r="B441" s="251"/>
      <c r="C441" s="251"/>
      <c r="D441" s="251"/>
      <c r="E441" s="251"/>
      <c r="F441" s="251"/>
      <c r="G441" s="251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</row>
    <row r="442">
      <c r="A442" s="251"/>
      <c r="B442" s="251"/>
      <c r="C442" s="251"/>
      <c r="D442" s="251"/>
      <c r="E442" s="251"/>
      <c r="F442" s="251"/>
      <c r="G442" s="251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</row>
    <row r="443">
      <c r="A443" s="251"/>
      <c r="B443" s="251"/>
      <c r="C443" s="251"/>
      <c r="D443" s="251"/>
      <c r="E443" s="251"/>
      <c r="F443" s="251"/>
      <c r="G443" s="251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</row>
    <row r="444">
      <c r="A444" s="251"/>
      <c r="B444" s="251"/>
      <c r="C444" s="251"/>
      <c r="D444" s="251"/>
      <c r="E444" s="251"/>
      <c r="F444" s="251"/>
      <c r="G444" s="251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</row>
    <row r="445">
      <c r="A445" s="251"/>
      <c r="B445" s="251"/>
      <c r="C445" s="251"/>
      <c r="D445" s="251"/>
      <c r="E445" s="251"/>
      <c r="F445" s="251"/>
      <c r="G445" s="251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</row>
    <row r="446">
      <c r="A446" s="251"/>
      <c r="B446" s="251"/>
      <c r="C446" s="251"/>
      <c r="D446" s="251"/>
      <c r="E446" s="251"/>
      <c r="F446" s="251"/>
      <c r="G446" s="251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</row>
    <row r="447">
      <c r="A447" s="251"/>
      <c r="B447" s="251"/>
      <c r="C447" s="251"/>
      <c r="D447" s="251"/>
      <c r="E447" s="251"/>
      <c r="F447" s="251"/>
      <c r="G447" s="251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</row>
    <row r="448">
      <c r="A448" s="251"/>
      <c r="B448" s="251"/>
      <c r="C448" s="251"/>
      <c r="D448" s="251"/>
      <c r="E448" s="251"/>
      <c r="F448" s="251"/>
      <c r="G448" s="251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</row>
    <row r="449">
      <c r="A449" s="251"/>
      <c r="B449" s="251"/>
      <c r="C449" s="251"/>
      <c r="D449" s="251"/>
      <c r="E449" s="251"/>
      <c r="F449" s="251"/>
      <c r="G449" s="251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</row>
    <row r="450">
      <c r="A450" s="251"/>
      <c r="B450" s="251"/>
      <c r="C450" s="251"/>
      <c r="D450" s="251"/>
      <c r="E450" s="251"/>
      <c r="F450" s="251"/>
      <c r="G450" s="251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</row>
    <row r="451">
      <c r="A451" s="251"/>
      <c r="B451" s="251"/>
      <c r="C451" s="251"/>
      <c r="D451" s="251"/>
      <c r="E451" s="251"/>
      <c r="F451" s="251"/>
      <c r="G451" s="251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</row>
    <row r="452">
      <c r="A452" s="251"/>
      <c r="B452" s="251"/>
      <c r="C452" s="251"/>
      <c r="D452" s="251"/>
      <c r="E452" s="251"/>
      <c r="F452" s="251"/>
      <c r="G452" s="251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</row>
    <row r="453">
      <c r="A453" s="251"/>
      <c r="B453" s="251"/>
      <c r="C453" s="251"/>
      <c r="D453" s="251"/>
      <c r="E453" s="251"/>
      <c r="F453" s="251"/>
      <c r="G453" s="251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</row>
    <row r="454">
      <c r="A454" s="251"/>
      <c r="B454" s="251"/>
      <c r="C454" s="251"/>
      <c r="D454" s="251"/>
      <c r="E454" s="251"/>
      <c r="F454" s="251"/>
      <c r="G454" s="251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</row>
    <row r="455">
      <c r="A455" s="251"/>
      <c r="B455" s="251"/>
      <c r="C455" s="251"/>
      <c r="D455" s="251"/>
      <c r="E455" s="251"/>
      <c r="F455" s="251"/>
      <c r="G455" s="251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</row>
    <row r="456">
      <c r="A456" s="251"/>
      <c r="B456" s="251"/>
      <c r="C456" s="251"/>
      <c r="D456" s="251"/>
      <c r="E456" s="251"/>
      <c r="F456" s="251"/>
      <c r="G456" s="251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</row>
    <row r="457">
      <c r="A457" s="251"/>
      <c r="B457" s="251"/>
      <c r="C457" s="251"/>
      <c r="D457" s="251"/>
      <c r="E457" s="251"/>
      <c r="F457" s="251"/>
      <c r="G457" s="251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</row>
    <row r="458">
      <c r="A458" s="251"/>
      <c r="B458" s="251"/>
      <c r="C458" s="251"/>
      <c r="D458" s="251"/>
      <c r="E458" s="251"/>
      <c r="F458" s="251"/>
      <c r="G458" s="251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</row>
    <row r="459">
      <c r="A459" s="251"/>
      <c r="B459" s="251"/>
      <c r="C459" s="251"/>
      <c r="D459" s="251"/>
      <c r="E459" s="251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</row>
    <row r="460">
      <c r="A460" s="251"/>
      <c r="B460" s="251"/>
      <c r="C460" s="251"/>
      <c r="D460" s="251"/>
      <c r="E460" s="251"/>
      <c r="F460" s="251"/>
      <c r="G460" s="251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</row>
    <row r="461">
      <c r="A461" s="251"/>
      <c r="B461" s="251"/>
      <c r="C461" s="251"/>
      <c r="D461" s="251"/>
      <c r="E461" s="251"/>
      <c r="F461" s="251"/>
      <c r="G461" s="251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</row>
    <row r="462">
      <c r="A462" s="251"/>
      <c r="B462" s="251"/>
      <c r="C462" s="251"/>
      <c r="D462" s="251"/>
      <c r="E462" s="251"/>
      <c r="F462" s="251"/>
      <c r="G462" s="251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</row>
    <row r="463">
      <c r="A463" s="251"/>
      <c r="B463" s="251"/>
      <c r="C463" s="251"/>
      <c r="D463" s="251"/>
      <c r="E463" s="251"/>
      <c r="F463" s="251"/>
      <c r="G463" s="251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</row>
    <row r="464">
      <c r="A464" s="251"/>
      <c r="B464" s="251"/>
      <c r="C464" s="251"/>
      <c r="D464" s="251"/>
      <c r="E464" s="251"/>
      <c r="F464" s="251"/>
      <c r="G464" s="251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</row>
    <row r="465">
      <c r="A465" s="251"/>
      <c r="B465" s="251"/>
      <c r="C465" s="251"/>
      <c r="D465" s="251"/>
      <c r="E465" s="251"/>
      <c r="F465" s="251"/>
      <c r="G465" s="251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</row>
    <row r="466">
      <c r="A466" s="251"/>
      <c r="B466" s="251"/>
      <c r="C466" s="251"/>
      <c r="D466" s="251"/>
      <c r="E466" s="251"/>
      <c r="F466" s="251"/>
      <c r="G466" s="251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</row>
    <row r="467">
      <c r="A467" s="251"/>
      <c r="B467" s="251"/>
      <c r="C467" s="251"/>
      <c r="D467" s="251"/>
      <c r="E467" s="251"/>
      <c r="F467" s="251"/>
      <c r="G467" s="251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</row>
    <row r="468">
      <c r="A468" s="251"/>
      <c r="B468" s="251"/>
      <c r="C468" s="251"/>
      <c r="D468" s="251"/>
      <c r="E468" s="251"/>
      <c r="F468" s="251"/>
      <c r="G468" s="251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</row>
    <row r="469">
      <c r="A469" s="251"/>
      <c r="B469" s="251"/>
      <c r="C469" s="251"/>
      <c r="D469" s="251"/>
      <c r="E469" s="251"/>
      <c r="F469" s="251"/>
      <c r="G469" s="251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</row>
    <row r="470">
      <c r="A470" s="251"/>
      <c r="B470" s="251"/>
      <c r="C470" s="251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</row>
    <row r="471">
      <c r="A471" s="251"/>
      <c r="B471" s="251"/>
      <c r="C471" s="251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</row>
    <row r="472">
      <c r="A472" s="251"/>
      <c r="B472" s="251"/>
      <c r="C472" s="251"/>
      <c r="D472" s="251"/>
      <c r="E472" s="251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</row>
    <row r="473">
      <c r="A473" s="251"/>
      <c r="B473" s="251"/>
      <c r="C473" s="251"/>
      <c r="D473" s="251"/>
      <c r="E473" s="251"/>
      <c r="F473" s="251"/>
      <c r="G473" s="251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</row>
    <row r="474">
      <c r="A474" s="251"/>
      <c r="B474" s="251"/>
      <c r="C474" s="251"/>
      <c r="D474" s="251"/>
      <c r="E474" s="251"/>
      <c r="F474" s="251"/>
      <c r="G474" s="251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</row>
    <row r="475">
      <c r="A475" s="251"/>
      <c r="B475" s="251"/>
      <c r="C475" s="251"/>
      <c r="D475" s="251"/>
      <c r="E475" s="251"/>
      <c r="F475" s="251"/>
      <c r="G475" s="251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</row>
    <row r="476">
      <c r="A476" s="251"/>
      <c r="B476" s="251"/>
      <c r="C476" s="251"/>
      <c r="D476" s="251"/>
      <c r="E476" s="251"/>
      <c r="F476" s="251"/>
      <c r="G476" s="251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</row>
    <row r="477">
      <c r="A477" s="251"/>
      <c r="B477" s="251"/>
      <c r="C477" s="251"/>
      <c r="D477" s="251"/>
      <c r="E477" s="251"/>
      <c r="F477" s="251"/>
      <c r="G477" s="251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</row>
    <row r="478">
      <c r="A478" s="251"/>
      <c r="B478" s="251"/>
      <c r="C478" s="251"/>
      <c r="D478" s="251"/>
      <c r="E478" s="251"/>
      <c r="F478" s="251"/>
      <c r="G478" s="251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</row>
    <row r="479">
      <c r="A479" s="251"/>
      <c r="B479" s="251"/>
      <c r="C479" s="251"/>
      <c r="D479" s="251"/>
      <c r="E479" s="251"/>
      <c r="F479" s="251"/>
      <c r="G479" s="251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</row>
    <row r="480">
      <c r="A480" s="251"/>
      <c r="B480" s="251"/>
      <c r="C480" s="251"/>
      <c r="D480" s="251"/>
      <c r="E480" s="251"/>
      <c r="F480" s="251"/>
      <c r="G480" s="251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</row>
    <row r="481">
      <c r="A481" s="251"/>
      <c r="B481" s="251"/>
      <c r="C481" s="251"/>
      <c r="D481" s="251"/>
      <c r="E481" s="251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</row>
    <row r="482">
      <c r="A482" s="251"/>
      <c r="B482" s="251"/>
      <c r="C482" s="251"/>
      <c r="D482" s="251"/>
      <c r="E482" s="251"/>
      <c r="F482" s="251"/>
      <c r="G482" s="251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</row>
    <row r="483">
      <c r="A483" s="251"/>
      <c r="B483" s="251"/>
      <c r="C483" s="251"/>
      <c r="D483" s="251"/>
      <c r="E483" s="251"/>
      <c r="F483" s="251"/>
      <c r="G483" s="251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</row>
    <row r="484">
      <c r="A484" s="251"/>
      <c r="B484" s="251"/>
      <c r="C484" s="251"/>
      <c r="D484" s="251"/>
      <c r="E484" s="251"/>
      <c r="F484" s="251"/>
      <c r="G484" s="251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</row>
    <row r="485">
      <c r="A485" s="251"/>
      <c r="B485" s="251"/>
      <c r="C485" s="251"/>
      <c r="D485" s="251"/>
      <c r="E485" s="251"/>
      <c r="F485" s="251"/>
      <c r="G485" s="251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</row>
    <row r="486">
      <c r="A486" s="251"/>
      <c r="B486" s="251"/>
      <c r="C486" s="251"/>
      <c r="D486" s="251"/>
      <c r="E486" s="251"/>
      <c r="F486" s="251"/>
      <c r="G486" s="251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</row>
    <row r="487">
      <c r="A487" s="251"/>
      <c r="B487" s="251"/>
      <c r="C487" s="251"/>
      <c r="D487" s="251"/>
      <c r="E487" s="251"/>
      <c r="F487" s="251"/>
      <c r="G487" s="251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</row>
    <row r="488">
      <c r="A488" s="251"/>
      <c r="B488" s="251"/>
      <c r="C488" s="251"/>
      <c r="D488" s="251"/>
      <c r="E488" s="251"/>
      <c r="F488" s="251"/>
      <c r="G488" s="251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</row>
    <row r="489">
      <c r="A489" s="251"/>
      <c r="B489" s="251"/>
      <c r="C489" s="251"/>
      <c r="D489" s="251"/>
      <c r="E489" s="251"/>
      <c r="F489" s="251"/>
      <c r="G489" s="251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</row>
    <row r="490">
      <c r="A490" s="251"/>
      <c r="B490" s="251"/>
      <c r="C490" s="251"/>
      <c r="D490" s="251"/>
      <c r="E490" s="251"/>
      <c r="F490" s="251"/>
      <c r="G490" s="251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</row>
    <row r="491">
      <c r="A491" s="251"/>
      <c r="B491" s="251"/>
      <c r="C491" s="251"/>
      <c r="D491" s="251"/>
      <c r="E491" s="251"/>
      <c r="F491" s="251"/>
      <c r="G491" s="251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</row>
    <row r="492">
      <c r="A492" s="251"/>
      <c r="B492" s="251"/>
      <c r="C492" s="251"/>
      <c r="D492" s="251"/>
      <c r="E492" s="251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</row>
    <row r="493">
      <c r="A493" s="251"/>
      <c r="B493" s="251"/>
      <c r="C493" s="251"/>
      <c r="D493" s="251"/>
      <c r="E493" s="251"/>
      <c r="F493" s="251"/>
      <c r="G493" s="251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</row>
    <row r="494">
      <c r="A494" s="251"/>
      <c r="B494" s="251"/>
      <c r="C494" s="251"/>
      <c r="D494" s="251"/>
      <c r="E494" s="251"/>
      <c r="F494" s="251"/>
      <c r="G494" s="251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</row>
    <row r="495">
      <c r="A495" s="251"/>
      <c r="B495" s="251"/>
      <c r="C495" s="251"/>
      <c r="D495" s="251"/>
      <c r="E495" s="251"/>
      <c r="F495" s="251"/>
      <c r="G495" s="251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</row>
    <row r="496">
      <c r="A496" s="251"/>
      <c r="B496" s="251"/>
      <c r="C496" s="251"/>
      <c r="D496" s="251"/>
      <c r="E496" s="251"/>
      <c r="F496" s="251"/>
      <c r="G496" s="251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</row>
    <row r="497">
      <c r="A497" s="251"/>
      <c r="B497" s="251"/>
      <c r="C497" s="251"/>
      <c r="D497" s="251"/>
      <c r="E497" s="251"/>
      <c r="F497" s="251"/>
      <c r="G497" s="251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</row>
    <row r="498">
      <c r="A498" s="251"/>
      <c r="B498" s="251"/>
      <c r="C498" s="251"/>
      <c r="D498" s="251"/>
      <c r="E498" s="251"/>
      <c r="F498" s="251"/>
      <c r="G498" s="251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</row>
    <row r="499">
      <c r="A499" s="251"/>
      <c r="B499" s="251"/>
      <c r="C499" s="251"/>
      <c r="D499" s="251"/>
      <c r="E499" s="251"/>
      <c r="F499" s="251"/>
      <c r="G499" s="251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</row>
    <row r="500">
      <c r="A500" s="251"/>
      <c r="B500" s="251"/>
      <c r="C500" s="251"/>
      <c r="D500" s="251"/>
      <c r="E500" s="251"/>
      <c r="F500" s="251"/>
      <c r="G500" s="251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</row>
    <row r="501">
      <c r="A501" s="251"/>
      <c r="B501" s="251"/>
      <c r="C501" s="251"/>
      <c r="D501" s="251"/>
      <c r="E501" s="251"/>
      <c r="F501" s="251"/>
      <c r="G501" s="251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</row>
    <row r="502">
      <c r="A502" s="251"/>
      <c r="B502" s="251"/>
      <c r="C502" s="251"/>
      <c r="D502" s="251"/>
      <c r="E502" s="251"/>
      <c r="F502" s="251"/>
      <c r="G502" s="251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</row>
    <row r="503">
      <c r="A503" s="251"/>
      <c r="B503" s="251"/>
      <c r="C503" s="251"/>
      <c r="D503" s="251"/>
      <c r="E503" s="251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</row>
    <row r="504">
      <c r="A504" s="251"/>
      <c r="B504" s="251"/>
      <c r="C504" s="251"/>
      <c r="D504" s="251"/>
      <c r="E504" s="251"/>
      <c r="F504" s="251"/>
      <c r="G504" s="251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</row>
    <row r="505">
      <c r="A505" s="251"/>
      <c r="B505" s="251"/>
      <c r="C505" s="251"/>
      <c r="D505" s="251"/>
      <c r="E505" s="251"/>
      <c r="F505" s="251"/>
      <c r="G505" s="251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</row>
    <row r="506">
      <c r="A506" s="251"/>
      <c r="B506" s="251"/>
      <c r="C506" s="251"/>
      <c r="D506" s="251"/>
      <c r="E506" s="251"/>
      <c r="F506" s="251"/>
      <c r="G506" s="251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</row>
    <row r="507">
      <c r="A507" s="251"/>
      <c r="B507" s="251"/>
      <c r="C507" s="251"/>
      <c r="D507" s="251"/>
      <c r="E507" s="251"/>
      <c r="F507" s="251"/>
      <c r="G507" s="251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</row>
    <row r="508">
      <c r="A508" s="251"/>
      <c r="B508" s="251"/>
      <c r="C508" s="251"/>
      <c r="D508" s="251"/>
      <c r="E508" s="251"/>
      <c r="F508" s="251"/>
      <c r="G508" s="251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</row>
    <row r="509">
      <c r="A509" s="251"/>
      <c r="B509" s="251"/>
      <c r="C509" s="251"/>
      <c r="D509" s="251"/>
      <c r="E509" s="251"/>
      <c r="F509" s="251"/>
      <c r="G509" s="251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</row>
    <row r="510">
      <c r="A510" s="251"/>
      <c r="B510" s="251"/>
      <c r="C510" s="251"/>
      <c r="D510" s="251"/>
      <c r="E510" s="251"/>
      <c r="F510" s="251"/>
      <c r="G510" s="251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</row>
    <row r="511">
      <c r="A511" s="251"/>
      <c r="B511" s="251"/>
      <c r="C511" s="251"/>
      <c r="D511" s="251"/>
      <c r="E511" s="251"/>
      <c r="F511" s="251"/>
      <c r="G511" s="251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</row>
    <row r="512">
      <c r="A512" s="251"/>
      <c r="B512" s="251"/>
      <c r="C512" s="251"/>
      <c r="D512" s="251"/>
      <c r="E512" s="251"/>
      <c r="F512" s="251"/>
      <c r="G512" s="251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</row>
    <row r="513">
      <c r="A513" s="251"/>
      <c r="B513" s="251"/>
      <c r="C513" s="251"/>
      <c r="D513" s="251"/>
      <c r="E513" s="251"/>
      <c r="F513" s="251"/>
      <c r="G513" s="251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</row>
    <row r="514">
      <c r="A514" s="251"/>
      <c r="B514" s="251"/>
      <c r="C514" s="251"/>
      <c r="D514" s="251"/>
      <c r="E514" s="251"/>
      <c r="F514" s="251"/>
      <c r="G514" s="251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</row>
    <row r="515">
      <c r="A515" s="251"/>
      <c r="B515" s="251"/>
      <c r="C515" s="251"/>
      <c r="D515" s="251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</row>
    <row r="516">
      <c r="A516" s="251"/>
      <c r="B516" s="251"/>
      <c r="C516" s="251"/>
      <c r="D516" s="251"/>
      <c r="E516" s="251"/>
      <c r="F516" s="251"/>
      <c r="G516" s="251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</row>
    <row r="517">
      <c r="A517" s="251"/>
      <c r="B517" s="251"/>
      <c r="C517" s="251"/>
      <c r="D517" s="251"/>
      <c r="E517" s="251"/>
      <c r="F517" s="251"/>
      <c r="G517" s="251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</row>
    <row r="518">
      <c r="A518" s="251"/>
      <c r="B518" s="251"/>
      <c r="C518" s="251"/>
      <c r="D518" s="251"/>
      <c r="E518" s="251"/>
      <c r="F518" s="251"/>
      <c r="G518" s="251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</row>
    <row r="519">
      <c r="A519" s="251"/>
      <c r="B519" s="251"/>
      <c r="C519" s="251"/>
      <c r="D519" s="251"/>
      <c r="E519" s="251"/>
      <c r="F519" s="251"/>
      <c r="G519" s="251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</row>
    <row r="520">
      <c r="A520" s="251"/>
      <c r="B520" s="251"/>
      <c r="C520" s="251"/>
      <c r="D520" s="251"/>
      <c r="E520" s="251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</row>
    <row r="521">
      <c r="A521" s="251"/>
      <c r="B521" s="251"/>
      <c r="C521" s="251"/>
      <c r="D521" s="251"/>
      <c r="E521" s="251"/>
      <c r="F521" s="251"/>
      <c r="G521" s="251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</row>
    <row r="522">
      <c r="A522" s="251"/>
      <c r="B522" s="251"/>
      <c r="C522" s="251"/>
      <c r="D522" s="251"/>
      <c r="E522" s="251"/>
      <c r="F522" s="251"/>
      <c r="G522" s="251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</row>
    <row r="523">
      <c r="A523" s="251"/>
      <c r="B523" s="251"/>
      <c r="C523" s="251"/>
      <c r="D523" s="251"/>
      <c r="E523" s="251"/>
      <c r="F523" s="251"/>
      <c r="G523" s="251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</row>
    <row r="524">
      <c r="A524" s="251"/>
      <c r="B524" s="251"/>
      <c r="C524" s="251"/>
      <c r="D524" s="251"/>
      <c r="E524" s="251"/>
      <c r="F524" s="251"/>
      <c r="G524" s="251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</row>
    <row r="525">
      <c r="A525" s="251"/>
      <c r="B525" s="251"/>
      <c r="C525" s="251"/>
      <c r="D525" s="251"/>
      <c r="E525" s="251"/>
      <c r="F525" s="251"/>
      <c r="G525" s="251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</row>
    <row r="526">
      <c r="A526" s="251"/>
      <c r="B526" s="251"/>
      <c r="C526" s="251"/>
      <c r="D526" s="251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</row>
    <row r="527">
      <c r="A527" s="251"/>
      <c r="B527" s="251"/>
      <c r="C527" s="251"/>
      <c r="D527" s="251"/>
      <c r="E527" s="251"/>
      <c r="F527" s="251"/>
      <c r="G527" s="251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</row>
    <row r="528">
      <c r="A528" s="251"/>
      <c r="B528" s="251"/>
      <c r="C528" s="251"/>
      <c r="D528" s="251"/>
      <c r="E528" s="251"/>
      <c r="F528" s="251"/>
      <c r="G528" s="251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</row>
    <row r="529">
      <c r="A529" s="251"/>
      <c r="B529" s="251"/>
      <c r="C529" s="251"/>
      <c r="D529" s="251"/>
      <c r="E529" s="251"/>
      <c r="F529" s="251"/>
      <c r="G529" s="251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</row>
    <row r="530">
      <c r="A530" s="251"/>
      <c r="B530" s="251"/>
      <c r="C530" s="251"/>
      <c r="D530" s="251"/>
      <c r="E530" s="251"/>
      <c r="F530" s="251"/>
      <c r="G530" s="251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</row>
    <row r="531">
      <c r="A531" s="251"/>
      <c r="B531" s="251"/>
      <c r="C531" s="251"/>
      <c r="D531" s="251"/>
      <c r="E531" s="251"/>
      <c r="F531" s="251"/>
      <c r="G531" s="251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</row>
    <row r="532">
      <c r="A532" s="251"/>
      <c r="B532" s="251"/>
      <c r="C532" s="251"/>
      <c r="D532" s="251"/>
      <c r="E532" s="251"/>
      <c r="F532" s="251"/>
      <c r="G532" s="251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</row>
    <row r="533">
      <c r="A533" s="251"/>
      <c r="B533" s="251"/>
      <c r="C533" s="251"/>
      <c r="D533" s="251"/>
      <c r="E533" s="251"/>
      <c r="F533" s="251"/>
      <c r="G533" s="251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</row>
    <row r="534">
      <c r="A534" s="251"/>
      <c r="B534" s="251"/>
      <c r="C534" s="251"/>
      <c r="D534" s="251"/>
      <c r="E534" s="251"/>
      <c r="F534" s="251"/>
      <c r="G534" s="251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</row>
    <row r="535">
      <c r="A535" s="251"/>
      <c r="B535" s="251"/>
      <c r="C535" s="251"/>
      <c r="D535" s="251"/>
      <c r="E535" s="251"/>
      <c r="F535" s="251"/>
      <c r="G535" s="251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</row>
    <row r="536">
      <c r="A536" s="251"/>
      <c r="B536" s="251"/>
      <c r="C536" s="251"/>
      <c r="D536" s="251"/>
      <c r="E536" s="251"/>
      <c r="F536" s="251"/>
      <c r="G536" s="251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</row>
    <row r="537">
      <c r="A537" s="251"/>
      <c r="B537" s="251"/>
      <c r="C537" s="251"/>
      <c r="D537" s="251"/>
      <c r="E537" s="251"/>
      <c r="F537" s="251"/>
      <c r="G537" s="251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</row>
    <row r="538">
      <c r="A538" s="251"/>
      <c r="B538" s="251"/>
      <c r="C538" s="251"/>
      <c r="D538" s="251"/>
      <c r="E538" s="251"/>
      <c r="F538" s="251"/>
      <c r="G538" s="251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</row>
    <row r="539">
      <c r="A539" s="251"/>
      <c r="B539" s="251"/>
      <c r="C539" s="251"/>
      <c r="D539" s="251"/>
      <c r="E539" s="251"/>
      <c r="F539" s="251"/>
      <c r="G539" s="251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</row>
    <row r="540">
      <c r="A540" s="251"/>
      <c r="B540" s="251"/>
      <c r="C540" s="251"/>
      <c r="D540" s="251"/>
      <c r="E540" s="251"/>
      <c r="F540" s="251"/>
      <c r="G540" s="251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</row>
    <row r="541">
      <c r="A541" s="251"/>
      <c r="B541" s="251"/>
      <c r="C541" s="251"/>
      <c r="D541" s="251"/>
      <c r="E541" s="251"/>
      <c r="F541" s="251"/>
      <c r="G541" s="251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</row>
    <row r="542">
      <c r="A542" s="251"/>
      <c r="B542" s="251"/>
      <c r="C542" s="251"/>
      <c r="D542" s="251"/>
      <c r="E542" s="251"/>
      <c r="F542" s="251"/>
      <c r="G542" s="251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</row>
    <row r="543">
      <c r="A543" s="251"/>
      <c r="B543" s="251"/>
      <c r="C543" s="251"/>
      <c r="D543" s="251"/>
      <c r="E543" s="251"/>
      <c r="F543" s="251"/>
      <c r="G543" s="251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</row>
    <row r="544">
      <c r="A544" s="251"/>
      <c r="B544" s="251"/>
      <c r="C544" s="251"/>
      <c r="D544" s="251"/>
      <c r="E544" s="251"/>
      <c r="F544" s="251"/>
      <c r="G544" s="251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</row>
    <row r="545">
      <c r="A545" s="251"/>
      <c r="B545" s="251"/>
      <c r="C545" s="251"/>
      <c r="D545" s="251"/>
      <c r="E545" s="251"/>
      <c r="F545" s="251"/>
      <c r="G545" s="251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</row>
    <row r="546">
      <c r="A546" s="251"/>
      <c r="B546" s="251"/>
      <c r="C546" s="251"/>
      <c r="D546" s="251"/>
      <c r="E546" s="251"/>
      <c r="F546" s="251"/>
      <c r="G546" s="251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</row>
    <row r="547">
      <c r="A547" s="251"/>
      <c r="B547" s="251"/>
      <c r="C547" s="251"/>
      <c r="D547" s="251"/>
      <c r="E547" s="251"/>
      <c r="F547" s="251"/>
      <c r="G547" s="251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</row>
    <row r="548">
      <c r="A548" s="251"/>
      <c r="B548" s="251"/>
      <c r="C548" s="251"/>
      <c r="D548" s="251"/>
      <c r="E548" s="251"/>
      <c r="F548" s="251"/>
      <c r="G548" s="251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</row>
    <row r="549">
      <c r="A549" s="251"/>
      <c r="B549" s="251"/>
      <c r="C549" s="251"/>
      <c r="D549" s="251"/>
      <c r="E549" s="251"/>
      <c r="F549" s="251"/>
      <c r="G549" s="251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</row>
    <row r="550">
      <c r="A550" s="251"/>
      <c r="B550" s="251"/>
      <c r="C550" s="251"/>
      <c r="D550" s="251"/>
      <c r="E550" s="251"/>
      <c r="F550" s="251"/>
      <c r="G550" s="251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</row>
    <row r="551">
      <c r="A551" s="251"/>
      <c r="B551" s="251"/>
      <c r="C551" s="251"/>
      <c r="D551" s="251"/>
      <c r="E551" s="251"/>
      <c r="F551" s="251"/>
      <c r="G551" s="251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</row>
    <row r="552">
      <c r="A552" s="251"/>
      <c r="B552" s="251"/>
      <c r="C552" s="251"/>
      <c r="D552" s="251"/>
      <c r="E552" s="251"/>
      <c r="F552" s="251"/>
      <c r="G552" s="251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</row>
    <row r="553">
      <c r="A553" s="251"/>
      <c r="B553" s="251"/>
      <c r="C553" s="251"/>
      <c r="D553" s="251"/>
      <c r="E553" s="251"/>
      <c r="F553" s="251"/>
      <c r="G553" s="251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</row>
    <row r="554">
      <c r="A554" s="251"/>
      <c r="B554" s="251"/>
      <c r="C554" s="251"/>
      <c r="D554" s="251"/>
      <c r="E554" s="251"/>
      <c r="F554" s="251"/>
      <c r="G554" s="251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</row>
    <row r="555">
      <c r="A555" s="251"/>
      <c r="B555" s="251"/>
      <c r="C555" s="251"/>
      <c r="D555" s="251"/>
      <c r="E555" s="251"/>
      <c r="F555" s="251"/>
      <c r="G555" s="251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</row>
    <row r="556">
      <c r="A556" s="251"/>
      <c r="B556" s="251"/>
      <c r="C556" s="251"/>
      <c r="D556" s="251"/>
      <c r="E556" s="251"/>
      <c r="F556" s="251"/>
      <c r="G556" s="251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</row>
    <row r="557">
      <c r="A557" s="251"/>
      <c r="B557" s="251"/>
      <c r="C557" s="251"/>
      <c r="D557" s="251"/>
      <c r="E557" s="251"/>
      <c r="F557" s="251"/>
      <c r="G557" s="251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</row>
    <row r="558">
      <c r="A558" s="251"/>
      <c r="B558" s="251"/>
      <c r="C558" s="251"/>
      <c r="D558" s="251"/>
      <c r="E558" s="251"/>
      <c r="F558" s="251"/>
      <c r="G558" s="251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</row>
    <row r="559">
      <c r="A559" s="251"/>
      <c r="B559" s="251"/>
      <c r="C559" s="251"/>
      <c r="D559" s="251"/>
      <c r="E559" s="251"/>
      <c r="F559" s="251"/>
      <c r="G559" s="251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</row>
    <row r="560">
      <c r="A560" s="251"/>
      <c r="B560" s="251"/>
      <c r="C560" s="251"/>
      <c r="D560" s="251"/>
      <c r="E560" s="251"/>
      <c r="F560" s="251"/>
      <c r="G560" s="251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</row>
    <row r="561">
      <c r="A561" s="251"/>
      <c r="B561" s="251"/>
      <c r="C561" s="251"/>
      <c r="D561" s="251"/>
      <c r="E561" s="251"/>
      <c r="F561" s="251"/>
      <c r="G561" s="251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</row>
    <row r="562">
      <c r="A562" s="251"/>
      <c r="B562" s="251"/>
      <c r="C562" s="251"/>
      <c r="D562" s="251"/>
      <c r="E562" s="251"/>
      <c r="F562" s="251"/>
      <c r="G562" s="251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</row>
    <row r="563">
      <c r="A563" s="251"/>
      <c r="B563" s="251"/>
      <c r="C563" s="251"/>
      <c r="D563" s="251"/>
      <c r="E563" s="251"/>
      <c r="F563" s="251"/>
      <c r="G563" s="251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</row>
    <row r="564">
      <c r="A564" s="251"/>
      <c r="B564" s="251"/>
      <c r="C564" s="251"/>
      <c r="D564" s="251"/>
      <c r="E564" s="251"/>
      <c r="F564" s="251"/>
      <c r="G564" s="251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</row>
    <row r="565">
      <c r="A565" s="251"/>
      <c r="B565" s="251"/>
      <c r="C565" s="251"/>
      <c r="D565" s="251"/>
      <c r="E565" s="251"/>
      <c r="F565" s="251"/>
      <c r="G565" s="251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</row>
    <row r="566">
      <c r="A566" s="251"/>
      <c r="B566" s="251"/>
      <c r="C566" s="251"/>
      <c r="D566" s="251"/>
      <c r="E566" s="251"/>
      <c r="F566" s="251"/>
      <c r="G566" s="251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</row>
    <row r="567">
      <c r="A567" s="251"/>
      <c r="B567" s="251"/>
      <c r="C567" s="251"/>
      <c r="D567" s="251"/>
      <c r="E567" s="251"/>
      <c r="F567" s="251"/>
      <c r="G567" s="251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</row>
    <row r="568">
      <c r="A568" s="251"/>
      <c r="B568" s="251"/>
      <c r="C568" s="251"/>
      <c r="D568" s="251"/>
      <c r="E568" s="251"/>
      <c r="F568" s="251"/>
      <c r="G568" s="251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</row>
    <row r="569">
      <c r="A569" s="251"/>
      <c r="B569" s="251"/>
      <c r="C569" s="251"/>
      <c r="D569" s="251"/>
      <c r="E569" s="251"/>
      <c r="F569" s="251"/>
      <c r="G569" s="251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</row>
    <row r="570">
      <c r="A570" s="251"/>
      <c r="B570" s="251"/>
      <c r="C570" s="251"/>
      <c r="D570" s="251"/>
      <c r="E570" s="251"/>
      <c r="F570" s="251"/>
      <c r="G570" s="251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</row>
    <row r="571">
      <c r="A571" s="251"/>
      <c r="B571" s="251"/>
      <c r="C571" s="251"/>
      <c r="D571" s="251"/>
      <c r="E571" s="251"/>
      <c r="F571" s="251"/>
      <c r="G571" s="251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</row>
    <row r="572">
      <c r="A572" s="251"/>
      <c r="B572" s="251"/>
      <c r="C572" s="251"/>
      <c r="D572" s="251"/>
      <c r="E572" s="251"/>
      <c r="F572" s="251"/>
      <c r="G572" s="251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</row>
    <row r="573">
      <c r="A573" s="251"/>
      <c r="B573" s="251"/>
      <c r="C573" s="251"/>
      <c r="D573" s="251"/>
      <c r="E573" s="251"/>
      <c r="F573" s="251"/>
      <c r="G573" s="251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</row>
    <row r="574">
      <c r="A574" s="251"/>
      <c r="B574" s="251"/>
      <c r="C574" s="251"/>
      <c r="D574" s="251"/>
      <c r="E574" s="251"/>
      <c r="F574" s="251"/>
      <c r="G574" s="251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</row>
    <row r="575">
      <c r="A575" s="251"/>
      <c r="B575" s="251"/>
      <c r="C575" s="251"/>
      <c r="D575" s="251"/>
      <c r="E575" s="251"/>
      <c r="F575" s="251"/>
      <c r="G575" s="251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</row>
    <row r="576">
      <c r="A576" s="251"/>
      <c r="B576" s="251"/>
      <c r="C576" s="251"/>
      <c r="D576" s="251"/>
      <c r="E576" s="251"/>
      <c r="F576" s="251"/>
      <c r="G576" s="251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</row>
    <row r="577">
      <c r="A577" s="251"/>
      <c r="B577" s="251"/>
      <c r="C577" s="251"/>
      <c r="D577" s="251"/>
      <c r="E577" s="251"/>
      <c r="F577" s="251"/>
      <c r="G577" s="251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</row>
    <row r="578">
      <c r="A578" s="251"/>
      <c r="B578" s="251"/>
      <c r="C578" s="251"/>
      <c r="D578" s="251"/>
      <c r="E578" s="251"/>
      <c r="F578" s="251"/>
      <c r="G578" s="251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</row>
    <row r="579">
      <c r="A579" s="251"/>
      <c r="B579" s="251"/>
      <c r="C579" s="251"/>
      <c r="D579" s="251"/>
      <c r="E579" s="251"/>
      <c r="F579" s="251"/>
      <c r="G579" s="251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</row>
    <row r="580">
      <c r="A580" s="251"/>
      <c r="B580" s="251"/>
      <c r="C580" s="251"/>
      <c r="D580" s="251"/>
      <c r="E580" s="251"/>
      <c r="F580" s="251"/>
      <c r="G580" s="251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</row>
    <row r="581">
      <c r="A581" s="251"/>
      <c r="B581" s="251"/>
      <c r="C581" s="251"/>
      <c r="D581" s="251"/>
      <c r="E581" s="251"/>
      <c r="F581" s="251"/>
      <c r="G581" s="251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</row>
    <row r="582">
      <c r="A582" s="251"/>
      <c r="B582" s="251"/>
      <c r="C582" s="251"/>
      <c r="D582" s="251"/>
      <c r="E582" s="251"/>
      <c r="F582" s="251"/>
      <c r="G582" s="251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</row>
    <row r="583">
      <c r="A583" s="251"/>
      <c r="B583" s="251"/>
      <c r="C583" s="251"/>
      <c r="D583" s="251"/>
      <c r="E583" s="251"/>
      <c r="F583" s="251"/>
      <c r="G583" s="251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</row>
    <row r="584">
      <c r="A584" s="251"/>
      <c r="B584" s="251"/>
      <c r="C584" s="251"/>
      <c r="D584" s="251"/>
      <c r="E584" s="251"/>
      <c r="F584" s="251"/>
      <c r="G584" s="251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</row>
    <row r="585">
      <c r="A585" s="251"/>
      <c r="B585" s="251"/>
      <c r="C585" s="251"/>
      <c r="D585" s="251"/>
      <c r="E585" s="251"/>
      <c r="F585" s="251"/>
      <c r="G585" s="251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</row>
    <row r="586">
      <c r="A586" s="251"/>
      <c r="B586" s="251"/>
      <c r="C586" s="251"/>
      <c r="D586" s="251"/>
      <c r="E586" s="251"/>
      <c r="F586" s="251"/>
      <c r="G586" s="251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</row>
    <row r="587">
      <c r="A587" s="251"/>
      <c r="B587" s="251"/>
      <c r="C587" s="251"/>
      <c r="D587" s="251"/>
      <c r="E587" s="251"/>
      <c r="F587" s="251"/>
      <c r="G587" s="251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</row>
    <row r="588">
      <c r="A588" s="251"/>
      <c r="B588" s="251"/>
      <c r="C588" s="251"/>
      <c r="D588" s="251"/>
      <c r="E588" s="251"/>
      <c r="F588" s="251"/>
      <c r="G588" s="251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</row>
    <row r="589">
      <c r="A589" s="251"/>
      <c r="B589" s="251"/>
      <c r="C589" s="251"/>
      <c r="D589" s="251"/>
      <c r="E589" s="251"/>
      <c r="F589" s="251"/>
      <c r="G589" s="251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</row>
    <row r="590">
      <c r="A590" s="251"/>
      <c r="B590" s="251"/>
      <c r="C590" s="251"/>
      <c r="D590" s="251"/>
      <c r="E590" s="251"/>
      <c r="F590" s="251"/>
      <c r="G590" s="251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</row>
    <row r="591">
      <c r="A591" s="251"/>
      <c r="B591" s="251"/>
      <c r="C591" s="251"/>
      <c r="D591" s="251"/>
      <c r="E591" s="251"/>
      <c r="F591" s="251"/>
      <c r="G591" s="251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</row>
    <row r="592">
      <c r="A592" s="251"/>
      <c r="B592" s="251"/>
      <c r="C592" s="251"/>
      <c r="D592" s="251"/>
      <c r="E592" s="251"/>
      <c r="F592" s="251"/>
      <c r="G592" s="251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</row>
    <row r="593">
      <c r="A593" s="251"/>
      <c r="B593" s="251"/>
      <c r="C593" s="251"/>
      <c r="D593" s="251"/>
      <c r="E593" s="251"/>
      <c r="F593" s="251"/>
      <c r="G593" s="251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</row>
    <row r="594">
      <c r="A594" s="251"/>
      <c r="B594" s="251"/>
      <c r="C594" s="251"/>
      <c r="D594" s="251"/>
      <c r="E594" s="251"/>
      <c r="F594" s="251"/>
      <c r="G594" s="251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</row>
    <row r="595">
      <c r="A595" s="251"/>
      <c r="B595" s="251"/>
      <c r="C595" s="251"/>
      <c r="D595" s="251"/>
      <c r="E595" s="251"/>
      <c r="F595" s="251"/>
      <c r="G595" s="251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</row>
    <row r="596">
      <c r="A596" s="251"/>
      <c r="B596" s="251"/>
      <c r="C596" s="251"/>
      <c r="D596" s="251"/>
      <c r="E596" s="251"/>
      <c r="F596" s="251"/>
      <c r="G596" s="251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</row>
    <row r="597">
      <c r="A597" s="251"/>
      <c r="B597" s="251"/>
      <c r="C597" s="251"/>
      <c r="D597" s="251"/>
      <c r="E597" s="251"/>
      <c r="F597" s="251"/>
      <c r="G597" s="251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</row>
    <row r="598">
      <c r="A598" s="251"/>
      <c r="B598" s="251"/>
      <c r="C598" s="251"/>
      <c r="D598" s="251"/>
      <c r="E598" s="251"/>
      <c r="F598" s="251"/>
      <c r="G598" s="251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</row>
    <row r="599">
      <c r="A599" s="251"/>
      <c r="B599" s="251"/>
      <c r="C599" s="251"/>
      <c r="D599" s="251"/>
      <c r="E599" s="251"/>
      <c r="F599" s="251"/>
      <c r="G599" s="251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</row>
    <row r="600">
      <c r="A600" s="251"/>
      <c r="B600" s="251"/>
      <c r="C600" s="251"/>
      <c r="D600" s="251"/>
      <c r="E600" s="251"/>
      <c r="F600" s="251"/>
      <c r="G600" s="251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</row>
    <row r="601">
      <c r="A601" s="251"/>
      <c r="B601" s="251"/>
      <c r="C601" s="251"/>
      <c r="D601" s="251"/>
      <c r="E601" s="251"/>
      <c r="F601" s="251"/>
      <c r="G601" s="251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</row>
    <row r="602">
      <c r="A602" s="251"/>
      <c r="B602" s="251"/>
      <c r="C602" s="251"/>
      <c r="D602" s="251"/>
      <c r="E602" s="251"/>
      <c r="F602" s="251"/>
      <c r="G602" s="251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</row>
    <row r="603">
      <c r="A603" s="251"/>
      <c r="B603" s="251"/>
      <c r="C603" s="251"/>
      <c r="D603" s="251"/>
      <c r="E603" s="251"/>
      <c r="F603" s="251"/>
      <c r="G603" s="251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</row>
    <row r="604">
      <c r="A604" s="251"/>
      <c r="B604" s="251"/>
      <c r="C604" s="251"/>
      <c r="D604" s="251"/>
      <c r="E604" s="251"/>
      <c r="F604" s="251"/>
      <c r="G604" s="251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</row>
    <row r="605">
      <c r="A605" s="251"/>
      <c r="B605" s="251"/>
      <c r="C605" s="251"/>
      <c r="D605" s="251"/>
      <c r="E605" s="251"/>
      <c r="F605" s="251"/>
      <c r="G605" s="251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</row>
    <row r="606">
      <c r="A606" s="251"/>
      <c r="B606" s="251"/>
      <c r="C606" s="251"/>
      <c r="D606" s="251"/>
      <c r="E606" s="251"/>
      <c r="F606" s="251"/>
      <c r="G606" s="251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</row>
    <row r="607">
      <c r="A607" s="251"/>
      <c r="B607" s="251"/>
      <c r="C607" s="251"/>
      <c r="D607" s="251"/>
      <c r="E607" s="251"/>
      <c r="F607" s="251"/>
      <c r="G607" s="251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</row>
    <row r="608">
      <c r="A608" s="251"/>
      <c r="B608" s="251"/>
      <c r="C608" s="251"/>
      <c r="D608" s="251"/>
      <c r="E608" s="251"/>
      <c r="F608" s="251"/>
      <c r="G608" s="251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</row>
    <row r="609">
      <c r="A609" s="251"/>
      <c r="B609" s="251"/>
      <c r="C609" s="251"/>
      <c r="D609" s="251"/>
      <c r="E609" s="251"/>
      <c r="F609" s="251"/>
      <c r="G609" s="251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</row>
    <row r="610">
      <c r="A610" s="251"/>
      <c r="B610" s="251"/>
      <c r="C610" s="251"/>
      <c r="D610" s="251"/>
      <c r="E610" s="251"/>
      <c r="F610" s="251"/>
      <c r="G610" s="251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</row>
    <row r="611">
      <c r="A611" s="251"/>
      <c r="B611" s="251"/>
      <c r="C611" s="251"/>
      <c r="D611" s="251"/>
      <c r="E611" s="251"/>
      <c r="F611" s="251"/>
      <c r="G611" s="251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</row>
    <row r="612">
      <c r="A612" s="251"/>
      <c r="B612" s="251"/>
      <c r="C612" s="251"/>
      <c r="D612" s="251"/>
      <c r="E612" s="251"/>
      <c r="F612" s="251"/>
      <c r="G612" s="251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</row>
    <row r="613">
      <c r="A613" s="251"/>
      <c r="B613" s="251"/>
      <c r="C613" s="251"/>
      <c r="D613" s="251"/>
      <c r="E613" s="251"/>
      <c r="F613" s="251"/>
      <c r="G613" s="251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</row>
    <row r="614">
      <c r="A614" s="251"/>
      <c r="B614" s="251"/>
      <c r="C614" s="251"/>
      <c r="D614" s="251"/>
      <c r="E614" s="251"/>
      <c r="F614" s="251"/>
      <c r="G614" s="251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</row>
    <row r="615">
      <c r="A615" s="251"/>
      <c r="B615" s="251"/>
      <c r="C615" s="251"/>
      <c r="D615" s="251"/>
      <c r="E615" s="251"/>
      <c r="F615" s="251"/>
      <c r="G615" s="251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</row>
    <row r="616">
      <c r="A616" s="251"/>
      <c r="B616" s="251"/>
      <c r="C616" s="251"/>
      <c r="D616" s="251"/>
      <c r="E616" s="251"/>
      <c r="F616" s="251"/>
      <c r="G616" s="251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</row>
    <row r="617">
      <c r="A617" s="251"/>
      <c r="B617" s="251"/>
      <c r="C617" s="251"/>
      <c r="D617" s="251"/>
      <c r="E617" s="251"/>
      <c r="F617" s="251"/>
      <c r="G617" s="251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</row>
    <row r="618">
      <c r="A618" s="251"/>
      <c r="B618" s="251"/>
      <c r="C618" s="251"/>
      <c r="D618" s="251"/>
      <c r="E618" s="251"/>
      <c r="F618" s="251"/>
      <c r="G618" s="251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</row>
    <row r="619">
      <c r="A619" s="251"/>
      <c r="B619" s="251"/>
      <c r="C619" s="251"/>
      <c r="D619" s="251"/>
      <c r="E619" s="251"/>
      <c r="F619" s="251"/>
      <c r="G619" s="251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</row>
    <row r="620">
      <c r="A620" s="251"/>
      <c r="B620" s="251"/>
      <c r="C620" s="251"/>
      <c r="D620" s="251"/>
      <c r="E620" s="251"/>
      <c r="F620" s="251"/>
      <c r="G620" s="251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</row>
    <row r="621">
      <c r="A621" s="251"/>
      <c r="B621" s="251"/>
      <c r="C621" s="251"/>
      <c r="D621" s="251"/>
      <c r="E621" s="251"/>
      <c r="F621" s="251"/>
      <c r="G621" s="251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</row>
    <row r="622">
      <c r="A622" s="251"/>
      <c r="B622" s="251"/>
      <c r="C622" s="251"/>
      <c r="D622" s="251"/>
      <c r="E622" s="251"/>
      <c r="F622" s="251"/>
      <c r="G622" s="251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</row>
    <row r="623">
      <c r="A623" s="251"/>
      <c r="B623" s="251"/>
      <c r="C623" s="251"/>
      <c r="D623" s="251"/>
      <c r="E623" s="251"/>
      <c r="F623" s="251"/>
      <c r="G623" s="251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</row>
    <row r="624">
      <c r="A624" s="251"/>
      <c r="B624" s="251"/>
      <c r="C624" s="251"/>
      <c r="D624" s="251"/>
      <c r="E624" s="251"/>
      <c r="F624" s="251"/>
      <c r="G624" s="251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</row>
    <row r="625">
      <c r="A625" s="251"/>
      <c r="B625" s="251"/>
      <c r="C625" s="251"/>
      <c r="D625" s="251"/>
      <c r="E625" s="251"/>
      <c r="F625" s="251"/>
      <c r="G625" s="251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</row>
    <row r="626">
      <c r="A626" s="251"/>
      <c r="B626" s="251"/>
      <c r="C626" s="251"/>
      <c r="D626" s="251"/>
      <c r="E626" s="251"/>
      <c r="F626" s="251"/>
      <c r="G626" s="251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</row>
    <row r="627">
      <c r="A627" s="251"/>
      <c r="B627" s="251"/>
      <c r="C627" s="251"/>
      <c r="D627" s="251"/>
      <c r="E627" s="251"/>
      <c r="F627" s="251"/>
      <c r="G627" s="251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</row>
    <row r="628">
      <c r="A628" s="251"/>
      <c r="B628" s="251"/>
      <c r="C628" s="251"/>
      <c r="D628" s="251"/>
      <c r="E628" s="251"/>
      <c r="F628" s="251"/>
      <c r="G628" s="251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</row>
    <row r="629">
      <c r="A629" s="251"/>
      <c r="B629" s="251"/>
      <c r="C629" s="251"/>
      <c r="D629" s="251"/>
      <c r="E629" s="251"/>
      <c r="F629" s="251"/>
      <c r="G629" s="251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</row>
    <row r="630">
      <c r="A630" s="251"/>
      <c r="B630" s="251"/>
      <c r="C630" s="251"/>
      <c r="D630" s="251"/>
      <c r="E630" s="251"/>
      <c r="F630" s="251"/>
      <c r="G630" s="251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</row>
    <row r="631">
      <c r="A631" s="251"/>
      <c r="B631" s="251"/>
      <c r="C631" s="251"/>
      <c r="D631" s="251"/>
      <c r="E631" s="251"/>
      <c r="F631" s="251"/>
      <c r="G631" s="251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</row>
    <row r="632">
      <c r="A632" s="251"/>
      <c r="B632" s="251"/>
      <c r="C632" s="251"/>
      <c r="D632" s="251"/>
      <c r="E632" s="251"/>
      <c r="F632" s="251"/>
      <c r="G632" s="251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</row>
    <row r="633">
      <c r="A633" s="251"/>
      <c r="B633" s="251"/>
      <c r="C633" s="251"/>
      <c r="D633" s="251"/>
      <c r="E633" s="251"/>
      <c r="F633" s="251"/>
      <c r="G633" s="251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</row>
    <row r="634">
      <c r="A634" s="251"/>
      <c r="B634" s="251"/>
      <c r="C634" s="251"/>
      <c r="D634" s="251"/>
      <c r="E634" s="251"/>
      <c r="F634" s="251"/>
      <c r="G634" s="251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</row>
    <row r="635">
      <c r="A635" s="251"/>
      <c r="B635" s="251"/>
      <c r="C635" s="251"/>
      <c r="D635" s="251"/>
      <c r="E635" s="251"/>
      <c r="F635" s="251"/>
      <c r="G635" s="251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</row>
    <row r="636">
      <c r="A636" s="251"/>
      <c r="B636" s="251"/>
      <c r="C636" s="251"/>
      <c r="D636" s="251"/>
      <c r="E636" s="251"/>
      <c r="F636" s="251"/>
      <c r="G636" s="251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</row>
    <row r="637">
      <c r="A637" s="251"/>
      <c r="B637" s="251"/>
      <c r="C637" s="251"/>
      <c r="D637" s="251"/>
      <c r="E637" s="251"/>
      <c r="F637" s="251"/>
      <c r="G637" s="251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</row>
    <row r="638">
      <c r="A638" s="251"/>
      <c r="B638" s="251"/>
      <c r="C638" s="251"/>
      <c r="D638" s="251"/>
      <c r="E638" s="251"/>
      <c r="F638" s="251"/>
      <c r="G638" s="251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</row>
    <row r="639">
      <c r="A639" s="251"/>
      <c r="B639" s="251"/>
      <c r="C639" s="251"/>
      <c r="D639" s="251"/>
      <c r="E639" s="251"/>
      <c r="F639" s="251"/>
      <c r="G639" s="251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</row>
    <row r="640">
      <c r="A640" s="251"/>
      <c r="B640" s="251"/>
      <c r="C640" s="251"/>
      <c r="D640" s="251"/>
      <c r="E640" s="251"/>
      <c r="F640" s="251"/>
      <c r="G640" s="251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</row>
    <row r="641">
      <c r="A641" s="251"/>
      <c r="B641" s="251"/>
      <c r="C641" s="251"/>
      <c r="D641" s="251"/>
      <c r="E641" s="251"/>
      <c r="F641" s="251"/>
      <c r="G641" s="251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</row>
    <row r="642">
      <c r="A642" s="251"/>
      <c r="B642" s="251"/>
      <c r="C642" s="251"/>
      <c r="D642" s="251"/>
      <c r="E642" s="251"/>
      <c r="F642" s="251"/>
      <c r="G642" s="251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</row>
    <row r="643">
      <c r="A643" s="251"/>
      <c r="B643" s="251"/>
      <c r="C643" s="251"/>
      <c r="D643" s="251"/>
      <c r="E643" s="251"/>
      <c r="F643" s="251"/>
      <c r="G643" s="251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</row>
    <row r="644">
      <c r="A644" s="251"/>
      <c r="B644" s="251"/>
      <c r="C644" s="251"/>
      <c r="D644" s="251"/>
      <c r="E644" s="251"/>
      <c r="F644" s="251"/>
      <c r="G644" s="251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</row>
    <row r="645">
      <c r="A645" s="251"/>
      <c r="B645" s="251"/>
      <c r="C645" s="251"/>
      <c r="D645" s="251"/>
      <c r="E645" s="251"/>
      <c r="F645" s="251"/>
      <c r="G645" s="251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</row>
    <row r="646">
      <c r="A646" s="251"/>
      <c r="B646" s="251"/>
      <c r="C646" s="251"/>
      <c r="D646" s="251"/>
      <c r="E646" s="251"/>
      <c r="F646" s="251"/>
      <c r="G646" s="251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</row>
    <row r="647">
      <c r="A647" s="251"/>
      <c r="B647" s="251"/>
      <c r="C647" s="251"/>
      <c r="D647" s="251"/>
      <c r="E647" s="251"/>
      <c r="F647" s="251"/>
      <c r="G647" s="251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</row>
    <row r="648">
      <c r="A648" s="251"/>
      <c r="B648" s="251"/>
      <c r="C648" s="251"/>
      <c r="D648" s="251"/>
      <c r="E648" s="251"/>
      <c r="F648" s="251"/>
      <c r="G648" s="251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</row>
    <row r="649">
      <c r="A649" s="251"/>
      <c r="B649" s="251"/>
      <c r="C649" s="251"/>
      <c r="D649" s="251"/>
      <c r="E649" s="251"/>
      <c r="F649" s="251"/>
      <c r="G649" s="251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</row>
    <row r="650">
      <c r="A650" s="251"/>
      <c r="B650" s="251"/>
      <c r="C650" s="251"/>
      <c r="D650" s="251"/>
      <c r="E650" s="251"/>
      <c r="F650" s="251"/>
      <c r="G650" s="251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</row>
    <row r="651">
      <c r="A651" s="251"/>
      <c r="B651" s="251"/>
      <c r="C651" s="251"/>
      <c r="D651" s="251"/>
      <c r="E651" s="251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</row>
    <row r="652">
      <c r="A652" s="251"/>
      <c r="B652" s="251"/>
      <c r="C652" s="251"/>
      <c r="D652" s="251"/>
      <c r="E652" s="251"/>
      <c r="F652" s="251"/>
      <c r="G652" s="251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</row>
    <row r="653">
      <c r="A653" s="251"/>
      <c r="B653" s="251"/>
      <c r="C653" s="251"/>
      <c r="D653" s="251"/>
      <c r="E653" s="251"/>
      <c r="F653" s="251"/>
      <c r="G653" s="251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</row>
    <row r="654">
      <c r="A654" s="251"/>
      <c r="B654" s="251"/>
      <c r="C654" s="251"/>
      <c r="D654" s="251"/>
      <c r="E654" s="251"/>
      <c r="F654" s="251"/>
      <c r="G654" s="251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</row>
    <row r="655">
      <c r="A655" s="251"/>
      <c r="B655" s="251"/>
      <c r="C655" s="251"/>
      <c r="D655" s="251"/>
      <c r="E655" s="251"/>
      <c r="F655" s="251"/>
      <c r="G655" s="251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</row>
    <row r="656">
      <c r="A656" s="251"/>
      <c r="B656" s="251"/>
      <c r="C656" s="251"/>
      <c r="D656" s="251"/>
      <c r="E656" s="251"/>
      <c r="F656" s="251"/>
      <c r="G656" s="251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</row>
    <row r="657">
      <c r="A657" s="251"/>
      <c r="B657" s="251"/>
      <c r="C657" s="251"/>
      <c r="D657" s="251"/>
      <c r="E657" s="251"/>
      <c r="F657" s="251"/>
      <c r="G657" s="251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</row>
    <row r="658">
      <c r="A658" s="251"/>
      <c r="B658" s="251"/>
      <c r="C658" s="251"/>
      <c r="D658" s="251"/>
      <c r="E658" s="251"/>
      <c r="F658" s="251"/>
      <c r="G658" s="251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</row>
    <row r="659">
      <c r="A659" s="251"/>
      <c r="B659" s="251"/>
      <c r="C659" s="251"/>
      <c r="D659" s="251"/>
      <c r="E659" s="251"/>
      <c r="F659" s="251"/>
      <c r="G659" s="251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</row>
    <row r="660">
      <c r="A660" s="251"/>
      <c r="B660" s="251"/>
      <c r="C660" s="251"/>
      <c r="D660" s="251"/>
      <c r="E660" s="251"/>
      <c r="F660" s="251"/>
      <c r="G660" s="251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</row>
    <row r="661">
      <c r="A661" s="251"/>
      <c r="B661" s="251"/>
      <c r="C661" s="251"/>
      <c r="D661" s="251"/>
      <c r="E661" s="251"/>
      <c r="F661" s="251"/>
      <c r="G661" s="251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</row>
    <row r="662">
      <c r="A662" s="251"/>
      <c r="B662" s="251"/>
      <c r="C662" s="251"/>
      <c r="D662" s="251"/>
      <c r="E662" s="251"/>
      <c r="F662" s="251"/>
      <c r="G662" s="251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</row>
    <row r="663">
      <c r="A663" s="251"/>
      <c r="B663" s="251"/>
      <c r="C663" s="251"/>
      <c r="D663" s="251"/>
      <c r="E663" s="251"/>
      <c r="F663" s="251"/>
      <c r="G663" s="251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</row>
    <row r="664">
      <c r="A664" s="251"/>
      <c r="B664" s="251"/>
      <c r="C664" s="251"/>
      <c r="D664" s="251"/>
      <c r="E664" s="251"/>
      <c r="F664" s="251"/>
      <c r="G664" s="251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</row>
    <row r="665">
      <c r="A665" s="251"/>
      <c r="B665" s="251"/>
      <c r="C665" s="251"/>
      <c r="D665" s="251"/>
      <c r="E665" s="251"/>
      <c r="F665" s="251"/>
      <c r="G665" s="251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</row>
    <row r="666">
      <c r="A666" s="251"/>
      <c r="B666" s="251"/>
      <c r="C666" s="251"/>
      <c r="D666" s="251"/>
      <c r="E666" s="251"/>
      <c r="F666" s="251"/>
      <c r="G666" s="251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</row>
    <row r="667">
      <c r="A667" s="251"/>
      <c r="B667" s="251"/>
      <c r="C667" s="251"/>
      <c r="D667" s="251"/>
      <c r="E667" s="251"/>
      <c r="F667" s="251"/>
      <c r="G667" s="251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</row>
    <row r="668">
      <c r="A668" s="251"/>
      <c r="B668" s="251"/>
      <c r="C668" s="251"/>
      <c r="D668" s="251"/>
      <c r="E668" s="251"/>
      <c r="F668" s="251"/>
      <c r="G668" s="251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</row>
    <row r="669">
      <c r="A669" s="251"/>
      <c r="B669" s="251"/>
      <c r="C669" s="251"/>
      <c r="D669" s="251"/>
      <c r="E669" s="251"/>
      <c r="F669" s="251"/>
      <c r="G669" s="251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</row>
    <row r="670">
      <c r="A670" s="251"/>
      <c r="B670" s="251"/>
      <c r="C670" s="251"/>
      <c r="D670" s="251"/>
      <c r="E670" s="251"/>
      <c r="F670" s="251"/>
      <c r="G670" s="251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</row>
    <row r="671">
      <c r="A671" s="251"/>
      <c r="B671" s="251"/>
      <c r="C671" s="251"/>
      <c r="D671" s="251"/>
      <c r="E671" s="251"/>
      <c r="F671" s="251"/>
      <c r="G671" s="251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</row>
    <row r="672">
      <c r="A672" s="251"/>
      <c r="B672" s="251"/>
      <c r="C672" s="251"/>
      <c r="D672" s="251"/>
      <c r="E672" s="251"/>
      <c r="F672" s="251"/>
      <c r="G672" s="251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</row>
    <row r="673">
      <c r="A673" s="251"/>
      <c r="B673" s="251"/>
      <c r="C673" s="251"/>
      <c r="D673" s="251"/>
      <c r="E673" s="251"/>
      <c r="F673" s="251"/>
      <c r="G673" s="251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</row>
    <row r="674">
      <c r="A674" s="251"/>
      <c r="B674" s="251"/>
      <c r="C674" s="251"/>
      <c r="D674" s="251"/>
      <c r="E674" s="251"/>
      <c r="F674" s="251"/>
      <c r="G674" s="251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</row>
    <row r="675">
      <c r="A675" s="251"/>
      <c r="B675" s="251"/>
      <c r="C675" s="251"/>
      <c r="D675" s="251"/>
      <c r="E675" s="251"/>
      <c r="F675" s="251"/>
      <c r="G675" s="251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</row>
    <row r="676">
      <c r="A676" s="251"/>
      <c r="B676" s="251"/>
      <c r="C676" s="251"/>
      <c r="D676" s="251"/>
      <c r="E676" s="251"/>
      <c r="F676" s="251"/>
      <c r="G676" s="251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</row>
    <row r="677">
      <c r="A677" s="251"/>
      <c r="B677" s="251"/>
      <c r="C677" s="251"/>
      <c r="D677" s="251"/>
      <c r="E677" s="251"/>
      <c r="F677" s="251"/>
      <c r="G677" s="251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</row>
    <row r="678">
      <c r="A678" s="251"/>
      <c r="B678" s="251"/>
      <c r="C678" s="251"/>
      <c r="D678" s="251"/>
      <c r="E678" s="251"/>
      <c r="F678" s="251"/>
      <c r="G678" s="251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</row>
    <row r="679">
      <c r="A679" s="251"/>
      <c r="B679" s="251"/>
      <c r="C679" s="251"/>
      <c r="D679" s="251"/>
      <c r="E679" s="251"/>
      <c r="F679" s="251"/>
      <c r="G679" s="251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</row>
    <row r="680">
      <c r="A680" s="251"/>
      <c r="B680" s="251"/>
      <c r="C680" s="251"/>
      <c r="D680" s="251"/>
      <c r="E680" s="251"/>
      <c r="F680" s="251"/>
      <c r="G680" s="251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</row>
    <row r="681">
      <c r="A681" s="251"/>
      <c r="B681" s="251"/>
      <c r="C681" s="251"/>
      <c r="D681" s="251"/>
      <c r="E681" s="251"/>
      <c r="F681" s="251"/>
      <c r="G681" s="251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</row>
    <row r="682">
      <c r="A682" s="251"/>
      <c r="B682" s="251"/>
      <c r="C682" s="251"/>
      <c r="D682" s="251"/>
      <c r="E682" s="251"/>
      <c r="F682" s="251"/>
      <c r="G682" s="251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</row>
    <row r="683">
      <c r="A683" s="251"/>
      <c r="B683" s="251"/>
      <c r="C683" s="251"/>
      <c r="D683" s="251"/>
      <c r="E683" s="251"/>
      <c r="F683" s="251"/>
      <c r="G683" s="251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</row>
    <row r="684">
      <c r="A684" s="251"/>
      <c r="B684" s="251"/>
      <c r="C684" s="251"/>
      <c r="D684" s="251"/>
      <c r="E684" s="251"/>
      <c r="F684" s="251"/>
      <c r="G684" s="251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</row>
    <row r="685">
      <c r="A685" s="251"/>
      <c r="B685" s="251"/>
      <c r="C685" s="251"/>
      <c r="D685" s="251"/>
      <c r="E685" s="251"/>
      <c r="F685" s="251"/>
      <c r="G685" s="251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</row>
    <row r="686">
      <c r="A686" s="251"/>
      <c r="B686" s="251"/>
      <c r="C686" s="251"/>
      <c r="D686" s="251"/>
      <c r="E686" s="251"/>
      <c r="F686" s="251"/>
      <c r="G686" s="251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</row>
    <row r="687">
      <c r="A687" s="251"/>
      <c r="B687" s="251"/>
      <c r="C687" s="251"/>
      <c r="D687" s="251"/>
      <c r="E687" s="251"/>
      <c r="F687" s="251"/>
      <c r="G687" s="251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</row>
    <row r="688">
      <c r="A688" s="251"/>
      <c r="B688" s="251"/>
      <c r="C688" s="251"/>
      <c r="D688" s="251"/>
      <c r="E688" s="251"/>
      <c r="F688" s="251"/>
      <c r="G688" s="251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</row>
    <row r="689">
      <c r="A689" s="251"/>
      <c r="B689" s="251"/>
      <c r="C689" s="251"/>
      <c r="D689" s="251"/>
      <c r="E689" s="251"/>
      <c r="F689" s="251"/>
      <c r="G689" s="251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</row>
    <row r="690">
      <c r="A690" s="251"/>
      <c r="B690" s="251"/>
      <c r="C690" s="251"/>
      <c r="D690" s="251"/>
      <c r="E690" s="251"/>
      <c r="F690" s="251"/>
      <c r="G690" s="251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</row>
    <row r="691">
      <c r="A691" s="251"/>
      <c r="B691" s="251"/>
      <c r="C691" s="251"/>
      <c r="D691" s="251"/>
      <c r="E691" s="251"/>
      <c r="F691" s="251"/>
      <c r="G691" s="251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</row>
    <row r="692">
      <c r="A692" s="251"/>
      <c r="B692" s="251"/>
      <c r="C692" s="251"/>
      <c r="D692" s="251"/>
      <c r="E692" s="251"/>
      <c r="F692" s="251"/>
      <c r="G692" s="251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</row>
    <row r="693">
      <c r="A693" s="251"/>
      <c r="B693" s="251"/>
      <c r="C693" s="251"/>
      <c r="D693" s="251"/>
      <c r="E693" s="251"/>
      <c r="F693" s="251"/>
      <c r="G693" s="251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</row>
    <row r="694">
      <c r="A694" s="251"/>
      <c r="B694" s="251"/>
      <c r="C694" s="251"/>
      <c r="D694" s="251"/>
      <c r="E694" s="251"/>
      <c r="F694" s="251"/>
      <c r="G694" s="251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</row>
    <row r="695">
      <c r="A695" s="251"/>
      <c r="B695" s="251"/>
      <c r="C695" s="251"/>
      <c r="D695" s="251"/>
      <c r="E695" s="251"/>
      <c r="F695" s="251"/>
      <c r="G695" s="251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</row>
    <row r="696">
      <c r="A696" s="251"/>
      <c r="B696" s="251"/>
      <c r="C696" s="251"/>
      <c r="D696" s="251"/>
      <c r="E696" s="251"/>
      <c r="F696" s="251"/>
      <c r="G696" s="251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</row>
    <row r="697">
      <c r="A697" s="251"/>
      <c r="B697" s="251"/>
      <c r="C697" s="251"/>
      <c r="D697" s="251"/>
      <c r="E697" s="251"/>
      <c r="F697" s="251"/>
      <c r="G697" s="251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</row>
    <row r="698">
      <c r="A698" s="251"/>
      <c r="B698" s="251"/>
      <c r="C698" s="251"/>
      <c r="D698" s="251"/>
      <c r="E698" s="251"/>
      <c r="F698" s="251"/>
      <c r="G698" s="251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</row>
    <row r="699">
      <c r="A699" s="251"/>
      <c r="B699" s="251"/>
      <c r="C699" s="251"/>
      <c r="D699" s="251"/>
      <c r="E699" s="251"/>
      <c r="F699" s="251"/>
      <c r="G699" s="251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</row>
    <row r="700">
      <c r="A700" s="251"/>
      <c r="B700" s="251"/>
      <c r="C700" s="251"/>
      <c r="D700" s="251"/>
      <c r="E700" s="251"/>
      <c r="F700" s="251"/>
      <c r="G700" s="251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</row>
    <row r="701">
      <c r="A701" s="251"/>
      <c r="B701" s="251"/>
      <c r="C701" s="251"/>
      <c r="D701" s="251"/>
      <c r="E701" s="251"/>
      <c r="F701" s="251"/>
      <c r="G701" s="251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</row>
    <row r="702">
      <c r="A702" s="251"/>
      <c r="B702" s="251"/>
      <c r="C702" s="251"/>
      <c r="D702" s="251"/>
      <c r="E702" s="251"/>
      <c r="F702" s="251"/>
      <c r="G702" s="251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</row>
    <row r="703">
      <c r="A703" s="251"/>
      <c r="B703" s="251"/>
      <c r="C703" s="251"/>
      <c r="D703" s="251"/>
      <c r="E703" s="251"/>
      <c r="F703" s="251"/>
      <c r="G703" s="251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</row>
    <row r="704">
      <c r="A704" s="251"/>
      <c r="B704" s="251"/>
      <c r="C704" s="251"/>
      <c r="D704" s="251"/>
      <c r="E704" s="251"/>
      <c r="F704" s="251"/>
      <c r="G704" s="251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</row>
    <row r="705">
      <c r="A705" s="251"/>
      <c r="B705" s="251"/>
      <c r="C705" s="251"/>
      <c r="D705" s="251"/>
      <c r="E705" s="251"/>
      <c r="F705" s="251"/>
      <c r="G705" s="251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</row>
    <row r="706">
      <c r="A706" s="251"/>
      <c r="B706" s="251"/>
      <c r="C706" s="251"/>
      <c r="D706" s="251"/>
      <c r="E706" s="251"/>
      <c r="F706" s="251"/>
      <c r="G706" s="251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</row>
    <row r="707">
      <c r="A707" s="251"/>
      <c r="B707" s="251"/>
      <c r="C707" s="251"/>
      <c r="D707" s="251"/>
      <c r="E707" s="251"/>
      <c r="F707" s="251"/>
      <c r="G707" s="251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</row>
    <row r="708">
      <c r="A708" s="251"/>
      <c r="B708" s="251"/>
      <c r="C708" s="251"/>
      <c r="D708" s="251"/>
      <c r="E708" s="251"/>
      <c r="F708" s="251"/>
      <c r="G708" s="251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</row>
    <row r="709">
      <c r="A709" s="251"/>
      <c r="B709" s="251"/>
      <c r="C709" s="251"/>
      <c r="D709" s="251"/>
      <c r="E709" s="251"/>
      <c r="F709" s="251"/>
      <c r="G709" s="251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</row>
    <row r="710">
      <c r="A710" s="251"/>
      <c r="B710" s="251"/>
      <c r="C710" s="251"/>
      <c r="D710" s="251"/>
      <c r="E710" s="251"/>
      <c r="F710" s="251"/>
      <c r="G710" s="251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</row>
    <row r="711">
      <c r="A711" s="251"/>
      <c r="B711" s="251"/>
      <c r="C711" s="251"/>
      <c r="D711" s="251"/>
      <c r="E711" s="251"/>
      <c r="F711" s="251"/>
      <c r="G711" s="251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</row>
    <row r="712">
      <c r="A712" s="251"/>
      <c r="B712" s="251"/>
      <c r="C712" s="251"/>
      <c r="D712" s="251"/>
      <c r="E712" s="251"/>
      <c r="F712" s="251"/>
      <c r="G712" s="251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</row>
    <row r="713">
      <c r="A713" s="251"/>
      <c r="B713" s="251"/>
      <c r="C713" s="251"/>
      <c r="D713" s="251"/>
      <c r="E713" s="251"/>
      <c r="F713" s="251"/>
      <c r="G713" s="251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</row>
    <row r="714">
      <c r="A714" s="251"/>
      <c r="B714" s="251"/>
      <c r="C714" s="251"/>
      <c r="D714" s="251"/>
      <c r="E714" s="251"/>
      <c r="F714" s="251"/>
      <c r="G714" s="251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</row>
    <row r="715">
      <c r="A715" s="251"/>
      <c r="B715" s="251"/>
      <c r="C715" s="251"/>
      <c r="D715" s="251"/>
      <c r="E715" s="251"/>
      <c r="F715" s="251"/>
      <c r="G715" s="251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</row>
    <row r="716">
      <c r="A716" s="251"/>
      <c r="B716" s="251"/>
      <c r="C716" s="251"/>
      <c r="D716" s="251"/>
      <c r="E716" s="251"/>
      <c r="F716" s="251"/>
      <c r="G716" s="251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</row>
    <row r="717">
      <c r="A717" s="251"/>
      <c r="B717" s="251"/>
      <c r="C717" s="251"/>
      <c r="D717" s="251"/>
      <c r="E717" s="251"/>
      <c r="F717" s="251"/>
      <c r="G717" s="251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</row>
    <row r="718">
      <c r="A718" s="251"/>
      <c r="B718" s="251"/>
      <c r="C718" s="251"/>
      <c r="D718" s="251"/>
      <c r="E718" s="251"/>
      <c r="F718" s="251"/>
      <c r="G718" s="251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</row>
    <row r="719">
      <c r="A719" s="251"/>
      <c r="B719" s="251"/>
      <c r="C719" s="251"/>
      <c r="D719" s="251"/>
      <c r="E719" s="251"/>
      <c r="F719" s="251"/>
      <c r="G719" s="251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</row>
    <row r="720">
      <c r="A720" s="251"/>
      <c r="B720" s="251"/>
      <c r="C720" s="251"/>
      <c r="D720" s="251"/>
      <c r="E720" s="251"/>
      <c r="F720" s="251"/>
      <c r="G720" s="251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</row>
    <row r="721">
      <c r="A721" s="251"/>
      <c r="B721" s="251"/>
      <c r="C721" s="251"/>
      <c r="D721" s="251"/>
      <c r="E721" s="251"/>
      <c r="F721" s="251"/>
      <c r="G721" s="251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</row>
    <row r="722">
      <c r="A722" s="251"/>
      <c r="B722" s="251"/>
      <c r="C722" s="251"/>
      <c r="D722" s="251"/>
      <c r="E722" s="251"/>
      <c r="F722" s="251"/>
      <c r="G722" s="251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</row>
    <row r="723">
      <c r="A723" s="251"/>
      <c r="B723" s="251"/>
      <c r="C723" s="251"/>
      <c r="D723" s="251"/>
      <c r="E723" s="251"/>
      <c r="F723" s="251"/>
      <c r="G723" s="251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</row>
    <row r="724">
      <c r="A724" s="251"/>
      <c r="B724" s="251"/>
      <c r="C724" s="251"/>
      <c r="D724" s="251"/>
      <c r="E724" s="251"/>
      <c r="F724" s="251"/>
      <c r="G724" s="251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</row>
    <row r="725">
      <c r="A725" s="251"/>
      <c r="B725" s="251"/>
      <c r="C725" s="251"/>
      <c r="D725" s="251"/>
      <c r="E725" s="251"/>
      <c r="F725" s="251"/>
      <c r="G725" s="251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</row>
    <row r="726">
      <c r="A726" s="251"/>
      <c r="B726" s="251"/>
      <c r="C726" s="251"/>
      <c r="D726" s="251"/>
      <c r="E726" s="251"/>
      <c r="F726" s="251"/>
      <c r="G726" s="251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</row>
    <row r="727">
      <c r="A727" s="251"/>
      <c r="B727" s="251"/>
      <c r="C727" s="251"/>
      <c r="D727" s="251"/>
      <c r="E727" s="251"/>
      <c r="F727" s="251"/>
      <c r="G727" s="251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</row>
    <row r="728">
      <c r="A728" s="251"/>
      <c r="B728" s="251"/>
      <c r="C728" s="251"/>
      <c r="D728" s="251"/>
      <c r="E728" s="251"/>
      <c r="F728" s="251"/>
      <c r="G728" s="251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</row>
    <row r="729">
      <c r="A729" s="251"/>
      <c r="B729" s="251"/>
      <c r="C729" s="251"/>
      <c r="D729" s="251"/>
      <c r="E729" s="251"/>
      <c r="F729" s="251"/>
      <c r="G729" s="251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</row>
    <row r="730">
      <c r="A730" s="251"/>
      <c r="B730" s="251"/>
      <c r="C730" s="251"/>
      <c r="D730" s="251"/>
      <c r="E730" s="251"/>
      <c r="F730" s="251"/>
      <c r="G730" s="251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</row>
    <row r="731">
      <c r="A731" s="251"/>
      <c r="B731" s="251"/>
      <c r="C731" s="251"/>
      <c r="D731" s="251"/>
      <c r="E731" s="251"/>
      <c r="F731" s="251"/>
      <c r="G731" s="251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</row>
    <row r="732">
      <c r="A732" s="251"/>
      <c r="B732" s="251"/>
      <c r="C732" s="251"/>
      <c r="D732" s="251"/>
      <c r="E732" s="251"/>
      <c r="F732" s="251"/>
      <c r="G732" s="251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</row>
    <row r="733">
      <c r="A733" s="251"/>
      <c r="B733" s="251"/>
      <c r="C733" s="251"/>
      <c r="D733" s="251"/>
      <c r="E733" s="251"/>
      <c r="F733" s="251"/>
      <c r="G733" s="251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</row>
    <row r="734">
      <c r="A734" s="251"/>
      <c r="B734" s="251"/>
      <c r="C734" s="251"/>
      <c r="D734" s="251"/>
      <c r="E734" s="251"/>
      <c r="F734" s="251"/>
      <c r="G734" s="251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</row>
    <row r="735">
      <c r="A735" s="251"/>
      <c r="B735" s="251"/>
      <c r="C735" s="251"/>
      <c r="D735" s="251"/>
      <c r="E735" s="251"/>
      <c r="F735" s="251"/>
      <c r="G735" s="251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</row>
    <row r="736">
      <c r="A736" s="251"/>
      <c r="B736" s="251"/>
      <c r="C736" s="251"/>
      <c r="D736" s="251"/>
      <c r="E736" s="251"/>
      <c r="F736" s="251"/>
      <c r="G736" s="251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</row>
    <row r="737">
      <c r="A737" s="251"/>
      <c r="B737" s="251"/>
      <c r="C737" s="251"/>
      <c r="D737" s="251"/>
      <c r="E737" s="251"/>
      <c r="F737" s="251"/>
      <c r="G737" s="251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</row>
    <row r="738">
      <c r="A738" s="251"/>
      <c r="B738" s="251"/>
      <c r="C738" s="251"/>
      <c r="D738" s="251"/>
      <c r="E738" s="251"/>
      <c r="F738" s="251"/>
      <c r="G738" s="251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</row>
    <row r="739">
      <c r="A739" s="251"/>
      <c r="B739" s="251"/>
      <c r="C739" s="251"/>
      <c r="D739" s="251"/>
      <c r="E739" s="251"/>
      <c r="F739" s="251"/>
      <c r="G739" s="251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</row>
    <row r="740">
      <c r="A740" s="251"/>
      <c r="B740" s="251"/>
      <c r="C740" s="251"/>
      <c r="D740" s="251"/>
      <c r="E740" s="251"/>
      <c r="F740" s="251"/>
      <c r="G740" s="251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</row>
    <row r="741">
      <c r="A741" s="251"/>
      <c r="B741" s="251"/>
      <c r="C741" s="251"/>
      <c r="D741" s="251"/>
      <c r="E741" s="251"/>
      <c r="F741" s="251"/>
      <c r="G741" s="251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</row>
    <row r="742">
      <c r="A742" s="251"/>
      <c r="B742" s="251"/>
      <c r="C742" s="251"/>
      <c r="D742" s="251"/>
      <c r="E742" s="251"/>
      <c r="F742" s="251"/>
      <c r="G742" s="251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</row>
    <row r="743">
      <c r="A743" s="251"/>
      <c r="B743" s="251"/>
      <c r="C743" s="251"/>
      <c r="D743" s="251"/>
      <c r="E743" s="251"/>
      <c r="F743" s="251"/>
      <c r="G743" s="251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</row>
    <row r="744">
      <c r="A744" s="251"/>
      <c r="B744" s="251"/>
      <c r="C744" s="251"/>
      <c r="D744" s="251"/>
      <c r="E744" s="251"/>
      <c r="F744" s="251"/>
      <c r="G744" s="251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</row>
    <row r="745">
      <c r="A745" s="251"/>
      <c r="B745" s="251"/>
      <c r="C745" s="251"/>
      <c r="D745" s="251"/>
      <c r="E745" s="251"/>
      <c r="F745" s="251"/>
      <c r="G745" s="251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</row>
    <row r="746">
      <c r="A746" s="251"/>
      <c r="B746" s="251"/>
      <c r="C746" s="251"/>
      <c r="D746" s="251"/>
      <c r="E746" s="251"/>
      <c r="F746" s="251"/>
      <c r="G746" s="251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</row>
    <row r="747">
      <c r="A747" s="251"/>
      <c r="B747" s="251"/>
      <c r="C747" s="251"/>
      <c r="D747" s="251"/>
      <c r="E747" s="251"/>
      <c r="F747" s="251"/>
      <c r="G747" s="251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</row>
    <row r="748">
      <c r="A748" s="251"/>
      <c r="B748" s="251"/>
      <c r="C748" s="251"/>
      <c r="D748" s="251"/>
      <c r="E748" s="251"/>
      <c r="F748" s="251"/>
      <c r="G748" s="251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</row>
    <row r="749">
      <c r="A749" s="251"/>
      <c r="B749" s="251"/>
      <c r="C749" s="251"/>
      <c r="D749" s="251"/>
      <c r="E749" s="251"/>
      <c r="F749" s="251"/>
      <c r="G749" s="251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</row>
    <row r="750">
      <c r="A750" s="251"/>
      <c r="B750" s="251"/>
      <c r="C750" s="251"/>
      <c r="D750" s="251"/>
      <c r="E750" s="251"/>
      <c r="F750" s="251"/>
      <c r="G750" s="251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</row>
    <row r="751">
      <c r="A751" s="251"/>
      <c r="B751" s="251"/>
      <c r="C751" s="251"/>
      <c r="D751" s="251"/>
      <c r="E751" s="251"/>
      <c r="F751" s="251"/>
      <c r="G751" s="251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</row>
    <row r="752">
      <c r="A752" s="251"/>
      <c r="B752" s="251"/>
      <c r="C752" s="251"/>
      <c r="D752" s="251"/>
      <c r="E752" s="251"/>
      <c r="F752" s="251"/>
      <c r="G752" s="251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</row>
    <row r="753">
      <c r="A753" s="251"/>
      <c r="B753" s="251"/>
      <c r="C753" s="251"/>
      <c r="D753" s="251"/>
      <c r="E753" s="251"/>
      <c r="F753" s="251"/>
      <c r="G753" s="251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</row>
    <row r="754">
      <c r="A754" s="251"/>
      <c r="B754" s="251"/>
      <c r="C754" s="251"/>
      <c r="D754" s="251"/>
      <c r="E754" s="251"/>
      <c r="F754" s="251"/>
      <c r="G754" s="251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</row>
    <row r="755">
      <c r="A755" s="251"/>
      <c r="B755" s="251"/>
      <c r="C755" s="251"/>
      <c r="D755" s="251"/>
      <c r="E755" s="251"/>
      <c r="F755" s="251"/>
      <c r="G755" s="251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</row>
    <row r="756">
      <c r="A756" s="251"/>
      <c r="B756" s="251"/>
      <c r="C756" s="251"/>
      <c r="D756" s="251"/>
      <c r="E756" s="251"/>
      <c r="F756" s="251"/>
      <c r="G756" s="251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</row>
    <row r="757">
      <c r="A757" s="251"/>
      <c r="B757" s="251"/>
      <c r="C757" s="251"/>
      <c r="D757" s="251"/>
      <c r="E757" s="251"/>
      <c r="F757" s="251"/>
      <c r="G757" s="251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</row>
    <row r="758">
      <c r="A758" s="251"/>
      <c r="B758" s="251"/>
      <c r="C758" s="251"/>
      <c r="D758" s="251"/>
      <c r="E758" s="251"/>
      <c r="F758" s="251"/>
      <c r="G758" s="251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</row>
    <row r="759">
      <c r="A759" s="251"/>
      <c r="B759" s="251"/>
      <c r="C759" s="251"/>
      <c r="D759" s="251"/>
      <c r="E759" s="251"/>
      <c r="F759" s="251"/>
      <c r="G759" s="251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</row>
    <row r="760">
      <c r="A760" s="251"/>
      <c r="B760" s="251"/>
      <c r="C760" s="251"/>
      <c r="D760" s="251"/>
      <c r="E760" s="251"/>
      <c r="F760" s="251"/>
      <c r="G760" s="251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</row>
    <row r="761">
      <c r="A761" s="251"/>
      <c r="B761" s="251"/>
      <c r="C761" s="251"/>
      <c r="D761" s="251"/>
      <c r="E761" s="251"/>
      <c r="F761" s="251"/>
      <c r="G761" s="251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</row>
    <row r="762">
      <c r="A762" s="251"/>
      <c r="B762" s="251"/>
      <c r="C762" s="251"/>
      <c r="D762" s="251"/>
      <c r="E762" s="251"/>
      <c r="F762" s="251"/>
      <c r="G762" s="251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</row>
    <row r="763">
      <c r="A763" s="251"/>
      <c r="B763" s="251"/>
      <c r="C763" s="251"/>
      <c r="D763" s="251"/>
      <c r="E763" s="251"/>
      <c r="F763" s="251"/>
      <c r="G763" s="251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</row>
    <row r="764">
      <c r="A764" s="251"/>
      <c r="B764" s="251"/>
      <c r="C764" s="251"/>
      <c r="D764" s="251"/>
      <c r="E764" s="251"/>
      <c r="F764" s="251"/>
      <c r="G764" s="251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</row>
    <row r="765">
      <c r="A765" s="251"/>
      <c r="B765" s="251"/>
      <c r="C765" s="251"/>
      <c r="D765" s="251"/>
      <c r="E765" s="251"/>
      <c r="F765" s="251"/>
      <c r="G765" s="251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</row>
    <row r="766">
      <c r="A766" s="251"/>
      <c r="B766" s="251"/>
      <c r="C766" s="251"/>
      <c r="D766" s="251"/>
      <c r="E766" s="251"/>
      <c r="F766" s="251"/>
      <c r="G766" s="251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</row>
    <row r="767">
      <c r="A767" s="251"/>
      <c r="B767" s="251"/>
      <c r="C767" s="251"/>
      <c r="D767" s="251"/>
      <c r="E767" s="251"/>
      <c r="F767" s="251"/>
      <c r="G767" s="251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</row>
    <row r="768">
      <c r="A768" s="251"/>
      <c r="B768" s="251"/>
      <c r="C768" s="251"/>
      <c r="D768" s="251"/>
      <c r="E768" s="251"/>
      <c r="F768" s="251"/>
      <c r="G768" s="251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</row>
    <row r="769">
      <c r="A769" s="251"/>
      <c r="B769" s="251"/>
      <c r="C769" s="251"/>
      <c r="D769" s="251"/>
      <c r="E769" s="251"/>
      <c r="F769" s="251"/>
      <c r="G769" s="251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</row>
    <row r="770">
      <c r="A770" s="251"/>
      <c r="B770" s="251"/>
      <c r="C770" s="251"/>
      <c r="D770" s="251"/>
      <c r="E770" s="251"/>
      <c r="F770" s="251"/>
      <c r="G770" s="251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</row>
    <row r="771">
      <c r="A771" s="251"/>
      <c r="B771" s="251"/>
      <c r="C771" s="251"/>
      <c r="D771" s="251"/>
      <c r="E771" s="251"/>
      <c r="F771" s="251"/>
      <c r="G771" s="251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</row>
    <row r="772">
      <c r="A772" s="251"/>
      <c r="B772" s="251"/>
      <c r="C772" s="251"/>
      <c r="D772" s="251"/>
      <c r="E772" s="251"/>
      <c r="F772" s="251"/>
      <c r="G772" s="251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</row>
    <row r="773">
      <c r="A773" s="251"/>
      <c r="B773" s="251"/>
      <c r="C773" s="251"/>
      <c r="D773" s="251"/>
      <c r="E773" s="251"/>
      <c r="F773" s="251"/>
      <c r="G773" s="251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</row>
    <row r="774">
      <c r="A774" s="251"/>
      <c r="B774" s="251"/>
      <c r="C774" s="251"/>
      <c r="D774" s="251"/>
      <c r="E774" s="251"/>
      <c r="F774" s="251"/>
      <c r="G774" s="251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</row>
    <row r="775">
      <c r="A775" s="251"/>
      <c r="B775" s="251"/>
      <c r="C775" s="251"/>
      <c r="D775" s="251"/>
      <c r="E775" s="251"/>
      <c r="F775" s="251"/>
      <c r="G775" s="251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</row>
    <row r="776">
      <c r="A776" s="251"/>
      <c r="B776" s="251"/>
      <c r="C776" s="251"/>
      <c r="D776" s="251"/>
      <c r="E776" s="251"/>
      <c r="F776" s="251"/>
      <c r="G776" s="251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</row>
    <row r="777">
      <c r="A777" s="251"/>
      <c r="B777" s="251"/>
      <c r="C777" s="251"/>
      <c r="D777" s="251"/>
      <c r="E777" s="251"/>
      <c r="F777" s="251"/>
      <c r="G777" s="251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</row>
    <row r="778">
      <c r="A778" s="251"/>
      <c r="B778" s="251"/>
      <c r="C778" s="251"/>
      <c r="D778" s="251"/>
      <c r="E778" s="251"/>
      <c r="F778" s="251"/>
      <c r="G778" s="251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</row>
    <row r="779">
      <c r="A779" s="251"/>
      <c r="B779" s="251"/>
      <c r="C779" s="251"/>
      <c r="D779" s="251"/>
      <c r="E779" s="251"/>
      <c r="F779" s="251"/>
      <c r="G779" s="251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</row>
    <row r="780">
      <c r="A780" s="251"/>
      <c r="B780" s="251"/>
      <c r="C780" s="251"/>
      <c r="D780" s="251"/>
      <c r="E780" s="251"/>
      <c r="F780" s="251"/>
      <c r="G780" s="251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</row>
    <row r="781">
      <c r="A781" s="251"/>
      <c r="B781" s="251"/>
      <c r="C781" s="251"/>
      <c r="D781" s="251"/>
      <c r="E781" s="251"/>
      <c r="F781" s="251"/>
      <c r="G781" s="251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</row>
    <row r="782">
      <c r="A782" s="251"/>
      <c r="B782" s="251"/>
      <c r="C782" s="251"/>
      <c r="D782" s="251"/>
      <c r="E782" s="251"/>
      <c r="F782" s="251"/>
      <c r="G782" s="251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</row>
    <row r="783">
      <c r="A783" s="251"/>
      <c r="B783" s="251"/>
      <c r="C783" s="251"/>
      <c r="D783" s="251"/>
      <c r="E783" s="251"/>
      <c r="F783" s="251"/>
      <c r="G783" s="251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</row>
    <row r="784">
      <c r="A784" s="251"/>
      <c r="B784" s="251"/>
      <c r="C784" s="251"/>
      <c r="D784" s="251"/>
      <c r="E784" s="251"/>
      <c r="F784" s="251"/>
      <c r="G784" s="251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</row>
    <row r="785">
      <c r="A785" s="251"/>
      <c r="B785" s="251"/>
      <c r="C785" s="251"/>
      <c r="D785" s="251"/>
      <c r="E785" s="251"/>
      <c r="F785" s="251"/>
      <c r="G785" s="251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</row>
    <row r="786">
      <c r="A786" s="251"/>
      <c r="B786" s="251"/>
      <c r="C786" s="251"/>
      <c r="D786" s="251"/>
      <c r="E786" s="251"/>
      <c r="F786" s="251"/>
      <c r="G786" s="251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</row>
    <row r="787">
      <c r="A787" s="251"/>
      <c r="B787" s="251"/>
      <c r="C787" s="251"/>
      <c r="D787" s="251"/>
      <c r="E787" s="251"/>
      <c r="F787" s="251"/>
      <c r="G787" s="251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</row>
    <row r="788">
      <c r="A788" s="251"/>
      <c r="B788" s="251"/>
      <c r="C788" s="251"/>
      <c r="D788" s="251"/>
      <c r="E788" s="251"/>
      <c r="F788" s="251"/>
      <c r="G788" s="251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</row>
    <row r="789">
      <c r="A789" s="251"/>
      <c r="B789" s="251"/>
      <c r="C789" s="251"/>
      <c r="D789" s="251"/>
      <c r="E789" s="251"/>
      <c r="F789" s="251"/>
      <c r="G789" s="251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</row>
    <row r="790">
      <c r="A790" s="251"/>
      <c r="B790" s="251"/>
      <c r="C790" s="251"/>
      <c r="D790" s="251"/>
      <c r="E790" s="251"/>
      <c r="F790" s="251"/>
      <c r="G790" s="251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</row>
    <row r="791">
      <c r="A791" s="251"/>
      <c r="B791" s="251"/>
      <c r="C791" s="251"/>
      <c r="D791" s="251"/>
      <c r="E791" s="251"/>
      <c r="F791" s="251"/>
      <c r="G791" s="251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</row>
    <row r="792">
      <c r="A792" s="251"/>
      <c r="B792" s="251"/>
      <c r="C792" s="251"/>
      <c r="D792" s="251"/>
      <c r="E792" s="251"/>
      <c r="F792" s="251"/>
      <c r="G792" s="251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</row>
    <row r="793">
      <c r="A793" s="251"/>
      <c r="B793" s="251"/>
      <c r="C793" s="251"/>
      <c r="D793" s="251"/>
      <c r="E793" s="251"/>
      <c r="F793" s="251"/>
      <c r="G793" s="251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</row>
    <row r="794">
      <c r="A794" s="251"/>
      <c r="B794" s="251"/>
      <c r="C794" s="251"/>
      <c r="D794" s="251"/>
      <c r="E794" s="251"/>
      <c r="F794" s="251"/>
      <c r="G794" s="251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</row>
    <row r="795">
      <c r="A795" s="251"/>
      <c r="B795" s="251"/>
      <c r="C795" s="251"/>
      <c r="D795" s="251"/>
      <c r="E795" s="251"/>
      <c r="F795" s="251"/>
      <c r="G795" s="251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</row>
    <row r="796">
      <c r="A796" s="251"/>
      <c r="B796" s="251"/>
      <c r="C796" s="251"/>
      <c r="D796" s="251"/>
      <c r="E796" s="251"/>
      <c r="F796" s="251"/>
      <c r="G796" s="251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</row>
    <row r="797">
      <c r="A797" s="251"/>
      <c r="B797" s="251"/>
      <c r="C797" s="251"/>
      <c r="D797" s="251"/>
      <c r="E797" s="251"/>
      <c r="F797" s="251"/>
      <c r="G797" s="251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</row>
    <row r="798">
      <c r="A798" s="251"/>
      <c r="B798" s="251"/>
      <c r="C798" s="251"/>
      <c r="D798" s="251"/>
      <c r="E798" s="251"/>
      <c r="F798" s="251"/>
      <c r="G798" s="251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</row>
    <row r="799">
      <c r="A799" s="251"/>
      <c r="B799" s="251"/>
      <c r="C799" s="251"/>
      <c r="D799" s="251"/>
      <c r="E799" s="251"/>
      <c r="F799" s="251"/>
      <c r="G799" s="251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</row>
    <row r="800">
      <c r="A800" s="251"/>
      <c r="B800" s="251"/>
      <c r="C800" s="251"/>
      <c r="D800" s="251"/>
      <c r="E800" s="251"/>
      <c r="F800" s="251"/>
      <c r="G800" s="251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</row>
    <row r="801">
      <c r="A801" s="251"/>
      <c r="B801" s="251"/>
      <c r="C801" s="251"/>
      <c r="D801" s="251"/>
      <c r="E801" s="251"/>
      <c r="F801" s="251"/>
      <c r="G801" s="251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</row>
    <row r="802">
      <c r="A802" s="251"/>
      <c r="B802" s="251"/>
      <c r="C802" s="251"/>
      <c r="D802" s="251"/>
      <c r="E802" s="251"/>
      <c r="F802" s="251"/>
      <c r="G802" s="251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</row>
    <row r="803">
      <c r="A803" s="251"/>
      <c r="B803" s="251"/>
      <c r="C803" s="251"/>
      <c r="D803" s="251"/>
      <c r="E803" s="251"/>
      <c r="F803" s="251"/>
      <c r="G803" s="251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</row>
    <row r="804">
      <c r="A804" s="251"/>
      <c r="B804" s="251"/>
      <c r="C804" s="251"/>
      <c r="D804" s="251"/>
      <c r="E804" s="251"/>
      <c r="F804" s="251"/>
      <c r="G804" s="251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</row>
    <row r="805">
      <c r="A805" s="251"/>
      <c r="B805" s="251"/>
      <c r="C805" s="251"/>
      <c r="D805" s="251"/>
      <c r="E805" s="251"/>
      <c r="F805" s="251"/>
      <c r="G805" s="251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</row>
    <row r="806">
      <c r="A806" s="251"/>
      <c r="B806" s="251"/>
      <c r="C806" s="251"/>
      <c r="D806" s="251"/>
      <c r="E806" s="251"/>
      <c r="F806" s="251"/>
      <c r="G806" s="251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</row>
    <row r="807">
      <c r="A807" s="251"/>
      <c r="B807" s="251"/>
      <c r="C807" s="251"/>
      <c r="D807" s="251"/>
      <c r="E807" s="251"/>
      <c r="F807" s="251"/>
      <c r="G807" s="251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</row>
    <row r="808">
      <c r="A808" s="251"/>
      <c r="B808" s="251"/>
      <c r="C808" s="251"/>
      <c r="D808" s="251"/>
      <c r="E808" s="251"/>
      <c r="F808" s="251"/>
      <c r="G808" s="251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</row>
    <row r="809">
      <c r="A809" s="251"/>
      <c r="B809" s="251"/>
      <c r="C809" s="251"/>
      <c r="D809" s="251"/>
      <c r="E809" s="251"/>
      <c r="F809" s="251"/>
      <c r="G809" s="251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</row>
    <row r="810">
      <c r="A810" s="251"/>
      <c r="B810" s="251"/>
      <c r="C810" s="251"/>
      <c r="D810" s="251"/>
      <c r="E810" s="251"/>
      <c r="F810" s="251"/>
      <c r="G810" s="251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</row>
    <row r="811">
      <c r="A811" s="251"/>
      <c r="B811" s="251"/>
      <c r="C811" s="251"/>
      <c r="D811" s="251"/>
      <c r="E811" s="251"/>
      <c r="F811" s="251"/>
      <c r="G811" s="251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</row>
    <row r="812">
      <c r="A812" s="251"/>
      <c r="B812" s="251"/>
      <c r="C812" s="251"/>
      <c r="D812" s="251"/>
      <c r="E812" s="251"/>
      <c r="F812" s="251"/>
      <c r="G812" s="251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</row>
    <row r="813">
      <c r="A813" s="251"/>
      <c r="B813" s="251"/>
      <c r="C813" s="251"/>
      <c r="D813" s="251"/>
      <c r="E813" s="251"/>
      <c r="F813" s="251"/>
      <c r="G813" s="251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</row>
    <row r="814">
      <c r="A814" s="251"/>
      <c r="B814" s="251"/>
      <c r="C814" s="251"/>
      <c r="D814" s="251"/>
      <c r="E814" s="251"/>
      <c r="F814" s="251"/>
      <c r="G814" s="251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</row>
    <row r="815">
      <c r="A815" s="251"/>
      <c r="B815" s="251"/>
      <c r="C815" s="251"/>
      <c r="D815" s="251"/>
      <c r="E815" s="251"/>
      <c r="F815" s="251"/>
      <c r="G815" s="251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</row>
    <row r="816">
      <c r="A816" s="251"/>
      <c r="B816" s="251"/>
      <c r="C816" s="251"/>
      <c r="D816" s="251"/>
      <c r="E816" s="251"/>
      <c r="F816" s="251"/>
      <c r="G816" s="251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</row>
    <row r="817">
      <c r="A817" s="251"/>
      <c r="B817" s="251"/>
      <c r="C817" s="251"/>
      <c r="D817" s="251"/>
      <c r="E817" s="251"/>
      <c r="F817" s="251"/>
      <c r="G817" s="251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</row>
    <row r="818">
      <c r="A818" s="251"/>
      <c r="B818" s="251"/>
      <c r="C818" s="251"/>
      <c r="D818" s="251"/>
      <c r="E818" s="251"/>
      <c r="F818" s="251"/>
      <c r="G818" s="251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</row>
    <row r="819">
      <c r="A819" s="251"/>
      <c r="B819" s="251"/>
      <c r="C819" s="251"/>
      <c r="D819" s="251"/>
      <c r="E819" s="251"/>
      <c r="F819" s="251"/>
      <c r="G819" s="251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</row>
    <row r="820">
      <c r="A820" s="251"/>
      <c r="B820" s="251"/>
      <c r="C820" s="251"/>
      <c r="D820" s="251"/>
      <c r="E820" s="251"/>
      <c r="F820" s="251"/>
      <c r="G820" s="251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</row>
    <row r="821">
      <c r="A821" s="251"/>
      <c r="B821" s="251"/>
      <c r="C821" s="251"/>
      <c r="D821" s="251"/>
      <c r="E821" s="251"/>
      <c r="F821" s="251"/>
      <c r="G821" s="251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</row>
    <row r="822">
      <c r="A822" s="251"/>
      <c r="B822" s="251"/>
      <c r="C822" s="251"/>
      <c r="D822" s="251"/>
      <c r="E822" s="251"/>
      <c r="F822" s="251"/>
      <c r="G822" s="251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</row>
    <row r="823">
      <c r="A823" s="251"/>
      <c r="B823" s="251"/>
      <c r="C823" s="251"/>
      <c r="D823" s="251"/>
      <c r="E823" s="251"/>
      <c r="F823" s="251"/>
      <c r="G823" s="251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</row>
    <row r="824">
      <c r="A824" s="251"/>
      <c r="B824" s="251"/>
      <c r="C824" s="251"/>
      <c r="D824" s="251"/>
      <c r="E824" s="251"/>
      <c r="F824" s="251"/>
      <c r="G824" s="251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</row>
    <row r="825">
      <c r="A825" s="251"/>
      <c r="B825" s="251"/>
      <c r="C825" s="251"/>
      <c r="D825" s="251"/>
      <c r="E825" s="251"/>
      <c r="F825" s="251"/>
      <c r="G825" s="251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</row>
    <row r="826">
      <c r="A826" s="251"/>
      <c r="B826" s="251"/>
      <c r="C826" s="251"/>
      <c r="D826" s="251"/>
      <c r="E826" s="251"/>
      <c r="F826" s="251"/>
      <c r="G826" s="251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</row>
    <row r="827">
      <c r="A827" s="251"/>
      <c r="B827" s="251"/>
      <c r="C827" s="251"/>
      <c r="D827" s="251"/>
      <c r="E827" s="251"/>
      <c r="F827" s="251"/>
      <c r="G827" s="251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</row>
    <row r="828">
      <c r="A828" s="251"/>
      <c r="B828" s="251"/>
      <c r="C828" s="251"/>
      <c r="D828" s="251"/>
      <c r="E828" s="251"/>
      <c r="F828" s="251"/>
      <c r="G828" s="251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</row>
    <row r="829">
      <c r="A829" s="251"/>
      <c r="B829" s="251"/>
      <c r="C829" s="251"/>
      <c r="D829" s="251"/>
      <c r="E829" s="251"/>
      <c r="F829" s="251"/>
      <c r="G829" s="251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</row>
    <row r="830">
      <c r="A830" s="251"/>
      <c r="B830" s="251"/>
      <c r="C830" s="251"/>
      <c r="D830" s="251"/>
      <c r="E830" s="251"/>
      <c r="F830" s="251"/>
      <c r="G830" s="251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</row>
    <row r="831">
      <c r="A831" s="251"/>
      <c r="B831" s="251"/>
      <c r="C831" s="251"/>
      <c r="D831" s="251"/>
      <c r="E831" s="251"/>
      <c r="F831" s="251"/>
      <c r="G831" s="251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</row>
    <row r="832">
      <c r="A832" s="251"/>
      <c r="B832" s="251"/>
      <c r="C832" s="251"/>
      <c r="D832" s="251"/>
      <c r="E832" s="251"/>
      <c r="F832" s="251"/>
      <c r="G832" s="251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</row>
    <row r="833">
      <c r="A833" s="251"/>
      <c r="B833" s="251"/>
      <c r="C833" s="251"/>
      <c r="D833" s="251"/>
      <c r="E833" s="251"/>
      <c r="F833" s="251"/>
      <c r="G833" s="251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</row>
    <row r="834">
      <c r="A834" s="251"/>
      <c r="B834" s="251"/>
      <c r="C834" s="251"/>
      <c r="D834" s="251"/>
      <c r="E834" s="251"/>
      <c r="F834" s="251"/>
      <c r="G834" s="251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</row>
    <row r="835">
      <c r="A835" s="251"/>
      <c r="B835" s="251"/>
      <c r="C835" s="251"/>
      <c r="D835" s="251"/>
      <c r="E835" s="251"/>
      <c r="F835" s="251"/>
      <c r="G835" s="251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</row>
    <row r="836">
      <c r="A836" s="251"/>
      <c r="B836" s="251"/>
      <c r="C836" s="251"/>
      <c r="D836" s="251"/>
      <c r="E836" s="251"/>
      <c r="F836" s="251"/>
      <c r="G836" s="251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</row>
    <row r="837">
      <c r="A837" s="251"/>
      <c r="B837" s="251"/>
      <c r="C837" s="251"/>
      <c r="D837" s="251"/>
      <c r="E837" s="251"/>
      <c r="F837" s="251"/>
      <c r="G837" s="251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</row>
    <row r="838">
      <c r="A838" s="251"/>
      <c r="B838" s="251"/>
      <c r="C838" s="251"/>
      <c r="D838" s="251"/>
      <c r="E838" s="251"/>
      <c r="F838" s="251"/>
      <c r="G838" s="251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</row>
    <row r="839">
      <c r="A839" s="251"/>
      <c r="B839" s="251"/>
      <c r="C839" s="251"/>
      <c r="D839" s="251"/>
      <c r="E839" s="251"/>
      <c r="F839" s="251"/>
      <c r="G839" s="251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</row>
    <row r="840">
      <c r="A840" s="251"/>
      <c r="B840" s="251"/>
      <c r="C840" s="251"/>
      <c r="D840" s="251"/>
      <c r="E840" s="251"/>
      <c r="F840" s="251"/>
      <c r="G840" s="251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</row>
    <row r="841">
      <c r="A841" s="251"/>
      <c r="B841" s="251"/>
      <c r="C841" s="251"/>
      <c r="D841" s="251"/>
      <c r="E841" s="251"/>
      <c r="F841" s="251"/>
      <c r="G841" s="251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</row>
    <row r="842">
      <c r="A842" s="251"/>
      <c r="B842" s="251"/>
      <c r="C842" s="251"/>
      <c r="D842" s="251"/>
      <c r="E842" s="251"/>
      <c r="F842" s="251"/>
      <c r="G842" s="251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</row>
    <row r="843">
      <c r="A843" s="251"/>
      <c r="B843" s="251"/>
      <c r="C843" s="251"/>
      <c r="D843" s="251"/>
      <c r="E843" s="251"/>
      <c r="F843" s="251"/>
      <c r="G843" s="251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</row>
    <row r="844">
      <c r="A844" s="251"/>
      <c r="B844" s="251"/>
      <c r="C844" s="251"/>
      <c r="D844" s="251"/>
      <c r="E844" s="251"/>
      <c r="F844" s="251"/>
      <c r="G844" s="251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</row>
    <row r="845">
      <c r="A845" s="251"/>
      <c r="B845" s="251"/>
      <c r="C845" s="251"/>
      <c r="D845" s="251"/>
      <c r="E845" s="251"/>
      <c r="F845" s="251"/>
      <c r="G845" s="251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</row>
    <row r="846">
      <c r="A846" s="251"/>
      <c r="B846" s="251"/>
      <c r="C846" s="251"/>
      <c r="D846" s="251"/>
      <c r="E846" s="251"/>
      <c r="F846" s="251"/>
      <c r="G846" s="251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</row>
    <row r="847">
      <c r="A847" s="251"/>
      <c r="B847" s="251"/>
      <c r="C847" s="251"/>
      <c r="D847" s="251"/>
      <c r="E847" s="251"/>
      <c r="F847" s="251"/>
      <c r="G847" s="251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</row>
    <row r="848">
      <c r="A848" s="251"/>
      <c r="B848" s="251"/>
      <c r="C848" s="251"/>
      <c r="D848" s="251"/>
      <c r="E848" s="251"/>
      <c r="F848" s="251"/>
      <c r="G848" s="251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</row>
    <row r="849">
      <c r="A849" s="251"/>
      <c r="B849" s="251"/>
      <c r="C849" s="251"/>
      <c r="D849" s="251"/>
      <c r="E849" s="251"/>
      <c r="F849" s="251"/>
      <c r="G849" s="251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</row>
    <row r="850">
      <c r="A850" s="251"/>
      <c r="B850" s="251"/>
      <c r="C850" s="251"/>
      <c r="D850" s="251"/>
      <c r="E850" s="251"/>
      <c r="F850" s="251"/>
      <c r="G850" s="251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</row>
    <row r="851">
      <c r="A851" s="251"/>
      <c r="B851" s="251"/>
      <c r="C851" s="251"/>
      <c r="D851" s="251"/>
      <c r="E851" s="251"/>
      <c r="F851" s="251"/>
      <c r="G851" s="251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</row>
    <row r="852">
      <c r="A852" s="251"/>
      <c r="B852" s="251"/>
      <c r="C852" s="251"/>
      <c r="D852" s="251"/>
      <c r="E852" s="251"/>
      <c r="F852" s="251"/>
      <c r="G852" s="251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</row>
    <row r="853">
      <c r="A853" s="251"/>
      <c r="B853" s="251"/>
      <c r="C853" s="251"/>
      <c r="D853" s="251"/>
      <c r="E853" s="251"/>
      <c r="F853" s="251"/>
      <c r="G853" s="251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</row>
    <row r="854">
      <c r="A854" s="251"/>
      <c r="B854" s="251"/>
      <c r="C854" s="251"/>
      <c r="D854" s="251"/>
      <c r="E854" s="251"/>
      <c r="F854" s="251"/>
      <c r="G854" s="251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</row>
    <row r="855">
      <c r="A855" s="251"/>
      <c r="B855" s="251"/>
      <c r="C855" s="251"/>
      <c r="D855" s="251"/>
      <c r="E855" s="251"/>
      <c r="F855" s="251"/>
      <c r="G855" s="251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</row>
    <row r="856">
      <c r="A856" s="251"/>
      <c r="B856" s="251"/>
      <c r="C856" s="251"/>
      <c r="D856" s="251"/>
      <c r="E856" s="251"/>
      <c r="F856" s="251"/>
      <c r="G856" s="251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</row>
    <row r="857">
      <c r="A857" s="251"/>
      <c r="B857" s="251"/>
      <c r="C857" s="251"/>
      <c r="D857" s="251"/>
      <c r="E857" s="251"/>
      <c r="F857" s="251"/>
      <c r="G857" s="251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</row>
    <row r="858">
      <c r="A858" s="251"/>
      <c r="B858" s="251"/>
      <c r="C858" s="251"/>
      <c r="D858" s="251"/>
      <c r="E858" s="251"/>
      <c r="F858" s="251"/>
      <c r="G858" s="251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</row>
    <row r="859">
      <c r="A859" s="251"/>
      <c r="B859" s="251"/>
      <c r="C859" s="251"/>
      <c r="D859" s="251"/>
      <c r="E859" s="251"/>
      <c r="F859" s="251"/>
      <c r="G859" s="251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</row>
    <row r="860">
      <c r="A860" s="251"/>
      <c r="B860" s="251"/>
      <c r="C860" s="251"/>
      <c r="D860" s="251"/>
      <c r="E860" s="251"/>
      <c r="F860" s="251"/>
      <c r="G860" s="251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</row>
    <row r="861">
      <c r="A861" s="251"/>
      <c r="B861" s="251"/>
      <c r="C861" s="251"/>
      <c r="D861" s="251"/>
      <c r="E861" s="251"/>
      <c r="F861" s="251"/>
      <c r="G861" s="251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</row>
    <row r="862">
      <c r="A862" s="251"/>
      <c r="B862" s="251"/>
      <c r="C862" s="251"/>
      <c r="D862" s="251"/>
      <c r="E862" s="251"/>
      <c r="F862" s="251"/>
      <c r="G862" s="251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</row>
    <row r="863">
      <c r="A863" s="251"/>
      <c r="B863" s="251"/>
      <c r="C863" s="251"/>
      <c r="D863" s="251"/>
      <c r="E863" s="251"/>
      <c r="F863" s="251"/>
      <c r="G863" s="251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</row>
    <row r="864">
      <c r="A864" s="251"/>
      <c r="B864" s="251"/>
      <c r="C864" s="251"/>
      <c r="D864" s="251"/>
      <c r="E864" s="251"/>
      <c r="F864" s="251"/>
      <c r="G864" s="251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</row>
    <row r="865">
      <c r="A865" s="251"/>
      <c r="B865" s="251"/>
      <c r="C865" s="251"/>
      <c r="D865" s="251"/>
      <c r="E865" s="251"/>
      <c r="F865" s="251"/>
      <c r="G865" s="251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</row>
    <row r="866">
      <c r="A866" s="251"/>
      <c r="B866" s="251"/>
      <c r="C866" s="251"/>
      <c r="D866" s="251"/>
      <c r="E866" s="251"/>
      <c r="F866" s="251"/>
      <c r="G866" s="251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</row>
    <row r="867">
      <c r="A867" s="251"/>
      <c r="B867" s="251"/>
      <c r="C867" s="251"/>
      <c r="D867" s="251"/>
      <c r="E867" s="251"/>
      <c r="F867" s="251"/>
      <c r="G867" s="251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</row>
    <row r="868">
      <c r="A868" s="251"/>
      <c r="B868" s="251"/>
      <c r="C868" s="251"/>
      <c r="D868" s="251"/>
      <c r="E868" s="251"/>
      <c r="F868" s="251"/>
      <c r="G868" s="251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</row>
    <row r="869">
      <c r="A869" s="251"/>
      <c r="B869" s="251"/>
      <c r="C869" s="251"/>
      <c r="D869" s="251"/>
      <c r="E869" s="251"/>
      <c r="F869" s="251"/>
      <c r="G869" s="251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</row>
    <row r="870">
      <c r="A870" s="251"/>
      <c r="B870" s="251"/>
      <c r="C870" s="251"/>
      <c r="D870" s="251"/>
      <c r="E870" s="251"/>
      <c r="F870" s="251"/>
      <c r="G870" s="251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</row>
    <row r="871">
      <c r="A871" s="251"/>
      <c r="B871" s="251"/>
      <c r="C871" s="251"/>
      <c r="D871" s="251"/>
      <c r="E871" s="251"/>
      <c r="F871" s="251"/>
      <c r="G871" s="251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</row>
    <row r="872">
      <c r="A872" s="251"/>
      <c r="B872" s="251"/>
      <c r="C872" s="251"/>
      <c r="D872" s="251"/>
      <c r="E872" s="251"/>
      <c r="F872" s="251"/>
      <c r="G872" s="251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</row>
    <row r="873">
      <c r="A873" s="251"/>
      <c r="B873" s="251"/>
      <c r="C873" s="251"/>
      <c r="D873" s="251"/>
      <c r="E873" s="251"/>
      <c r="F873" s="251"/>
      <c r="G873" s="251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</row>
    <row r="874">
      <c r="A874" s="251"/>
      <c r="B874" s="251"/>
      <c r="C874" s="251"/>
      <c r="D874" s="251"/>
      <c r="E874" s="251"/>
      <c r="F874" s="251"/>
      <c r="G874" s="251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</row>
    <row r="875">
      <c r="A875" s="251"/>
      <c r="B875" s="251"/>
      <c r="C875" s="251"/>
      <c r="D875" s="251"/>
      <c r="E875" s="251"/>
      <c r="F875" s="251"/>
      <c r="G875" s="251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</row>
    <row r="876">
      <c r="A876" s="251"/>
      <c r="B876" s="251"/>
      <c r="C876" s="251"/>
      <c r="D876" s="251"/>
      <c r="E876" s="251"/>
      <c r="F876" s="251"/>
      <c r="G876" s="251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</row>
    <row r="877">
      <c r="A877" s="251"/>
      <c r="B877" s="251"/>
      <c r="C877" s="251"/>
      <c r="D877" s="251"/>
      <c r="E877" s="251"/>
      <c r="F877" s="251"/>
      <c r="G877" s="251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</row>
    <row r="878">
      <c r="A878" s="251"/>
      <c r="B878" s="251"/>
      <c r="C878" s="251"/>
      <c r="D878" s="251"/>
      <c r="E878" s="251"/>
      <c r="F878" s="251"/>
      <c r="G878" s="251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</row>
    <row r="879">
      <c r="A879" s="251"/>
      <c r="B879" s="251"/>
      <c r="C879" s="251"/>
      <c r="D879" s="251"/>
      <c r="E879" s="251"/>
      <c r="F879" s="251"/>
      <c r="G879" s="251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</row>
    <row r="880">
      <c r="A880" s="251"/>
      <c r="B880" s="251"/>
      <c r="C880" s="251"/>
      <c r="D880" s="251"/>
      <c r="E880" s="251"/>
      <c r="F880" s="251"/>
      <c r="G880" s="251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</row>
    <row r="881">
      <c r="A881" s="251"/>
      <c r="B881" s="251"/>
      <c r="C881" s="251"/>
      <c r="D881" s="251"/>
      <c r="E881" s="251"/>
      <c r="F881" s="251"/>
      <c r="G881" s="251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</row>
    <row r="882">
      <c r="A882" s="251"/>
      <c r="B882" s="251"/>
      <c r="C882" s="251"/>
      <c r="D882" s="251"/>
      <c r="E882" s="251"/>
      <c r="F882" s="251"/>
      <c r="G882" s="251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</row>
    <row r="883">
      <c r="A883" s="251"/>
      <c r="B883" s="251"/>
      <c r="C883" s="251"/>
      <c r="D883" s="251"/>
      <c r="E883" s="251"/>
      <c r="F883" s="251"/>
      <c r="G883" s="251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</row>
    <row r="884">
      <c r="A884" s="251"/>
      <c r="B884" s="251"/>
      <c r="C884" s="251"/>
      <c r="D884" s="251"/>
      <c r="E884" s="251"/>
      <c r="F884" s="251"/>
      <c r="G884" s="251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</row>
    <row r="885">
      <c r="A885" s="251"/>
      <c r="B885" s="251"/>
      <c r="C885" s="251"/>
      <c r="D885" s="251"/>
      <c r="E885" s="251"/>
      <c r="F885" s="251"/>
      <c r="G885" s="251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</row>
    <row r="886">
      <c r="A886" s="251"/>
      <c r="B886" s="251"/>
      <c r="C886" s="251"/>
      <c r="D886" s="251"/>
      <c r="E886" s="251"/>
      <c r="F886" s="251"/>
      <c r="G886" s="251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</row>
    <row r="887">
      <c r="A887" s="251"/>
      <c r="B887" s="251"/>
      <c r="C887" s="251"/>
      <c r="D887" s="251"/>
      <c r="E887" s="251"/>
      <c r="F887" s="251"/>
      <c r="G887" s="251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</row>
    <row r="888">
      <c r="A888" s="251"/>
      <c r="B888" s="251"/>
      <c r="C888" s="251"/>
      <c r="D888" s="251"/>
      <c r="E888" s="251"/>
      <c r="F888" s="251"/>
      <c r="G888" s="251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</row>
    <row r="889">
      <c r="A889" s="251"/>
      <c r="B889" s="251"/>
      <c r="C889" s="251"/>
      <c r="D889" s="251"/>
      <c r="E889" s="251"/>
      <c r="F889" s="251"/>
      <c r="G889" s="251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</row>
    <row r="890">
      <c r="A890" s="251"/>
      <c r="B890" s="251"/>
      <c r="C890" s="251"/>
      <c r="D890" s="251"/>
      <c r="E890" s="251"/>
      <c r="F890" s="251"/>
      <c r="G890" s="251"/>
      <c r="H890" s="251"/>
      <c r="I890" s="251"/>
      <c r="J890" s="251"/>
      <c r="K890" s="251"/>
      <c r="L890" s="251"/>
      <c r="M890" s="251"/>
      <c r="N890" s="251"/>
      <c r="O890" s="251"/>
      <c r="P890" s="251"/>
      <c r="Q890" s="251"/>
      <c r="R890" s="251"/>
      <c r="S890" s="251"/>
      <c r="T890" s="251"/>
      <c r="U890" s="251"/>
      <c r="V890" s="251"/>
      <c r="W890" s="251"/>
      <c r="X890" s="251"/>
      <c r="Y890" s="251"/>
      <c r="Z890" s="251"/>
    </row>
    <row r="891">
      <c r="A891" s="251"/>
      <c r="B891" s="251"/>
      <c r="C891" s="251"/>
      <c r="D891" s="251"/>
      <c r="E891" s="251"/>
      <c r="F891" s="251"/>
      <c r="G891" s="251"/>
      <c r="H891" s="251"/>
      <c r="I891" s="251"/>
      <c r="J891" s="251"/>
      <c r="K891" s="251"/>
      <c r="L891" s="251"/>
      <c r="M891" s="251"/>
      <c r="N891" s="251"/>
      <c r="O891" s="251"/>
      <c r="P891" s="251"/>
      <c r="Q891" s="251"/>
      <c r="R891" s="251"/>
      <c r="S891" s="251"/>
      <c r="T891" s="251"/>
      <c r="U891" s="251"/>
      <c r="V891" s="251"/>
      <c r="W891" s="251"/>
      <c r="X891" s="251"/>
      <c r="Y891" s="251"/>
      <c r="Z891" s="251"/>
    </row>
    <row r="892">
      <c r="A892" s="251"/>
      <c r="B892" s="251"/>
      <c r="C892" s="251"/>
      <c r="D892" s="251"/>
      <c r="E892" s="251"/>
      <c r="F892" s="251"/>
      <c r="G892" s="251"/>
      <c r="H892" s="251"/>
      <c r="I892" s="251"/>
      <c r="J892" s="251"/>
      <c r="K892" s="251"/>
      <c r="L892" s="251"/>
      <c r="M892" s="251"/>
      <c r="N892" s="251"/>
      <c r="O892" s="251"/>
      <c r="P892" s="251"/>
      <c r="Q892" s="251"/>
      <c r="R892" s="251"/>
      <c r="S892" s="251"/>
      <c r="T892" s="251"/>
      <c r="U892" s="251"/>
      <c r="V892" s="251"/>
      <c r="W892" s="251"/>
      <c r="X892" s="251"/>
      <c r="Y892" s="251"/>
      <c r="Z892" s="251"/>
    </row>
    <row r="893">
      <c r="A893" s="251"/>
      <c r="B893" s="251"/>
      <c r="C893" s="251"/>
      <c r="D893" s="251"/>
      <c r="E893" s="251"/>
      <c r="F893" s="251"/>
      <c r="G893" s="251"/>
      <c r="H893" s="251"/>
      <c r="I893" s="251"/>
      <c r="J893" s="251"/>
      <c r="K893" s="251"/>
      <c r="L893" s="251"/>
      <c r="M893" s="251"/>
      <c r="N893" s="251"/>
      <c r="O893" s="251"/>
      <c r="P893" s="251"/>
      <c r="Q893" s="251"/>
      <c r="R893" s="251"/>
      <c r="S893" s="251"/>
      <c r="T893" s="251"/>
      <c r="U893" s="251"/>
      <c r="V893" s="251"/>
      <c r="W893" s="251"/>
      <c r="X893" s="251"/>
      <c r="Y893" s="251"/>
      <c r="Z893" s="251"/>
    </row>
    <row r="894">
      <c r="A894" s="251"/>
      <c r="B894" s="251"/>
      <c r="C894" s="251"/>
      <c r="D894" s="251"/>
      <c r="E894" s="251"/>
      <c r="F894" s="251"/>
      <c r="G894" s="251"/>
      <c r="H894" s="251"/>
      <c r="I894" s="251"/>
      <c r="J894" s="251"/>
      <c r="K894" s="251"/>
      <c r="L894" s="251"/>
      <c r="M894" s="251"/>
      <c r="N894" s="251"/>
      <c r="O894" s="251"/>
      <c r="P894" s="251"/>
      <c r="Q894" s="251"/>
      <c r="R894" s="251"/>
      <c r="S894" s="251"/>
      <c r="T894" s="251"/>
      <c r="U894" s="251"/>
      <c r="V894" s="251"/>
      <c r="W894" s="251"/>
      <c r="X894" s="251"/>
      <c r="Y894" s="251"/>
      <c r="Z894" s="251"/>
    </row>
    <row r="895">
      <c r="A895" s="251"/>
      <c r="B895" s="251"/>
      <c r="C895" s="251"/>
      <c r="D895" s="251"/>
      <c r="E895" s="251"/>
      <c r="F895" s="251"/>
      <c r="G895" s="251"/>
      <c r="H895" s="251"/>
      <c r="I895" s="251"/>
      <c r="J895" s="251"/>
      <c r="K895" s="251"/>
      <c r="L895" s="251"/>
      <c r="M895" s="251"/>
      <c r="N895" s="251"/>
      <c r="O895" s="251"/>
      <c r="P895" s="251"/>
      <c r="Q895" s="251"/>
      <c r="R895" s="251"/>
      <c r="S895" s="251"/>
      <c r="T895" s="251"/>
      <c r="U895" s="251"/>
      <c r="V895" s="251"/>
      <c r="W895" s="251"/>
      <c r="X895" s="251"/>
      <c r="Y895" s="251"/>
      <c r="Z895" s="251"/>
    </row>
    <row r="896">
      <c r="A896" s="251"/>
      <c r="B896" s="251"/>
      <c r="C896" s="251"/>
      <c r="D896" s="251"/>
      <c r="E896" s="251"/>
      <c r="F896" s="251"/>
      <c r="G896" s="251"/>
      <c r="H896" s="251"/>
      <c r="I896" s="251"/>
      <c r="J896" s="251"/>
      <c r="K896" s="251"/>
      <c r="L896" s="251"/>
      <c r="M896" s="251"/>
      <c r="N896" s="251"/>
      <c r="O896" s="251"/>
      <c r="P896" s="251"/>
      <c r="Q896" s="251"/>
      <c r="R896" s="251"/>
      <c r="S896" s="251"/>
      <c r="T896" s="251"/>
      <c r="U896" s="251"/>
      <c r="V896" s="251"/>
      <c r="W896" s="251"/>
      <c r="X896" s="251"/>
      <c r="Y896" s="251"/>
      <c r="Z896" s="251"/>
    </row>
    <row r="897">
      <c r="A897" s="251"/>
      <c r="B897" s="251"/>
      <c r="C897" s="251"/>
      <c r="D897" s="251"/>
      <c r="E897" s="251"/>
      <c r="F897" s="251"/>
      <c r="G897" s="251"/>
      <c r="H897" s="251"/>
      <c r="I897" s="251"/>
      <c r="J897" s="251"/>
      <c r="K897" s="251"/>
      <c r="L897" s="251"/>
      <c r="M897" s="251"/>
      <c r="N897" s="251"/>
      <c r="O897" s="251"/>
      <c r="P897" s="251"/>
      <c r="Q897" s="251"/>
      <c r="R897" s="251"/>
      <c r="S897" s="251"/>
      <c r="T897" s="251"/>
      <c r="U897" s="251"/>
      <c r="V897" s="251"/>
      <c r="W897" s="251"/>
      <c r="X897" s="251"/>
      <c r="Y897" s="251"/>
      <c r="Z897" s="251"/>
    </row>
    <row r="898">
      <c r="A898" s="251"/>
      <c r="B898" s="251"/>
      <c r="C898" s="251"/>
      <c r="D898" s="251"/>
      <c r="E898" s="251"/>
      <c r="F898" s="251"/>
      <c r="G898" s="251"/>
      <c r="H898" s="251"/>
      <c r="I898" s="251"/>
      <c r="J898" s="251"/>
      <c r="K898" s="251"/>
      <c r="L898" s="251"/>
      <c r="M898" s="251"/>
      <c r="N898" s="251"/>
      <c r="O898" s="251"/>
      <c r="P898" s="251"/>
      <c r="Q898" s="251"/>
      <c r="R898" s="251"/>
      <c r="S898" s="251"/>
      <c r="T898" s="251"/>
      <c r="U898" s="251"/>
      <c r="V898" s="251"/>
      <c r="W898" s="251"/>
      <c r="X898" s="251"/>
      <c r="Y898" s="251"/>
      <c r="Z898" s="251"/>
    </row>
    <row r="899">
      <c r="A899" s="251"/>
      <c r="B899" s="251"/>
      <c r="C899" s="251"/>
      <c r="D899" s="251"/>
      <c r="E899" s="251"/>
      <c r="F899" s="251"/>
      <c r="G899" s="251"/>
      <c r="H899" s="251"/>
      <c r="I899" s="251"/>
      <c r="J899" s="251"/>
      <c r="K899" s="251"/>
      <c r="L899" s="251"/>
      <c r="M899" s="251"/>
      <c r="N899" s="251"/>
      <c r="O899" s="251"/>
      <c r="P899" s="251"/>
      <c r="Q899" s="251"/>
      <c r="R899" s="251"/>
      <c r="S899" s="251"/>
      <c r="T899" s="251"/>
      <c r="U899" s="251"/>
      <c r="V899" s="251"/>
      <c r="W899" s="251"/>
      <c r="X899" s="251"/>
      <c r="Y899" s="251"/>
      <c r="Z899" s="251"/>
    </row>
    <row r="900">
      <c r="A900" s="251"/>
      <c r="B900" s="251"/>
      <c r="C900" s="251"/>
      <c r="D900" s="251"/>
      <c r="E900" s="251"/>
      <c r="F900" s="251"/>
      <c r="G900" s="251"/>
      <c r="H900" s="251"/>
      <c r="I900" s="251"/>
      <c r="J900" s="251"/>
      <c r="K900" s="251"/>
      <c r="L900" s="251"/>
      <c r="M900" s="251"/>
      <c r="N900" s="251"/>
      <c r="O900" s="251"/>
      <c r="P900" s="251"/>
      <c r="Q900" s="251"/>
      <c r="R900" s="251"/>
      <c r="S900" s="251"/>
      <c r="T900" s="251"/>
      <c r="U900" s="251"/>
      <c r="V900" s="251"/>
      <c r="W900" s="251"/>
      <c r="X900" s="251"/>
      <c r="Y900" s="251"/>
      <c r="Z900" s="251"/>
    </row>
    <row r="901">
      <c r="A901" s="251"/>
      <c r="B901" s="251"/>
      <c r="C901" s="251"/>
      <c r="D901" s="251"/>
      <c r="E901" s="251"/>
      <c r="F901" s="251"/>
      <c r="G901" s="251"/>
      <c r="H901" s="251"/>
      <c r="I901" s="251"/>
      <c r="J901" s="251"/>
      <c r="K901" s="251"/>
      <c r="L901" s="251"/>
      <c r="M901" s="251"/>
      <c r="N901" s="251"/>
      <c r="O901" s="251"/>
      <c r="P901" s="251"/>
      <c r="Q901" s="251"/>
      <c r="R901" s="251"/>
      <c r="S901" s="251"/>
      <c r="T901" s="251"/>
      <c r="U901" s="251"/>
      <c r="V901" s="251"/>
      <c r="W901" s="251"/>
      <c r="X901" s="251"/>
      <c r="Y901" s="251"/>
      <c r="Z901" s="251"/>
    </row>
    <row r="902">
      <c r="A902" s="251"/>
      <c r="B902" s="251"/>
      <c r="C902" s="251"/>
      <c r="D902" s="251"/>
      <c r="E902" s="251"/>
      <c r="F902" s="251"/>
      <c r="G902" s="251"/>
      <c r="H902" s="251"/>
      <c r="I902" s="251"/>
      <c r="J902" s="251"/>
      <c r="K902" s="251"/>
      <c r="L902" s="251"/>
      <c r="M902" s="251"/>
      <c r="N902" s="251"/>
      <c r="O902" s="251"/>
      <c r="P902" s="251"/>
      <c r="Q902" s="251"/>
      <c r="R902" s="251"/>
      <c r="S902" s="251"/>
      <c r="T902" s="251"/>
      <c r="U902" s="251"/>
      <c r="V902" s="251"/>
      <c r="W902" s="251"/>
      <c r="X902" s="251"/>
      <c r="Y902" s="251"/>
      <c r="Z902" s="251"/>
    </row>
    <row r="903">
      <c r="A903" s="251"/>
      <c r="B903" s="251"/>
      <c r="C903" s="251"/>
      <c r="D903" s="251"/>
      <c r="E903" s="251"/>
      <c r="F903" s="251"/>
      <c r="G903" s="251"/>
      <c r="H903" s="251"/>
      <c r="I903" s="251"/>
      <c r="J903" s="251"/>
      <c r="K903" s="251"/>
      <c r="L903" s="251"/>
      <c r="M903" s="251"/>
      <c r="N903" s="251"/>
      <c r="O903" s="251"/>
      <c r="P903" s="251"/>
      <c r="Q903" s="251"/>
      <c r="R903" s="251"/>
      <c r="S903" s="251"/>
      <c r="T903" s="251"/>
      <c r="U903" s="251"/>
      <c r="V903" s="251"/>
      <c r="W903" s="251"/>
      <c r="X903" s="251"/>
      <c r="Y903" s="251"/>
      <c r="Z903" s="251"/>
    </row>
    <row r="904">
      <c r="A904" s="251"/>
      <c r="B904" s="251"/>
      <c r="C904" s="251"/>
      <c r="D904" s="251"/>
      <c r="E904" s="251"/>
      <c r="F904" s="251"/>
      <c r="G904" s="251"/>
      <c r="H904" s="251"/>
      <c r="I904" s="251"/>
      <c r="J904" s="251"/>
      <c r="K904" s="251"/>
      <c r="L904" s="251"/>
      <c r="M904" s="251"/>
      <c r="N904" s="251"/>
      <c r="O904" s="251"/>
      <c r="P904" s="251"/>
      <c r="Q904" s="251"/>
      <c r="R904" s="251"/>
      <c r="S904" s="251"/>
      <c r="T904" s="251"/>
      <c r="U904" s="251"/>
      <c r="V904" s="251"/>
      <c r="W904" s="251"/>
      <c r="X904" s="251"/>
      <c r="Y904" s="251"/>
      <c r="Z904" s="251"/>
    </row>
    <row r="905">
      <c r="A905" s="251"/>
      <c r="B905" s="251"/>
      <c r="C905" s="251"/>
      <c r="D905" s="251"/>
      <c r="E905" s="251"/>
      <c r="F905" s="251"/>
      <c r="G905" s="251"/>
      <c r="H905" s="251"/>
      <c r="I905" s="251"/>
      <c r="J905" s="251"/>
      <c r="K905" s="251"/>
      <c r="L905" s="251"/>
      <c r="M905" s="251"/>
      <c r="N905" s="251"/>
      <c r="O905" s="251"/>
      <c r="P905" s="251"/>
      <c r="Q905" s="251"/>
      <c r="R905" s="251"/>
      <c r="S905" s="251"/>
      <c r="T905" s="251"/>
      <c r="U905" s="251"/>
      <c r="V905" s="251"/>
      <c r="W905" s="251"/>
      <c r="X905" s="251"/>
      <c r="Y905" s="251"/>
      <c r="Z905" s="251"/>
    </row>
    <row r="906">
      <c r="A906" s="251"/>
      <c r="B906" s="251"/>
      <c r="C906" s="251"/>
      <c r="D906" s="251"/>
      <c r="E906" s="251"/>
      <c r="F906" s="251"/>
      <c r="G906" s="251"/>
      <c r="H906" s="251"/>
      <c r="I906" s="251"/>
      <c r="J906" s="251"/>
      <c r="K906" s="251"/>
      <c r="L906" s="251"/>
      <c r="M906" s="251"/>
      <c r="N906" s="251"/>
      <c r="O906" s="251"/>
      <c r="P906" s="251"/>
      <c r="Q906" s="251"/>
      <c r="R906" s="251"/>
      <c r="S906" s="251"/>
      <c r="T906" s="251"/>
      <c r="U906" s="251"/>
      <c r="V906" s="251"/>
      <c r="W906" s="251"/>
      <c r="X906" s="251"/>
      <c r="Y906" s="251"/>
      <c r="Z906" s="251"/>
    </row>
    <row r="907">
      <c r="A907" s="251"/>
      <c r="B907" s="251"/>
      <c r="C907" s="251"/>
      <c r="D907" s="251"/>
      <c r="E907" s="251"/>
      <c r="F907" s="251"/>
      <c r="G907" s="251"/>
      <c r="H907" s="251"/>
      <c r="I907" s="251"/>
      <c r="J907" s="251"/>
      <c r="K907" s="251"/>
      <c r="L907" s="251"/>
      <c r="M907" s="251"/>
      <c r="N907" s="251"/>
      <c r="O907" s="251"/>
      <c r="P907" s="251"/>
      <c r="Q907" s="251"/>
      <c r="R907" s="251"/>
      <c r="S907" s="251"/>
      <c r="T907" s="251"/>
      <c r="U907" s="251"/>
      <c r="V907" s="251"/>
      <c r="W907" s="251"/>
      <c r="X907" s="251"/>
      <c r="Y907" s="251"/>
      <c r="Z907" s="251"/>
    </row>
    <row r="908">
      <c r="A908" s="251"/>
      <c r="B908" s="251"/>
      <c r="C908" s="251"/>
      <c r="D908" s="251"/>
      <c r="E908" s="251"/>
      <c r="F908" s="251"/>
      <c r="G908" s="251"/>
      <c r="H908" s="251"/>
      <c r="I908" s="251"/>
      <c r="J908" s="251"/>
      <c r="K908" s="251"/>
      <c r="L908" s="251"/>
      <c r="M908" s="251"/>
      <c r="N908" s="251"/>
      <c r="O908" s="251"/>
      <c r="P908" s="251"/>
      <c r="Q908" s="251"/>
      <c r="R908" s="251"/>
      <c r="S908" s="251"/>
      <c r="T908" s="251"/>
      <c r="U908" s="251"/>
      <c r="V908" s="251"/>
      <c r="W908" s="251"/>
      <c r="X908" s="251"/>
      <c r="Y908" s="251"/>
      <c r="Z908" s="251"/>
    </row>
    <row r="909">
      <c r="A909" s="251"/>
      <c r="B909" s="251"/>
      <c r="C909" s="251"/>
      <c r="D909" s="251"/>
      <c r="E909" s="251"/>
      <c r="F909" s="251"/>
      <c r="G909" s="251"/>
      <c r="H909" s="251"/>
      <c r="I909" s="251"/>
      <c r="J909" s="251"/>
      <c r="K909" s="251"/>
      <c r="L909" s="251"/>
      <c r="M909" s="251"/>
      <c r="N909" s="251"/>
      <c r="O909" s="251"/>
      <c r="P909" s="251"/>
      <c r="Q909" s="251"/>
      <c r="R909" s="251"/>
      <c r="S909" s="251"/>
      <c r="T909" s="251"/>
      <c r="U909" s="251"/>
      <c r="V909" s="251"/>
      <c r="W909" s="251"/>
      <c r="X909" s="251"/>
      <c r="Y909" s="251"/>
      <c r="Z909" s="251"/>
    </row>
    <row r="910">
      <c r="A910" s="251"/>
      <c r="B910" s="251"/>
      <c r="C910" s="251"/>
      <c r="D910" s="251"/>
      <c r="E910" s="251"/>
      <c r="F910" s="251"/>
      <c r="G910" s="251"/>
      <c r="H910" s="251"/>
      <c r="I910" s="251"/>
      <c r="J910" s="251"/>
      <c r="K910" s="251"/>
      <c r="L910" s="251"/>
      <c r="M910" s="251"/>
      <c r="N910" s="251"/>
      <c r="O910" s="251"/>
      <c r="P910" s="251"/>
      <c r="Q910" s="251"/>
      <c r="R910" s="251"/>
      <c r="S910" s="251"/>
      <c r="T910" s="251"/>
      <c r="U910" s="251"/>
      <c r="V910" s="251"/>
      <c r="W910" s="251"/>
      <c r="X910" s="251"/>
      <c r="Y910" s="251"/>
      <c r="Z910" s="251"/>
    </row>
    <row r="911">
      <c r="A911" s="251"/>
      <c r="B911" s="251"/>
      <c r="C911" s="251"/>
      <c r="D911" s="251"/>
      <c r="E911" s="251"/>
      <c r="F911" s="251"/>
      <c r="G911" s="251"/>
      <c r="H911" s="251"/>
      <c r="I911" s="251"/>
      <c r="J911" s="251"/>
      <c r="K911" s="251"/>
      <c r="L911" s="251"/>
      <c r="M911" s="251"/>
      <c r="N911" s="251"/>
      <c r="O911" s="251"/>
      <c r="P911" s="251"/>
      <c r="Q911" s="251"/>
      <c r="R911" s="251"/>
      <c r="S911" s="251"/>
      <c r="T911" s="251"/>
      <c r="U911" s="251"/>
      <c r="V911" s="251"/>
      <c r="W911" s="251"/>
      <c r="X911" s="251"/>
      <c r="Y911" s="251"/>
      <c r="Z911" s="251"/>
    </row>
    <row r="912">
      <c r="A912" s="251"/>
      <c r="B912" s="251"/>
      <c r="C912" s="251"/>
      <c r="D912" s="251"/>
      <c r="E912" s="251"/>
      <c r="F912" s="251"/>
      <c r="G912" s="251"/>
      <c r="H912" s="251"/>
      <c r="I912" s="251"/>
      <c r="J912" s="251"/>
      <c r="K912" s="251"/>
      <c r="L912" s="251"/>
      <c r="M912" s="251"/>
      <c r="N912" s="251"/>
      <c r="O912" s="251"/>
      <c r="P912" s="251"/>
      <c r="Q912" s="251"/>
      <c r="R912" s="251"/>
      <c r="S912" s="251"/>
      <c r="T912" s="251"/>
      <c r="U912" s="251"/>
      <c r="V912" s="251"/>
      <c r="W912" s="251"/>
      <c r="X912" s="251"/>
      <c r="Y912" s="251"/>
      <c r="Z912" s="251"/>
    </row>
    <row r="913">
      <c r="A913" s="251"/>
      <c r="B913" s="251"/>
      <c r="C913" s="251"/>
      <c r="D913" s="251"/>
      <c r="E913" s="251"/>
      <c r="F913" s="251"/>
      <c r="G913" s="251"/>
      <c r="H913" s="251"/>
      <c r="I913" s="251"/>
      <c r="J913" s="251"/>
      <c r="K913" s="251"/>
      <c r="L913" s="251"/>
      <c r="M913" s="251"/>
      <c r="N913" s="251"/>
      <c r="O913" s="251"/>
      <c r="P913" s="251"/>
      <c r="Q913" s="251"/>
      <c r="R913" s="251"/>
      <c r="S913" s="251"/>
      <c r="T913" s="251"/>
      <c r="U913" s="251"/>
      <c r="V913" s="251"/>
      <c r="W913" s="251"/>
      <c r="X913" s="251"/>
      <c r="Y913" s="251"/>
      <c r="Z913" s="251"/>
    </row>
    <row r="914">
      <c r="A914" s="251"/>
      <c r="B914" s="251"/>
      <c r="C914" s="251"/>
      <c r="D914" s="251"/>
      <c r="E914" s="251"/>
      <c r="F914" s="251"/>
      <c r="G914" s="251"/>
      <c r="H914" s="251"/>
      <c r="I914" s="251"/>
      <c r="J914" s="251"/>
      <c r="K914" s="251"/>
      <c r="L914" s="251"/>
      <c r="M914" s="251"/>
      <c r="N914" s="251"/>
      <c r="O914" s="251"/>
      <c r="P914" s="251"/>
      <c r="Q914" s="251"/>
      <c r="R914" s="251"/>
      <c r="S914" s="251"/>
      <c r="T914" s="251"/>
      <c r="U914" s="251"/>
      <c r="V914" s="251"/>
      <c r="W914" s="251"/>
      <c r="X914" s="251"/>
      <c r="Y914" s="251"/>
      <c r="Z914" s="251"/>
    </row>
    <row r="915">
      <c r="A915" s="251"/>
      <c r="B915" s="251"/>
      <c r="C915" s="251"/>
      <c r="D915" s="251"/>
      <c r="E915" s="251"/>
      <c r="F915" s="251"/>
      <c r="G915" s="251"/>
      <c r="H915" s="251"/>
      <c r="I915" s="251"/>
      <c r="J915" s="251"/>
      <c r="K915" s="251"/>
      <c r="L915" s="251"/>
      <c r="M915" s="251"/>
      <c r="N915" s="251"/>
      <c r="O915" s="251"/>
      <c r="P915" s="251"/>
      <c r="Q915" s="251"/>
      <c r="R915" s="251"/>
      <c r="S915" s="251"/>
      <c r="T915" s="251"/>
      <c r="U915" s="251"/>
      <c r="V915" s="251"/>
      <c r="W915" s="251"/>
      <c r="X915" s="251"/>
      <c r="Y915" s="251"/>
      <c r="Z915" s="251"/>
    </row>
    <row r="916">
      <c r="A916" s="251"/>
      <c r="B916" s="251"/>
      <c r="C916" s="251"/>
      <c r="D916" s="251"/>
      <c r="E916" s="251"/>
      <c r="F916" s="251"/>
      <c r="G916" s="251"/>
      <c r="H916" s="251"/>
      <c r="I916" s="251"/>
      <c r="J916" s="251"/>
      <c r="K916" s="251"/>
      <c r="L916" s="251"/>
      <c r="M916" s="251"/>
      <c r="N916" s="251"/>
      <c r="O916" s="251"/>
      <c r="P916" s="251"/>
      <c r="Q916" s="251"/>
      <c r="R916" s="251"/>
      <c r="S916" s="251"/>
      <c r="T916" s="251"/>
      <c r="U916" s="251"/>
      <c r="V916" s="251"/>
      <c r="W916" s="251"/>
      <c r="X916" s="251"/>
      <c r="Y916" s="251"/>
      <c r="Z916" s="251"/>
    </row>
    <row r="917">
      <c r="A917" s="251"/>
      <c r="B917" s="251"/>
      <c r="C917" s="251"/>
      <c r="D917" s="251"/>
      <c r="E917" s="251"/>
      <c r="F917" s="251"/>
      <c r="G917" s="251"/>
      <c r="H917" s="251"/>
      <c r="I917" s="251"/>
      <c r="J917" s="251"/>
      <c r="K917" s="251"/>
      <c r="L917" s="251"/>
      <c r="M917" s="251"/>
      <c r="N917" s="251"/>
      <c r="O917" s="251"/>
      <c r="P917" s="251"/>
      <c r="Q917" s="251"/>
      <c r="R917" s="251"/>
      <c r="S917" s="251"/>
      <c r="T917" s="251"/>
      <c r="U917" s="251"/>
      <c r="V917" s="251"/>
      <c r="W917" s="251"/>
      <c r="X917" s="251"/>
      <c r="Y917" s="251"/>
      <c r="Z917" s="251"/>
    </row>
    <row r="918">
      <c r="A918" s="251"/>
      <c r="B918" s="251"/>
      <c r="C918" s="251"/>
      <c r="D918" s="251"/>
      <c r="E918" s="251"/>
      <c r="F918" s="251"/>
      <c r="G918" s="251"/>
      <c r="H918" s="251"/>
      <c r="I918" s="251"/>
      <c r="J918" s="251"/>
      <c r="K918" s="251"/>
      <c r="L918" s="251"/>
      <c r="M918" s="251"/>
      <c r="N918" s="251"/>
      <c r="O918" s="251"/>
      <c r="P918" s="251"/>
      <c r="Q918" s="251"/>
      <c r="R918" s="251"/>
      <c r="S918" s="251"/>
      <c r="T918" s="251"/>
      <c r="U918" s="251"/>
      <c r="V918" s="251"/>
      <c r="W918" s="251"/>
      <c r="X918" s="251"/>
      <c r="Y918" s="251"/>
      <c r="Z918" s="251"/>
    </row>
    <row r="919">
      <c r="A919" s="251"/>
      <c r="B919" s="251"/>
      <c r="C919" s="251"/>
      <c r="D919" s="251"/>
      <c r="E919" s="251"/>
      <c r="F919" s="251"/>
      <c r="G919" s="251"/>
      <c r="H919" s="251"/>
      <c r="I919" s="251"/>
      <c r="J919" s="251"/>
      <c r="K919" s="251"/>
      <c r="L919" s="251"/>
      <c r="M919" s="251"/>
      <c r="N919" s="251"/>
      <c r="O919" s="251"/>
      <c r="P919" s="251"/>
      <c r="Q919" s="251"/>
      <c r="R919" s="251"/>
      <c r="S919" s="251"/>
      <c r="T919" s="251"/>
      <c r="U919" s="251"/>
      <c r="V919" s="251"/>
      <c r="W919" s="251"/>
      <c r="X919" s="251"/>
      <c r="Y919" s="251"/>
      <c r="Z919" s="251"/>
    </row>
    <row r="920">
      <c r="A920" s="251"/>
      <c r="B920" s="251"/>
      <c r="C920" s="251"/>
      <c r="D920" s="251"/>
      <c r="E920" s="251"/>
      <c r="F920" s="251"/>
      <c r="G920" s="251"/>
      <c r="H920" s="251"/>
      <c r="I920" s="251"/>
      <c r="J920" s="251"/>
      <c r="K920" s="251"/>
      <c r="L920" s="251"/>
      <c r="M920" s="251"/>
      <c r="N920" s="251"/>
      <c r="O920" s="251"/>
      <c r="P920" s="251"/>
      <c r="Q920" s="251"/>
      <c r="R920" s="251"/>
      <c r="S920" s="251"/>
      <c r="T920" s="251"/>
      <c r="U920" s="251"/>
      <c r="V920" s="251"/>
      <c r="W920" s="251"/>
      <c r="X920" s="251"/>
      <c r="Y920" s="251"/>
      <c r="Z920" s="251"/>
    </row>
    <row r="921">
      <c r="A921" s="251"/>
      <c r="B921" s="251"/>
      <c r="C921" s="251"/>
      <c r="D921" s="251"/>
      <c r="E921" s="251"/>
      <c r="F921" s="251"/>
      <c r="G921" s="251"/>
      <c r="H921" s="251"/>
      <c r="I921" s="251"/>
      <c r="J921" s="251"/>
      <c r="K921" s="251"/>
      <c r="L921" s="251"/>
      <c r="M921" s="251"/>
      <c r="N921" s="251"/>
      <c r="O921" s="251"/>
      <c r="P921" s="251"/>
      <c r="Q921" s="251"/>
      <c r="R921" s="251"/>
      <c r="S921" s="251"/>
      <c r="T921" s="251"/>
      <c r="U921" s="251"/>
      <c r="V921" s="251"/>
      <c r="W921" s="251"/>
      <c r="X921" s="251"/>
      <c r="Y921" s="251"/>
      <c r="Z921" s="251"/>
    </row>
    <row r="922">
      <c r="A922" s="251"/>
      <c r="B922" s="251"/>
      <c r="C922" s="251"/>
      <c r="D922" s="251"/>
      <c r="E922" s="251"/>
      <c r="F922" s="251"/>
      <c r="G922" s="251"/>
      <c r="H922" s="251"/>
      <c r="I922" s="251"/>
      <c r="J922" s="251"/>
      <c r="K922" s="251"/>
      <c r="L922" s="251"/>
      <c r="M922" s="251"/>
      <c r="N922" s="251"/>
      <c r="O922" s="251"/>
      <c r="P922" s="251"/>
      <c r="Q922" s="251"/>
      <c r="R922" s="251"/>
      <c r="S922" s="251"/>
      <c r="T922" s="251"/>
      <c r="U922" s="251"/>
      <c r="V922" s="251"/>
      <c r="W922" s="251"/>
      <c r="X922" s="251"/>
      <c r="Y922" s="251"/>
      <c r="Z922" s="251"/>
    </row>
    <row r="923">
      <c r="A923" s="251"/>
      <c r="B923" s="251"/>
      <c r="C923" s="251"/>
      <c r="D923" s="251"/>
      <c r="E923" s="251"/>
      <c r="F923" s="251"/>
      <c r="G923" s="251"/>
      <c r="H923" s="251"/>
      <c r="I923" s="251"/>
      <c r="J923" s="251"/>
      <c r="K923" s="251"/>
      <c r="L923" s="251"/>
      <c r="M923" s="251"/>
      <c r="N923" s="251"/>
      <c r="O923" s="251"/>
      <c r="P923" s="251"/>
      <c r="Q923" s="251"/>
      <c r="R923" s="251"/>
      <c r="S923" s="251"/>
      <c r="T923" s="251"/>
      <c r="U923" s="251"/>
      <c r="V923" s="251"/>
      <c r="W923" s="251"/>
      <c r="X923" s="251"/>
      <c r="Y923" s="251"/>
      <c r="Z923" s="251"/>
    </row>
    <row r="924">
      <c r="A924" s="251"/>
      <c r="B924" s="251"/>
      <c r="C924" s="251"/>
      <c r="D924" s="251"/>
      <c r="E924" s="251"/>
      <c r="F924" s="251"/>
      <c r="G924" s="251"/>
      <c r="H924" s="251"/>
      <c r="I924" s="251"/>
      <c r="J924" s="251"/>
      <c r="K924" s="251"/>
      <c r="L924" s="251"/>
      <c r="M924" s="251"/>
      <c r="N924" s="251"/>
      <c r="O924" s="251"/>
      <c r="P924" s="251"/>
      <c r="Q924" s="251"/>
      <c r="R924" s="251"/>
      <c r="S924" s="251"/>
      <c r="T924" s="251"/>
      <c r="U924" s="251"/>
      <c r="V924" s="251"/>
      <c r="W924" s="251"/>
      <c r="X924" s="251"/>
      <c r="Y924" s="251"/>
      <c r="Z924" s="251"/>
    </row>
    <row r="925">
      <c r="A925" s="251"/>
      <c r="B925" s="251"/>
      <c r="C925" s="251"/>
      <c r="D925" s="251"/>
      <c r="E925" s="251"/>
      <c r="F925" s="251"/>
      <c r="G925" s="251"/>
      <c r="H925" s="251"/>
      <c r="I925" s="251"/>
      <c r="J925" s="251"/>
      <c r="K925" s="251"/>
      <c r="L925" s="251"/>
      <c r="M925" s="251"/>
      <c r="N925" s="251"/>
      <c r="O925" s="251"/>
      <c r="P925" s="251"/>
      <c r="Q925" s="251"/>
      <c r="R925" s="251"/>
      <c r="S925" s="251"/>
      <c r="T925" s="251"/>
      <c r="U925" s="251"/>
      <c r="V925" s="251"/>
      <c r="W925" s="251"/>
      <c r="X925" s="251"/>
      <c r="Y925" s="251"/>
      <c r="Z925" s="251"/>
    </row>
    <row r="926">
      <c r="A926" s="251"/>
      <c r="B926" s="251"/>
      <c r="C926" s="251"/>
      <c r="D926" s="251"/>
      <c r="E926" s="251"/>
      <c r="F926" s="251"/>
      <c r="G926" s="251"/>
      <c r="H926" s="251"/>
      <c r="I926" s="251"/>
      <c r="J926" s="251"/>
      <c r="K926" s="251"/>
      <c r="L926" s="251"/>
      <c r="M926" s="251"/>
      <c r="N926" s="251"/>
      <c r="O926" s="251"/>
      <c r="P926" s="251"/>
      <c r="Q926" s="251"/>
      <c r="R926" s="251"/>
      <c r="S926" s="251"/>
      <c r="T926" s="251"/>
      <c r="U926" s="251"/>
      <c r="V926" s="251"/>
      <c r="W926" s="251"/>
      <c r="X926" s="251"/>
      <c r="Y926" s="251"/>
      <c r="Z926" s="251"/>
    </row>
    <row r="927">
      <c r="A927" s="251"/>
      <c r="B927" s="251"/>
      <c r="C927" s="251"/>
      <c r="D927" s="251"/>
      <c r="E927" s="251"/>
      <c r="F927" s="251"/>
      <c r="G927" s="251"/>
      <c r="H927" s="251"/>
      <c r="I927" s="251"/>
      <c r="J927" s="251"/>
      <c r="K927" s="251"/>
      <c r="L927" s="251"/>
      <c r="M927" s="251"/>
      <c r="N927" s="251"/>
      <c r="O927" s="251"/>
      <c r="P927" s="251"/>
      <c r="Q927" s="251"/>
      <c r="R927" s="251"/>
      <c r="S927" s="251"/>
      <c r="T927" s="251"/>
      <c r="U927" s="251"/>
      <c r="V927" s="251"/>
      <c r="W927" s="251"/>
      <c r="X927" s="251"/>
      <c r="Y927" s="251"/>
      <c r="Z927" s="251"/>
    </row>
    <row r="928">
      <c r="A928" s="251"/>
      <c r="B928" s="251"/>
      <c r="C928" s="251"/>
      <c r="D928" s="251"/>
      <c r="E928" s="251"/>
      <c r="F928" s="251"/>
      <c r="G928" s="251"/>
      <c r="H928" s="251"/>
      <c r="I928" s="251"/>
      <c r="J928" s="251"/>
      <c r="K928" s="251"/>
      <c r="L928" s="251"/>
      <c r="M928" s="251"/>
      <c r="N928" s="251"/>
      <c r="O928" s="251"/>
      <c r="P928" s="251"/>
      <c r="Q928" s="251"/>
      <c r="R928" s="251"/>
      <c r="S928" s="251"/>
      <c r="T928" s="251"/>
      <c r="U928" s="251"/>
      <c r="V928" s="251"/>
      <c r="W928" s="251"/>
      <c r="X928" s="251"/>
      <c r="Y928" s="251"/>
      <c r="Z928" s="251"/>
    </row>
    <row r="929">
      <c r="A929" s="251"/>
      <c r="B929" s="251"/>
      <c r="C929" s="251"/>
      <c r="D929" s="251"/>
      <c r="E929" s="251"/>
      <c r="F929" s="251"/>
      <c r="G929" s="251"/>
      <c r="H929" s="251"/>
      <c r="I929" s="251"/>
      <c r="J929" s="251"/>
      <c r="K929" s="251"/>
      <c r="L929" s="251"/>
      <c r="M929" s="251"/>
      <c r="N929" s="251"/>
      <c r="O929" s="251"/>
      <c r="P929" s="251"/>
      <c r="Q929" s="251"/>
      <c r="R929" s="251"/>
      <c r="S929" s="251"/>
      <c r="T929" s="251"/>
      <c r="U929" s="251"/>
      <c r="V929" s="251"/>
      <c r="W929" s="251"/>
      <c r="X929" s="251"/>
      <c r="Y929" s="251"/>
      <c r="Z929" s="251"/>
    </row>
    <row r="930">
      <c r="A930" s="251"/>
      <c r="B930" s="251"/>
      <c r="C930" s="251"/>
      <c r="D930" s="251"/>
      <c r="E930" s="251"/>
      <c r="F930" s="251"/>
      <c r="G930" s="251"/>
      <c r="H930" s="251"/>
      <c r="I930" s="251"/>
      <c r="J930" s="251"/>
      <c r="K930" s="251"/>
      <c r="L930" s="251"/>
      <c r="M930" s="251"/>
      <c r="N930" s="251"/>
      <c r="O930" s="251"/>
      <c r="P930" s="251"/>
      <c r="Q930" s="251"/>
      <c r="R930" s="251"/>
      <c r="S930" s="251"/>
      <c r="T930" s="251"/>
      <c r="U930" s="251"/>
      <c r="V930" s="251"/>
      <c r="W930" s="251"/>
      <c r="X930" s="251"/>
      <c r="Y930" s="251"/>
      <c r="Z930" s="251"/>
    </row>
    <row r="931">
      <c r="A931" s="251"/>
      <c r="B931" s="251"/>
      <c r="C931" s="251"/>
      <c r="D931" s="251"/>
      <c r="E931" s="251"/>
      <c r="F931" s="251"/>
      <c r="G931" s="251"/>
      <c r="H931" s="251"/>
      <c r="I931" s="251"/>
      <c r="J931" s="251"/>
      <c r="K931" s="251"/>
      <c r="L931" s="251"/>
      <c r="M931" s="251"/>
      <c r="N931" s="251"/>
      <c r="O931" s="251"/>
      <c r="P931" s="251"/>
      <c r="Q931" s="251"/>
      <c r="R931" s="251"/>
      <c r="S931" s="251"/>
      <c r="T931" s="251"/>
      <c r="U931" s="251"/>
      <c r="V931" s="251"/>
      <c r="W931" s="251"/>
      <c r="X931" s="251"/>
      <c r="Y931" s="251"/>
      <c r="Z931" s="251"/>
    </row>
    <row r="932">
      <c r="A932" s="251"/>
      <c r="B932" s="251"/>
      <c r="C932" s="251"/>
      <c r="D932" s="251"/>
      <c r="E932" s="251"/>
      <c r="F932" s="251"/>
      <c r="G932" s="251"/>
      <c r="H932" s="251"/>
      <c r="I932" s="251"/>
      <c r="J932" s="251"/>
      <c r="K932" s="251"/>
      <c r="L932" s="251"/>
      <c r="M932" s="251"/>
      <c r="N932" s="251"/>
      <c r="O932" s="251"/>
      <c r="P932" s="251"/>
      <c r="Q932" s="251"/>
      <c r="R932" s="251"/>
      <c r="S932" s="251"/>
      <c r="T932" s="251"/>
      <c r="U932" s="251"/>
      <c r="V932" s="251"/>
      <c r="W932" s="251"/>
      <c r="X932" s="251"/>
      <c r="Y932" s="251"/>
      <c r="Z932" s="251"/>
    </row>
    <row r="933">
      <c r="A933" s="251"/>
      <c r="B933" s="251"/>
      <c r="C933" s="251"/>
      <c r="D933" s="251"/>
      <c r="E933" s="251"/>
      <c r="F933" s="251"/>
      <c r="G933" s="251"/>
      <c r="H933" s="251"/>
      <c r="I933" s="251"/>
      <c r="J933" s="251"/>
      <c r="K933" s="251"/>
      <c r="L933" s="251"/>
      <c r="M933" s="251"/>
      <c r="N933" s="251"/>
      <c r="O933" s="251"/>
      <c r="P933" s="251"/>
      <c r="Q933" s="251"/>
      <c r="R933" s="251"/>
      <c r="S933" s="251"/>
      <c r="T933" s="251"/>
      <c r="U933" s="251"/>
      <c r="V933" s="251"/>
      <c r="W933" s="251"/>
      <c r="X933" s="251"/>
      <c r="Y933" s="251"/>
      <c r="Z933" s="251"/>
    </row>
    <row r="934">
      <c r="A934" s="251"/>
      <c r="B934" s="251"/>
      <c r="C934" s="251"/>
      <c r="D934" s="251"/>
      <c r="E934" s="251"/>
      <c r="F934" s="251"/>
      <c r="G934" s="251"/>
      <c r="H934" s="251"/>
      <c r="I934" s="251"/>
      <c r="J934" s="251"/>
      <c r="K934" s="251"/>
      <c r="L934" s="251"/>
      <c r="M934" s="251"/>
      <c r="N934" s="251"/>
      <c r="O934" s="251"/>
      <c r="P934" s="251"/>
      <c r="Q934" s="251"/>
      <c r="R934" s="251"/>
      <c r="S934" s="251"/>
      <c r="T934" s="251"/>
      <c r="U934" s="251"/>
      <c r="V934" s="251"/>
      <c r="W934" s="251"/>
      <c r="X934" s="251"/>
      <c r="Y934" s="251"/>
      <c r="Z934" s="251"/>
    </row>
    <row r="935">
      <c r="A935" s="251"/>
      <c r="B935" s="251"/>
      <c r="C935" s="251"/>
      <c r="D935" s="251"/>
      <c r="E935" s="251"/>
      <c r="F935" s="251"/>
      <c r="G935" s="251"/>
      <c r="H935" s="251"/>
      <c r="I935" s="251"/>
      <c r="J935" s="251"/>
      <c r="K935" s="251"/>
      <c r="L935" s="251"/>
      <c r="M935" s="251"/>
      <c r="N935" s="251"/>
      <c r="O935" s="251"/>
      <c r="P935" s="251"/>
      <c r="Q935" s="251"/>
      <c r="R935" s="251"/>
      <c r="S935" s="251"/>
      <c r="T935" s="251"/>
      <c r="U935" s="251"/>
      <c r="V935" s="251"/>
      <c r="W935" s="251"/>
      <c r="X935" s="251"/>
      <c r="Y935" s="251"/>
      <c r="Z935" s="251"/>
    </row>
    <row r="936">
      <c r="A936" s="251"/>
      <c r="B936" s="251"/>
      <c r="C936" s="251"/>
      <c r="D936" s="251"/>
      <c r="E936" s="251"/>
      <c r="F936" s="251"/>
      <c r="G936" s="251"/>
      <c r="H936" s="251"/>
      <c r="I936" s="251"/>
      <c r="J936" s="251"/>
      <c r="K936" s="251"/>
      <c r="L936" s="251"/>
      <c r="M936" s="251"/>
      <c r="N936" s="251"/>
      <c r="O936" s="251"/>
      <c r="P936" s="251"/>
      <c r="Q936" s="251"/>
      <c r="R936" s="251"/>
      <c r="S936" s="251"/>
      <c r="T936" s="251"/>
      <c r="U936" s="251"/>
      <c r="V936" s="251"/>
      <c r="W936" s="251"/>
      <c r="X936" s="251"/>
      <c r="Y936" s="251"/>
      <c r="Z936" s="251"/>
    </row>
    <row r="937">
      <c r="A937" s="251"/>
      <c r="B937" s="251"/>
      <c r="C937" s="251"/>
      <c r="D937" s="251"/>
      <c r="E937" s="251"/>
      <c r="F937" s="251"/>
      <c r="G937" s="251"/>
      <c r="H937" s="251"/>
      <c r="I937" s="251"/>
      <c r="J937" s="251"/>
      <c r="K937" s="251"/>
      <c r="L937" s="251"/>
      <c r="M937" s="251"/>
      <c r="N937" s="251"/>
      <c r="O937" s="251"/>
      <c r="P937" s="251"/>
      <c r="Q937" s="251"/>
      <c r="R937" s="251"/>
      <c r="S937" s="251"/>
      <c r="T937" s="251"/>
      <c r="U937" s="251"/>
      <c r="V937" s="251"/>
      <c r="W937" s="251"/>
      <c r="X937" s="251"/>
      <c r="Y937" s="251"/>
      <c r="Z937" s="251"/>
    </row>
    <row r="938">
      <c r="A938" s="251"/>
      <c r="B938" s="251"/>
      <c r="C938" s="251"/>
      <c r="D938" s="251"/>
      <c r="E938" s="251"/>
      <c r="F938" s="251"/>
      <c r="G938" s="251"/>
      <c r="H938" s="251"/>
      <c r="I938" s="251"/>
      <c r="J938" s="251"/>
      <c r="K938" s="251"/>
      <c r="L938" s="251"/>
      <c r="M938" s="251"/>
      <c r="N938" s="251"/>
      <c r="O938" s="251"/>
      <c r="P938" s="251"/>
      <c r="Q938" s="251"/>
      <c r="R938" s="251"/>
      <c r="S938" s="251"/>
      <c r="T938" s="251"/>
      <c r="U938" s="251"/>
      <c r="V938" s="251"/>
      <c r="W938" s="251"/>
      <c r="X938" s="251"/>
      <c r="Y938" s="251"/>
      <c r="Z938" s="251"/>
    </row>
    <row r="939">
      <c r="A939" s="251"/>
      <c r="B939" s="251"/>
      <c r="C939" s="251"/>
      <c r="D939" s="251"/>
      <c r="E939" s="251"/>
      <c r="F939" s="251"/>
      <c r="G939" s="251"/>
      <c r="H939" s="251"/>
      <c r="I939" s="251"/>
      <c r="J939" s="251"/>
      <c r="K939" s="251"/>
      <c r="L939" s="251"/>
      <c r="M939" s="251"/>
      <c r="N939" s="251"/>
      <c r="O939" s="251"/>
      <c r="P939" s="251"/>
      <c r="Q939" s="251"/>
      <c r="R939" s="251"/>
      <c r="S939" s="251"/>
      <c r="T939" s="251"/>
      <c r="U939" s="251"/>
      <c r="V939" s="251"/>
      <c r="W939" s="251"/>
      <c r="X939" s="251"/>
      <c r="Y939" s="251"/>
      <c r="Z939" s="251"/>
    </row>
    <row r="940">
      <c r="A940" s="251"/>
      <c r="B940" s="251"/>
      <c r="C940" s="251"/>
      <c r="D940" s="251"/>
      <c r="E940" s="251"/>
      <c r="F940" s="251"/>
      <c r="G940" s="251"/>
      <c r="H940" s="251"/>
      <c r="I940" s="251"/>
      <c r="J940" s="251"/>
      <c r="K940" s="251"/>
      <c r="L940" s="251"/>
      <c r="M940" s="251"/>
      <c r="N940" s="251"/>
      <c r="O940" s="251"/>
      <c r="P940" s="251"/>
      <c r="Q940" s="251"/>
      <c r="R940" s="251"/>
      <c r="S940" s="251"/>
      <c r="T940" s="251"/>
      <c r="U940" s="251"/>
      <c r="V940" s="251"/>
      <c r="W940" s="251"/>
      <c r="X940" s="251"/>
      <c r="Y940" s="251"/>
      <c r="Z940" s="251"/>
    </row>
    <row r="941">
      <c r="A941" s="251"/>
      <c r="B941" s="251"/>
      <c r="C941" s="251"/>
      <c r="D941" s="251"/>
      <c r="E941" s="251"/>
      <c r="F941" s="251"/>
      <c r="G941" s="251"/>
      <c r="H941" s="251"/>
      <c r="I941" s="251"/>
      <c r="J941" s="251"/>
      <c r="K941" s="251"/>
      <c r="L941" s="251"/>
      <c r="M941" s="251"/>
      <c r="N941" s="251"/>
      <c r="O941" s="251"/>
      <c r="P941" s="251"/>
      <c r="Q941" s="251"/>
      <c r="R941" s="251"/>
      <c r="S941" s="251"/>
      <c r="T941" s="251"/>
      <c r="U941" s="251"/>
      <c r="V941" s="251"/>
      <c r="W941" s="251"/>
      <c r="X941" s="251"/>
      <c r="Y941" s="251"/>
      <c r="Z941" s="251"/>
    </row>
    <row r="942">
      <c r="A942" s="251"/>
      <c r="B942" s="251"/>
      <c r="C942" s="251"/>
      <c r="D942" s="251"/>
      <c r="E942" s="251"/>
      <c r="F942" s="251"/>
      <c r="G942" s="251"/>
      <c r="H942" s="251"/>
      <c r="I942" s="251"/>
      <c r="J942" s="251"/>
      <c r="K942" s="251"/>
      <c r="L942" s="251"/>
      <c r="M942" s="251"/>
      <c r="N942" s="251"/>
      <c r="O942" s="251"/>
      <c r="P942" s="251"/>
      <c r="Q942" s="251"/>
      <c r="R942" s="251"/>
      <c r="S942" s="251"/>
      <c r="T942" s="251"/>
      <c r="U942" s="251"/>
      <c r="V942" s="251"/>
      <c r="W942" s="251"/>
      <c r="X942" s="251"/>
      <c r="Y942" s="251"/>
      <c r="Z942" s="251"/>
    </row>
    <row r="943">
      <c r="A943" s="251"/>
      <c r="B943" s="251"/>
      <c r="C943" s="251"/>
      <c r="D943" s="251"/>
      <c r="E943" s="251"/>
      <c r="F943" s="251"/>
      <c r="G943" s="251"/>
      <c r="H943" s="251"/>
      <c r="I943" s="251"/>
      <c r="J943" s="251"/>
      <c r="K943" s="251"/>
      <c r="L943" s="251"/>
      <c r="M943" s="251"/>
      <c r="N943" s="251"/>
      <c r="O943" s="251"/>
      <c r="P943" s="251"/>
      <c r="Q943" s="251"/>
      <c r="R943" s="251"/>
      <c r="S943" s="251"/>
      <c r="T943" s="251"/>
      <c r="U943" s="251"/>
      <c r="V943" s="251"/>
      <c r="W943" s="251"/>
      <c r="X943" s="251"/>
      <c r="Y943" s="251"/>
      <c r="Z943" s="251"/>
    </row>
    <row r="944">
      <c r="A944" s="251"/>
      <c r="B944" s="251"/>
      <c r="C944" s="251"/>
      <c r="D944" s="251"/>
      <c r="E944" s="251"/>
      <c r="F944" s="251"/>
      <c r="G944" s="251"/>
      <c r="H944" s="251"/>
      <c r="I944" s="251"/>
      <c r="J944" s="251"/>
      <c r="K944" s="251"/>
      <c r="L944" s="251"/>
      <c r="M944" s="251"/>
      <c r="N944" s="251"/>
      <c r="O944" s="251"/>
      <c r="P944" s="251"/>
      <c r="Q944" s="251"/>
      <c r="R944" s="251"/>
      <c r="S944" s="251"/>
      <c r="T944" s="251"/>
      <c r="U944" s="251"/>
      <c r="V944" s="251"/>
      <c r="W944" s="251"/>
      <c r="X944" s="251"/>
      <c r="Y944" s="251"/>
      <c r="Z944" s="251"/>
    </row>
    <row r="945">
      <c r="A945" s="251"/>
      <c r="B945" s="251"/>
      <c r="C945" s="251"/>
      <c r="D945" s="251"/>
      <c r="E945" s="251"/>
      <c r="F945" s="251"/>
      <c r="G945" s="251"/>
      <c r="H945" s="251"/>
      <c r="I945" s="251"/>
      <c r="J945" s="251"/>
      <c r="K945" s="251"/>
      <c r="L945" s="251"/>
      <c r="M945" s="251"/>
      <c r="N945" s="251"/>
      <c r="O945" s="251"/>
      <c r="P945" s="251"/>
      <c r="Q945" s="251"/>
      <c r="R945" s="251"/>
      <c r="S945" s="251"/>
      <c r="T945" s="251"/>
      <c r="U945" s="251"/>
      <c r="V945" s="251"/>
      <c r="W945" s="251"/>
      <c r="X945" s="251"/>
      <c r="Y945" s="251"/>
      <c r="Z945" s="251"/>
    </row>
    <row r="946">
      <c r="A946" s="251"/>
      <c r="B946" s="251"/>
      <c r="C946" s="251"/>
      <c r="D946" s="251"/>
      <c r="E946" s="251"/>
      <c r="F946" s="251"/>
      <c r="G946" s="251"/>
      <c r="H946" s="251"/>
      <c r="I946" s="251"/>
      <c r="J946" s="251"/>
      <c r="K946" s="251"/>
      <c r="L946" s="251"/>
      <c r="M946" s="251"/>
      <c r="N946" s="251"/>
      <c r="O946" s="251"/>
      <c r="P946" s="251"/>
      <c r="Q946" s="251"/>
      <c r="R946" s="251"/>
      <c r="S946" s="251"/>
      <c r="T946" s="251"/>
      <c r="U946" s="251"/>
      <c r="V946" s="251"/>
      <c r="W946" s="251"/>
      <c r="X946" s="251"/>
      <c r="Y946" s="251"/>
      <c r="Z946" s="251"/>
    </row>
    <row r="947">
      <c r="A947" s="251"/>
      <c r="B947" s="251"/>
      <c r="C947" s="251"/>
      <c r="D947" s="251"/>
      <c r="E947" s="251"/>
      <c r="F947" s="251"/>
      <c r="G947" s="251"/>
      <c r="H947" s="251"/>
      <c r="I947" s="251"/>
      <c r="J947" s="251"/>
      <c r="K947" s="251"/>
      <c r="L947" s="251"/>
      <c r="M947" s="251"/>
      <c r="N947" s="251"/>
      <c r="O947" s="251"/>
      <c r="P947" s="251"/>
      <c r="Q947" s="251"/>
      <c r="R947" s="251"/>
      <c r="S947" s="251"/>
      <c r="T947" s="251"/>
      <c r="U947" s="251"/>
      <c r="V947" s="251"/>
      <c r="W947" s="251"/>
      <c r="X947" s="251"/>
      <c r="Y947" s="251"/>
      <c r="Z947" s="251"/>
    </row>
    <row r="948">
      <c r="A948" s="251"/>
      <c r="B948" s="251"/>
      <c r="C948" s="251"/>
      <c r="D948" s="251"/>
      <c r="E948" s="251"/>
      <c r="F948" s="251"/>
      <c r="G948" s="251"/>
      <c r="H948" s="251"/>
      <c r="I948" s="251"/>
      <c r="J948" s="251"/>
      <c r="K948" s="251"/>
      <c r="L948" s="251"/>
      <c r="M948" s="251"/>
      <c r="N948" s="251"/>
      <c r="O948" s="251"/>
      <c r="P948" s="251"/>
      <c r="Q948" s="251"/>
      <c r="R948" s="251"/>
      <c r="S948" s="251"/>
      <c r="T948" s="251"/>
      <c r="U948" s="251"/>
      <c r="V948" s="251"/>
      <c r="W948" s="251"/>
      <c r="X948" s="251"/>
      <c r="Y948" s="251"/>
      <c r="Z948" s="251"/>
    </row>
    <row r="949">
      <c r="A949" s="251"/>
      <c r="B949" s="251"/>
      <c r="C949" s="251"/>
      <c r="D949" s="251"/>
      <c r="E949" s="251"/>
      <c r="F949" s="251"/>
      <c r="G949" s="251"/>
      <c r="H949" s="251"/>
      <c r="I949" s="251"/>
      <c r="J949" s="251"/>
      <c r="K949" s="251"/>
      <c r="L949" s="251"/>
      <c r="M949" s="251"/>
      <c r="N949" s="251"/>
      <c r="O949" s="251"/>
      <c r="P949" s="251"/>
      <c r="Q949" s="251"/>
      <c r="R949" s="251"/>
      <c r="S949" s="251"/>
      <c r="T949" s="251"/>
      <c r="U949" s="251"/>
      <c r="V949" s="251"/>
      <c r="W949" s="251"/>
      <c r="X949" s="251"/>
      <c r="Y949" s="251"/>
      <c r="Z949" s="251"/>
    </row>
    <row r="950">
      <c r="A950" s="251"/>
      <c r="B950" s="251"/>
      <c r="C950" s="251"/>
      <c r="D950" s="251"/>
      <c r="E950" s="251"/>
      <c r="F950" s="251"/>
      <c r="G950" s="251"/>
      <c r="H950" s="251"/>
      <c r="I950" s="251"/>
      <c r="J950" s="251"/>
      <c r="K950" s="251"/>
      <c r="L950" s="251"/>
      <c r="M950" s="251"/>
      <c r="N950" s="251"/>
      <c r="O950" s="251"/>
      <c r="P950" s="251"/>
      <c r="Q950" s="251"/>
      <c r="R950" s="251"/>
      <c r="S950" s="251"/>
      <c r="T950" s="251"/>
      <c r="U950" s="251"/>
      <c r="V950" s="251"/>
      <c r="W950" s="251"/>
      <c r="X950" s="251"/>
      <c r="Y950" s="251"/>
      <c r="Z950" s="251"/>
    </row>
    <row r="951">
      <c r="A951" s="251"/>
      <c r="B951" s="251"/>
      <c r="C951" s="251"/>
      <c r="D951" s="251"/>
      <c r="E951" s="251"/>
      <c r="F951" s="251"/>
      <c r="G951" s="251"/>
      <c r="H951" s="251"/>
      <c r="I951" s="251"/>
      <c r="J951" s="251"/>
      <c r="K951" s="251"/>
      <c r="L951" s="251"/>
      <c r="M951" s="251"/>
      <c r="N951" s="251"/>
      <c r="O951" s="251"/>
      <c r="P951" s="251"/>
      <c r="Q951" s="251"/>
      <c r="R951" s="251"/>
      <c r="S951" s="251"/>
      <c r="T951" s="251"/>
      <c r="U951" s="251"/>
      <c r="V951" s="251"/>
      <c r="W951" s="251"/>
      <c r="X951" s="251"/>
      <c r="Y951" s="251"/>
      <c r="Z951" s="251"/>
    </row>
    <row r="952">
      <c r="A952" s="251"/>
      <c r="B952" s="251"/>
      <c r="C952" s="251"/>
      <c r="D952" s="251"/>
      <c r="E952" s="251"/>
      <c r="F952" s="251"/>
      <c r="G952" s="251"/>
      <c r="H952" s="251"/>
      <c r="I952" s="251"/>
      <c r="J952" s="251"/>
      <c r="K952" s="251"/>
      <c r="L952" s="251"/>
      <c r="M952" s="251"/>
      <c r="N952" s="251"/>
      <c r="O952" s="251"/>
      <c r="P952" s="251"/>
      <c r="Q952" s="251"/>
      <c r="R952" s="251"/>
      <c r="S952" s="251"/>
      <c r="T952" s="251"/>
      <c r="U952" s="251"/>
      <c r="V952" s="251"/>
      <c r="W952" s="251"/>
      <c r="X952" s="251"/>
      <c r="Y952" s="251"/>
      <c r="Z952" s="251"/>
    </row>
    <row r="953">
      <c r="A953" s="251"/>
      <c r="B953" s="251"/>
      <c r="C953" s="251"/>
      <c r="D953" s="251"/>
      <c r="E953" s="251"/>
      <c r="F953" s="251"/>
      <c r="G953" s="251"/>
      <c r="H953" s="251"/>
      <c r="I953" s="251"/>
      <c r="J953" s="251"/>
      <c r="K953" s="251"/>
      <c r="L953" s="251"/>
      <c r="M953" s="251"/>
      <c r="N953" s="251"/>
      <c r="O953" s="251"/>
      <c r="P953" s="251"/>
      <c r="Q953" s="251"/>
      <c r="R953" s="251"/>
      <c r="S953" s="251"/>
      <c r="T953" s="251"/>
      <c r="U953" s="251"/>
      <c r="V953" s="251"/>
      <c r="W953" s="251"/>
      <c r="X953" s="251"/>
      <c r="Y953" s="251"/>
      <c r="Z953" s="251"/>
    </row>
    <row r="954">
      <c r="A954" s="251"/>
      <c r="B954" s="251"/>
      <c r="C954" s="251"/>
      <c r="D954" s="251"/>
      <c r="E954" s="251"/>
      <c r="F954" s="251"/>
      <c r="G954" s="251"/>
      <c r="H954" s="251"/>
      <c r="I954" s="251"/>
      <c r="J954" s="251"/>
      <c r="K954" s="251"/>
      <c r="L954" s="251"/>
      <c r="M954" s="251"/>
      <c r="N954" s="251"/>
      <c r="O954" s="251"/>
      <c r="P954" s="251"/>
      <c r="Q954" s="251"/>
      <c r="R954" s="251"/>
      <c r="S954" s="251"/>
      <c r="T954" s="251"/>
      <c r="U954" s="251"/>
      <c r="V954" s="251"/>
      <c r="W954" s="251"/>
      <c r="X954" s="251"/>
      <c r="Y954" s="251"/>
      <c r="Z954" s="251"/>
    </row>
    <row r="955">
      <c r="A955" s="251"/>
      <c r="B955" s="251"/>
      <c r="C955" s="251"/>
      <c r="D955" s="251"/>
      <c r="E955" s="251"/>
      <c r="F955" s="251"/>
      <c r="G955" s="251"/>
      <c r="H955" s="251"/>
      <c r="I955" s="251"/>
      <c r="J955" s="251"/>
      <c r="K955" s="251"/>
      <c r="L955" s="251"/>
      <c r="M955" s="251"/>
      <c r="N955" s="251"/>
      <c r="O955" s="251"/>
      <c r="P955" s="251"/>
      <c r="Q955" s="251"/>
      <c r="R955" s="251"/>
      <c r="S955" s="251"/>
      <c r="T955" s="251"/>
      <c r="U955" s="251"/>
      <c r="V955" s="251"/>
      <c r="W955" s="251"/>
      <c r="X955" s="251"/>
      <c r="Y955" s="251"/>
      <c r="Z955" s="251"/>
    </row>
    <row r="956">
      <c r="A956" s="251"/>
      <c r="B956" s="251"/>
      <c r="C956" s="251"/>
      <c r="D956" s="251"/>
      <c r="E956" s="251"/>
      <c r="F956" s="251"/>
      <c r="G956" s="251"/>
      <c r="H956" s="251"/>
      <c r="I956" s="251"/>
      <c r="J956" s="251"/>
      <c r="K956" s="251"/>
      <c r="L956" s="251"/>
      <c r="M956" s="251"/>
      <c r="N956" s="251"/>
      <c r="O956" s="251"/>
      <c r="P956" s="251"/>
      <c r="Q956" s="251"/>
      <c r="R956" s="251"/>
      <c r="S956" s="251"/>
      <c r="T956" s="251"/>
      <c r="U956" s="251"/>
      <c r="V956" s="251"/>
      <c r="W956" s="251"/>
      <c r="X956" s="251"/>
      <c r="Y956" s="251"/>
      <c r="Z956" s="251"/>
    </row>
    <row r="957">
      <c r="A957" s="251"/>
      <c r="B957" s="251"/>
      <c r="C957" s="251"/>
      <c r="D957" s="251"/>
      <c r="E957" s="251"/>
      <c r="F957" s="251"/>
      <c r="G957" s="251"/>
      <c r="H957" s="251"/>
      <c r="I957" s="251"/>
      <c r="J957" s="251"/>
      <c r="K957" s="251"/>
      <c r="L957" s="251"/>
      <c r="M957" s="251"/>
      <c r="N957" s="251"/>
      <c r="O957" s="251"/>
      <c r="P957" s="251"/>
      <c r="Q957" s="251"/>
      <c r="R957" s="251"/>
      <c r="S957" s="251"/>
      <c r="T957" s="251"/>
      <c r="U957" s="251"/>
      <c r="V957" s="251"/>
      <c r="W957" s="251"/>
      <c r="X957" s="251"/>
      <c r="Y957" s="251"/>
      <c r="Z957" s="251"/>
    </row>
    <row r="958">
      <c r="A958" s="251"/>
      <c r="B958" s="251"/>
      <c r="C958" s="251"/>
      <c r="D958" s="251"/>
      <c r="E958" s="251"/>
      <c r="F958" s="251"/>
      <c r="G958" s="251"/>
      <c r="H958" s="251"/>
      <c r="I958" s="251"/>
      <c r="J958" s="251"/>
      <c r="K958" s="251"/>
      <c r="L958" s="251"/>
      <c r="M958" s="251"/>
      <c r="N958" s="251"/>
      <c r="O958" s="251"/>
      <c r="P958" s="251"/>
      <c r="Q958" s="251"/>
      <c r="R958" s="251"/>
      <c r="S958" s="251"/>
      <c r="T958" s="251"/>
      <c r="U958" s="251"/>
      <c r="V958" s="251"/>
      <c r="W958" s="251"/>
      <c r="X958" s="251"/>
      <c r="Y958" s="251"/>
      <c r="Z958" s="251"/>
    </row>
    <row r="959">
      <c r="A959" s="251"/>
      <c r="B959" s="251"/>
      <c r="C959" s="251"/>
      <c r="D959" s="251"/>
      <c r="E959" s="251"/>
      <c r="F959" s="251"/>
      <c r="G959" s="251"/>
      <c r="H959" s="251"/>
      <c r="I959" s="251"/>
      <c r="J959" s="251"/>
      <c r="K959" s="251"/>
      <c r="L959" s="251"/>
      <c r="M959" s="251"/>
      <c r="N959" s="251"/>
      <c r="O959" s="251"/>
      <c r="P959" s="251"/>
      <c r="Q959" s="251"/>
      <c r="R959" s="251"/>
      <c r="S959" s="251"/>
      <c r="T959" s="251"/>
      <c r="U959" s="251"/>
      <c r="V959" s="251"/>
      <c r="W959" s="251"/>
      <c r="X959" s="251"/>
      <c r="Y959" s="251"/>
      <c r="Z959" s="251"/>
    </row>
    <row r="960">
      <c r="A960" s="251"/>
      <c r="B960" s="251"/>
      <c r="C960" s="251"/>
      <c r="D960" s="251"/>
      <c r="E960" s="251"/>
      <c r="F960" s="251"/>
      <c r="G960" s="251"/>
      <c r="H960" s="251"/>
      <c r="I960" s="251"/>
      <c r="J960" s="251"/>
      <c r="K960" s="251"/>
      <c r="L960" s="251"/>
      <c r="M960" s="251"/>
      <c r="N960" s="251"/>
      <c r="O960" s="251"/>
      <c r="P960" s="251"/>
      <c r="Q960" s="251"/>
      <c r="R960" s="251"/>
      <c r="S960" s="251"/>
      <c r="T960" s="251"/>
      <c r="U960" s="251"/>
      <c r="V960" s="251"/>
      <c r="W960" s="251"/>
      <c r="X960" s="251"/>
      <c r="Y960" s="251"/>
      <c r="Z960" s="251"/>
    </row>
    <row r="961">
      <c r="A961" s="251"/>
      <c r="B961" s="251"/>
      <c r="C961" s="251"/>
      <c r="D961" s="251"/>
      <c r="E961" s="251"/>
      <c r="F961" s="251"/>
      <c r="G961" s="251"/>
      <c r="H961" s="251"/>
      <c r="I961" s="251"/>
      <c r="J961" s="251"/>
      <c r="K961" s="251"/>
      <c r="L961" s="251"/>
      <c r="M961" s="251"/>
      <c r="N961" s="251"/>
      <c r="O961" s="251"/>
      <c r="P961" s="251"/>
      <c r="Q961" s="251"/>
      <c r="R961" s="251"/>
      <c r="S961" s="251"/>
      <c r="T961" s="251"/>
      <c r="U961" s="251"/>
      <c r="V961" s="251"/>
      <c r="W961" s="251"/>
      <c r="X961" s="251"/>
      <c r="Y961" s="251"/>
      <c r="Z961" s="251"/>
    </row>
    <row r="962">
      <c r="A962" s="251"/>
      <c r="B962" s="251"/>
      <c r="C962" s="251"/>
      <c r="D962" s="251"/>
      <c r="E962" s="251"/>
      <c r="F962" s="251"/>
      <c r="G962" s="251"/>
      <c r="H962" s="251"/>
      <c r="I962" s="251"/>
      <c r="J962" s="251"/>
      <c r="K962" s="251"/>
      <c r="L962" s="251"/>
      <c r="M962" s="251"/>
      <c r="N962" s="251"/>
      <c r="O962" s="251"/>
      <c r="P962" s="251"/>
      <c r="Q962" s="251"/>
      <c r="R962" s="251"/>
      <c r="S962" s="251"/>
      <c r="T962" s="251"/>
      <c r="U962" s="251"/>
      <c r="V962" s="251"/>
      <c r="W962" s="251"/>
      <c r="X962" s="251"/>
      <c r="Y962" s="251"/>
      <c r="Z962" s="251"/>
    </row>
    <row r="963">
      <c r="A963" s="251"/>
      <c r="B963" s="251"/>
      <c r="C963" s="251"/>
      <c r="D963" s="251"/>
      <c r="E963" s="251"/>
      <c r="F963" s="251"/>
      <c r="G963" s="251"/>
      <c r="H963" s="251"/>
      <c r="I963" s="251"/>
      <c r="J963" s="251"/>
      <c r="K963" s="251"/>
      <c r="L963" s="251"/>
      <c r="M963" s="251"/>
      <c r="N963" s="251"/>
      <c r="O963" s="251"/>
      <c r="P963" s="251"/>
      <c r="Q963" s="251"/>
      <c r="R963" s="251"/>
      <c r="S963" s="251"/>
      <c r="T963" s="251"/>
      <c r="U963" s="251"/>
      <c r="V963" s="251"/>
      <c r="W963" s="251"/>
      <c r="X963" s="251"/>
      <c r="Y963" s="251"/>
      <c r="Z963" s="251"/>
    </row>
    <row r="964">
      <c r="A964" s="251"/>
      <c r="B964" s="251"/>
      <c r="C964" s="251"/>
      <c r="D964" s="251"/>
      <c r="E964" s="251"/>
      <c r="F964" s="251"/>
      <c r="G964" s="251"/>
      <c r="H964" s="251"/>
      <c r="I964" s="251"/>
      <c r="J964" s="251"/>
      <c r="K964" s="251"/>
      <c r="L964" s="251"/>
      <c r="M964" s="251"/>
      <c r="N964" s="251"/>
      <c r="O964" s="251"/>
      <c r="P964" s="251"/>
      <c r="Q964" s="251"/>
      <c r="R964" s="251"/>
      <c r="S964" s="251"/>
      <c r="T964" s="251"/>
      <c r="U964" s="251"/>
      <c r="V964" s="251"/>
      <c r="W964" s="251"/>
      <c r="X964" s="251"/>
      <c r="Y964" s="251"/>
      <c r="Z964" s="251"/>
    </row>
    <row r="965">
      <c r="A965" s="251"/>
      <c r="B965" s="251"/>
      <c r="C965" s="251"/>
      <c r="D965" s="251"/>
      <c r="E965" s="251"/>
      <c r="F965" s="251"/>
      <c r="G965" s="251"/>
      <c r="H965" s="251"/>
      <c r="I965" s="251"/>
      <c r="J965" s="251"/>
      <c r="K965" s="251"/>
      <c r="L965" s="251"/>
      <c r="M965" s="251"/>
      <c r="N965" s="251"/>
      <c r="O965" s="251"/>
      <c r="P965" s="251"/>
      <c r="Q965" s="251"/>
      <c r="R965" s="251"/>
      <c r="S965" s="251"/>
      <c r="T965" s="251"/>
      <c r="U965" s="251"/>
      <c r="V965" s="251"/>
      <c r="W965" s="251"/>
      <c r="X965" s="251"/>
      <c r="Y965" s="251"/>
      <c r="Z965" s="251"/>
    </row>
    <row r="966">
      <c r="A966" s="251"/>
      <c r="B966" s="251"/>
      <c r="C966" s="251"/>
      <c r="D966" s="251"/>
      <c r="E966" s="251"/>
      <c r="F966" s="251"/>
      <c r="G966" s="251"/>
      <c r="H966" s="251"/>
      <c r="I966" s="251"/>
      <c r="J966" s="251"/>
      <c r="K966" s="251"/>
      <c r="L966" s="251"/>
      <c r="M966" s="251"/>
      <c r="N966" s="251"/>
      <c r="O966" s="251"/>
      <c r="P966" s="251"/>
      <c r="Q966" s="251"/>
      <c r="R966" s="251"/>
      <c r="S966" s="251"/>
      <c r="T966" s="251"/>
      <c r="U966" s="251"/>
      <c r="V966" s="251"/>
      <c r="W966" s="251"/>
      <c r="X966" s="251"/>
      <c r="Y966" s="251"/>
      <c r="Z966" s="251"/>
    </row>
    <row r="967">
      <c r="A967" s="251"/>
      <c r="B967" s="251"/>
      <c r="C967" s="251"/>
      <c r="D967" s="251"/>
      <c r="E967" s="251"/>
      <c r="F967" s="251"/>
      <c r="G967" s="251"/>
      <c r="H967" s="251"/>
      <c r="I967" s="251"/>
      <c r="J967" s="251"/>
      <c r="K967" s="251"/>
      <c r="L967" s="251"/>
      <c r="M967" s="251"/>
      <c r="N967" s="251"/>
      <c r="O967" s="251"/>
      <c r="P967" s="251"/>
      <c r="Q967" s="251"/>
      <c r="R967" s="251"/>
      <c r="S967" s="251"/>
      <c r="T967" s="251"/>
      <c r="U967" s="251"/>
      <c r="V967" s="251"/>
      <c r="W967" s="251"/>
      <c r="X967" s="251"/>
      <c r="Y967" s="251"/>
      <c r="Z967" s="251"/>
    </row>
    <row r="968">
      <c r="A968" s="251"/>
      <c r="B968" s="251"/>
      <c r="C968" s="251"/>
      <c r="D968" s="251"/>
      <c r="E968" s="251"/>
      <c r="F968" s="251"/>
      <c r="G968" s="251"/>
      <c r="H968" s="251"/>
      <c r="I968" s="251"/>
      <c r="J968" s="251"/>
      <c r="K968" s="251"/>
      <c r="L968" s="251"/>
      <c r="M968" s="251"/>
      <c r="N968" s="251"/>
      <c r="O968" s="251"/>
      <c r="P968" s="251"/>
      <c r="Q968" s="251"/>
      <c r="R968" s="251"/>
      <c r="S968" s="251"/>
      <c r="T968" s="251"/>
      <c r="U968" s="251"/>
      <c r="V968" s="251"/>
      <c r="W968" s="251"/>
      <c r="X968" s="251"/>
      <c r="Y968" s="251"/>
      <c r="Z968" s="251"/>
    </row>
    <row r="969">
      <c r="A969" s="251"/>
      <c r="B969" s="251"/>
      <c r="C969" s="251"/>
      <c r="D969" s="251"/>
      <c r="E969" s="251"/>
      <c r="F969" s="251"/>
      <c r="G969" s="251"/>
      <c r="H969" s="251"/>
      <c r="I969" s="251"/>
      <c r="J969" s="251"/>
      <c r="K969" s="251"/>
      <c r="L969" s="251"/>
      <c r="M969" s="251"/>
      <c r="N969" s="251"/>
      <c r="O969" s="251"/>
      <c r="P969" s="251"/>
      <c r="Q969" s="251"/>
      <c r="R969" s="251"/>
      <c r="S969" s="251"/>
      <c r="T969" s="251"/>
      <c r="U969" s="251"/>
      <c r="V969" s="251"/>
      <c r="W969" s="251"/>
      <c r="X969" s="251"/>
      <c r="Y969" s="251"/>
      <c r="Z969" s="251"/>
    </row>
    <row r="970">
      <c r="A970" s="251"/>
      <c r="B970" s="251"/>
      <c r="C970" s="251"/>
      <c r="D970" s="251"/>
      <c r="E970" s="251"/>
      <c r="F970" s="251"/>
      <c r="G970" s="251"/>
      <c r="H970" s="251"/>
      <c r="I970" s="251"/>
      <c r="J970" s="251"/>
      <c r="K970" s="251"/>
      <c r="L970" s="251"/>
      <c r="M970" s="251"/>
      <c r="N970" s="251"/>
      <c r="O970" s="251"/>
      <c r="P970" s="251"/>
      <c r="Q970" s="251"/>
      <c r="R970" s="251"/>
      <c r="S970" s="251"/>
      <c r="T970" s="251"/>
      <c r="U970" s="251"/>
      <c r="V970" s="251"/>
      <c r="W970" s="251"/>
      <c r="X970" s="251"/>
      <c r="Y970" s="251"/>
      <c r="Z970" s="251"/>
    </row>
    <row r="971">
      <c r="A971" s="251"/>
      <c r="B971" s="251"/>
      <c r="C971" s="251"/>
      <c r="D971" s="251"/>
      <c r="E971" s="251"/>
      <c r="F971" s="251"/>
      <c r="G971" s="251"/>
      <c r="H971" s="251"/>
      <c r="I971" s="251"/>
      <c r="J971" s="251"/>
      <c r="K971" s="251"/>
      <c r="L971" s="251"/>
      <c r="M971" s="251"/>
      <c r="N971" s="251"/>
      <c r="O971" s="251"/>
      <c r="P971" s="251"/>
      <c r="Q971" s="251"/>
      <c r="R971" s="251"/>
      <c r="S971" s="251"/>
      <c r="T971" s="251"/>
      <c r="U971" s="251"/>
      <c r="V971" s="251"/>
      <c r="W971" s="251"/>
      <c r="X971" s="251"/>
      <c r="Y971" s="251"/>
      <c r="Z971" s="251"/>
    </row>
    <row r="972">
      <c r="A972" s="251"/>
      <c r="B972" s="251"/>
      <c r="C972" s="251"/>
      <c r="D972" s="251"/>
      <c r="E972" s="251"/>
      <c r="F972" s="251"/>
      <c r="G972" s="251"/>
      <c r="H972" s="251"/>
      <c r="I972" s="251"/>
      <c r="J972" s="251"/>
      <c r="K972" s="251"/>
      <c r="L972" s="251"/>
      <c r="M972" s="251"/>
      <c r="N972" s="251"/>
      <c r="O972" s="251"/>
      <c r="P972" s="251"/>
      <c r="Q972" s="251"/>
      <c r="R972" s="251"/>
      <c r="S972" s="251"/>
      <c r="T972" s="251"/>
      <c r="U972" s="251"/>
      <c r="V972" s="251"/>
      <c r="W972" s="251"/>
      <c r="X972" s="251"/>
      <c r="Y972" s="251"/>
      <c r="Z972" s="251"/>
    </row>
    <row r="973">
      <c r="A973" s="251"/>
      <c r="B973" s="251"/>
      <c r="C973" s="251"/>
      <c r="D973" s="251"/>
      <c r="E973" s="251"/>
      <c r="F973" s="251"/>
      <c r="G973" s="251"/>
      <c r="H973" s="251"/>
      <c r="I973" s="251"/>
      <c r="J973" s="251"/>
      <c r="K973" s="251"/>
      <c r="L973" s="251"/>
      <c r="M973" s="251"/>
      <c r="N973" s="251"/>
      <c r="O973" s="251"/>
      <c r="P973" s="251"/>
      <c r="Q973" s="251"/>
      <c r="R973" s="251"/>
      <c r="S973" s="251"/>
      <c r="T973" s="251"/>
      <c r="U973" s="251"/>
      <c r="V973" s="251"/>
      <c r="W973" s="251"/>
      <c r="X973" s="251"/>
      <c r="Y973" s="251"/>
      <c r="Z973" s="251"/>
    </row>
    <row r="974">
      <c r="A974" s="251"/>
      <c r="B974" s="251"/>
      <c r="C974" s="251"/>
      <c r="D974" s="251"/>
      <c r="E974" s="251"/>
      <c r="F974" s="251"/>
      <c r="G974" s="251"/>
      <c r="H974" s="251"/>
      <c r="I974" s="251"/>
      <c r="J974" s="251"/>
      <c r="K974" s="251"/>
      <c r="L974" s="251"/>
      <c r="M974" s="251"/>
      <c r="N974" s="251"/>
      <c r="O974" s="251"/>
      <c r="P974" s="251"/>
      <c r="Q974" s="251"/>
      <c r="R974" s="251"/>
      <c r="S974" s="251"/>
      <c r="T974" s="251"/>
      <c r="U974" s="251"/>
      <c r="V974" s="251"/>
      <c r="W974" s="251"/>
      <c r="X974" s="251"/>
      <c r="Y974" s="251"/>
      <c r="Z974" s="251"/>
    </row>
    <row r="975">
      <c r="A975" s="251"/>
      <c r="B975" s="251"/>
      <c r="C975" s="251"/>
      <c r="D975" s="251"/>
      <c r="E975" s="251"/>
      <c r="F975" s="251"/>
      <c r="G975" s="251"/>
      <c r="H975" s="251"/>
      <c r="I975" s="251"/>
      <c r="J975" s="251"/>
      <c r="K975" s="251"/>
      <c r="L975" s="251"/>
      <c r="M975" s="251"/>
      <c r="N975" s="251"/>
      <c r="O975" s="251"/>
      <c r="P975" s="251"/>
      <c r="Q975" s="251"/>
      <c r="R975" s="251"/>
      <c r="S975" s="251"/>
      <c r="T975" s="251"/>
      <c r="U975" s="251"/>
      <c r="V975" s="251"/>
      <c r="W975" s="251"/>
      <c r="X975" s="251"/>
      <c r="Y975" s="251"/>
      <c r="Z975" s="251"/>
    </row>
    <row r="976">
      <c r="A976" s="251"/>
      <c r="B976" s="251"/>
      <c r="C976" s="251"/>
      <c r="D976" s="251"/>
      <c r="E976" s="251"/>
      <c r="F976" s="251"/>
      <c r="G976" s="251"/>
      <c r="H976" s="251"/>
      <c r="I976" s="251"/>
      <c r="J976" s="251"/>
      <c r="K976" s="251"/>
      <c r="L976" s="251"/>
      <c r="M976" s="251"/>
      <c r="N976" s="251"/>
      <c r="O976" s="251"/>
      <c r="P976" s="251"/>
      <c r="Q976" s="251"/>
      <c r="R976" s="251"/>
      <c r="S976" s="251"/>
      <c r="T976" s="251"/>
      <c r="U976" s="251"/>
      <c r="V976" s="251"/>
      <c r="W976" s="251"/>
      <c r="X976" s="251"/>
      <c r="Y976" s="251"/>
      <c r="Z976" s="251"/>
    </row>
    <row r="977">
      <c r="A977" s="251"/>
      <c r="B977" s="251"/>
      <c r="C977" s="251"/>
      <c r="D977" s="251"/>
      <c r="E977" s="251"/>
      <c r="F977" s="251"/>
      <c r="G977" s="251"/>
      <c r="H977" s="251"/>
      <c r="I977" s="251"/>
      <c r="J977" s="251"/>
      <c r="K977" s="251"/>
      <c r="L977" s="251"/>
      <c r="M977" s="251"/>
      <c r="N977" s="251"/>
      <c r="O977" s="251"/>
      <c r="P977" s="251"/>
      <c r="Q977" s="251"/>
      <c r="R977" s="251"/>
      <c r="S977" s="251"/>
      <c r="T977" s="251"/>
      <c r="U977" s="251"/>
      <c r="V977" s="251"/>
      <c r="W977" s="251"/>
      <c r="X977" s="251"/>
      <c r="Y977" s="251"/>
      <c r="Z977" s="251"/>
    </row>
    <row r="978">
      <c r="A978" s="251"/>
      <c r="B978" s="251"/>
      <c r="C978" s="251"/>
      <c r="D978" s="251"/>
      <c r="E978" s="251"/>
      <c r="F978" s="251"/>
      <c r="G978" s="251"/>
      <c r="H978" s="251"/>
      <c r="I978" s="251"/>
      <c r="J978" s="251"/>
      <c r="K978" s="251"/>
      <c r="L978" s="251"/>
      <c r="M978" s="251"/>
      <c r="N978" s="251"/>
      <c r="O978" s="251"/>
      <c r="P978" s="251"/>
      <c r="Q978" s="251"/>
      <c r="R978" s="251"/>
      <c r="S978" s="251"/>
      <c r="T978" s="251"/>
      <c r="U978" s="251"/>
      <c r="V978" s="251"/>
      <c r="W978" s="251"/>
      <c r="X978" s="251"/>
      <c r="Y978" s="251"/>
      <c r="Z978" s="251"/>
    </row>
    <row r="979">
      <c r="A979" s="251"/>
      <c r="B979" s="251"/>
      <c r="C979" s="251"/>
      <c r="D979" s="251"/>
      <c r="E979" s="251"/>
      <c r="F979" s="251"/>
      <c r="G979" s="251"/>
      <c r="H979" s="251"/>
      <c r="I979" s="251"/>
      <c r="J979" s="251"/>
      <c r="K979" s="251"/>
      <c r="L979" s="251"/>
      <c r="M979" s="251"/>
      <c r="N979" s="251"/>
      <c r="O979" s="251"/>
      <c r="P979" s="251"/>
      <c r="Q979" s="251"/>
      <c r="R979" s="251"/>
      <c r="S979" s="251"/>
      <c r="T979" s="251"/>
      <c r="U979" s="251"/>
      <c r="V979" s="251"/>
      <c r="W979" s="251"/>
      <c r="X979" s="251"/>
      <c r="Y979" s="251"/>
      <c r="Z979" s="251"/>
    </row>
    <row r="980">
      <c r="A980" s="251"/>
      <c r="B980" s="251"/>
      <c r="C980" s="251"/>
      <c r="D980" s="251"/>
      <c r="E980" s="251"/>
      <c r="F980" s="251"/>
      <c r="G980" s="251"/>
      <c r="H980" s="251"/>
      <c r="I980" s="251"/>
      <c r="J980" s="251"/>
      <c r="K980" s="251"/>
      <c r="L980" s="251"/>
      <c r="M980" s="251"/>
      <c r="N980" s="251"/>
      <c r="O980" s="251"/>
      <c r="P980" s="251"/>
      <c r="Q980" s="251"/>
      <c r="R980" s="251"/>
      <c r="S980" s="251"/>
      <c r="T980" s="251"/>
      <c r="U980" s="251"/>
      <c r="V980" s="251"/>
      <c r="W980" s="251"/>
      <c r="X980" s="251"/>
      <c r="Y980" s="251"/>
      <c r="Z980" s="251"/>
    </row>
    <row r="981">
      <c r="A981" s="251"/>
      <c r="B981" s="251"/>
      <c r="C981" s="251"/>
      <c r="D981" s="251"/>
      <c r="E981" s="251"/>
      <c r="F981" s="251"/>
      <c r="G981" s="251"/>
      <c r="H981" s="251"/>
      <c r="I981" s="251"/>
      <c r="J981" s="251"/>
      <c r="K981" s="251"/>
      <c r="L981" s="251"/>
      <c r="M981" s="251"/>
      <c r="N981" s="251"/>
      <c r="O981" s="251"/>
      <c r="P981" s="251"/>
      <c r="Q981" s="251"/>
      <c r="R981" s="251"/>
      <c r="S981" s="251"/>
      <c r="T981" s="251"/>
      <c r="U981" s="251"/>
      <c r="V981" s="251"/>
      <c r="W981" s="251"/>
      <c r="X981" s="251"/>
      <c r="Y981" s="251"/>
      <c r="Z981" s="251"/>
    </row>
    <row r="982">
      <c r="A982" s="251"/>
      <c r="B982" s="251"/>
      <c r="C982" s="251"/>
      <c r="D982" s="251"/>
      <c r="E982" s="251"/>
      <c r="F982" s="251"/>
      <c r="G982" s="251"/>
      <c r="H982" s="251"/>
      <c r="I982" s="251"/>
      <c r="J982" s="251"/>
      <c r="K982" s="251"/>
      <c r="L982" s="251"/>
      <c r="M982" s="251"/>
      <c r="N982" s="251"/>
      <c r="O982" s="251"/>
      <c r="P982" s="251"/>
      <c r="Q982" s="251"/>
      <c r="R982" s="251"/>
      <c r="S982" s="251"/>
      <c r="T982" s="251"/>
      <c r="U982" s="251"/>
      <c r="V982" s="251"/>
      <c r="W982" s="251"/>
      <c r="X982" s="251"/>
      <c r="Y982" s="251"/>
      <c r="Z982" s="251"/>
    </row>
    <row r="983">
      <c r="A983" s="251"/>
      <c r="B983" s="251"/>
      <c r="C983" s="251"/>
      <c r="D983" s="251"/>
      <c r="E983" s="251"/>
      <c r="F983" s="251"/>
      <c r="G983" s="251"/>
      <c r="H983" s="251"/>
      <c r="I983" s="251"/>
      <c r="J983" s="251"/>
      <c r="K983" s="251"/>
      <c r="L983" s="251"/>
      <c r="M983" s="251"/>
      <c r="N983" s="251"/>
      <c r="O983" s="251"/>
      <c r="P983" s="251"/>
      <c r="Q983" s="251"/>
      <c r="R983" s="251"/>
      <c r="S983" s="251"/>
      <c r="T983" s="251"/>
      <c r="U983" s="251"/>
      <c r="V983" s="251"/>
      <c r="W983" s="251"/>
      <c r="X983" s="251"/>
      <c r="Y983" s="251"/>
      <c r="Z983" s="251"/>
    </row>
    <row r="984">
      <c r="A984" s="251"/>
      <c r="B984" s="251"/>
      <c r="C984" s="251"/>
      <c r="D984" s="251"/>
      <c r="E984" s="251"/>
      <c r="F984" s="251"/>
      <c r="G984" s="251"/>
      <c r="H984" s="251"/>
      <c r="I984" s="251"/>
      <c r="J984" s="251"/>
      <c r="K984" s="251"/>
      <c r="L984" s="251"/>
      <c r="M984" s="251"/>
      <c r="N984" s="251"/>
      <c r="O984" s="251"/>
      <c r="P984" s="251"/>
      <c r="Q984" s="251"/>
      <c r="R984" s="251"/>
      <c r="S984" s="251"/>
      <c r="T984" s="251"/>
      <c r="U984" s="251"/>
      <c r="V984" s="251"/>
      <c r="W984" s="251"/>
      <c r="X984" s="251"/>
      <c r="Y984" s="251"/>
      <c r="Z984" s="251"/>
    </row>
    <row r="985">
      <c r="A985" s="251"/>
      <c r="B985" s="251"/>
      <c r="C985" s="251"/>
      <c r="D985" s="251"/>
      <c r="E985" s="251"/>
      <c r="F985" s="251"/>
      <c r="G985" s="251"/>
      <c r="H985" s="251"/>
      <c r="I985" s="251"/>
      <c r="J985" s="251"/>
      <c r="K985" s="251"/>
      <c r="L985" s="251"/>
      <c r="M985" s="251"/>
      <c r="N985" s="251"/>
      <c r="O985" s="251"/>
      <c r="P985" s="251"/>
      <c r="Q985" s="251"/>
      <c r="R985" s="251"/>
      <c r="S985" s="251"/>
      <c r="T985" s="251"/>
      <c r="U985" s="251"/>
      <c r="V985" s="251"/>
      <c r="W985" s="251"/>
      <c r="X985" s="251"/>
      <c r="Y985" s="251"/>
      <c r="Z985" s="251"/>
    </row>
    <row r="986">
      <c r="A986" s="251"/>
      <c r="B986" s="251"/>
      <c r="C986" s="251"/>
      <c r="D986" s="251"/>
      <c r="E986" s="251"/>
      <c r="F986" s="251"/>
      <c r="G986" s="251"/>
      <c r="H986" s="251"/>
      <c r="I986" s="251"/>
      <c r="J986" s="251"/>
      <c r="K986" s="251"/>
      <c r="L986" s="251"/>
      <c r="M986" s="251"/>
      <c r="N986" s="251"/>
      <c r="O986" s="251"/>
      <c r="P986" s="251"/>
      <c r="Q986" s="251"/>
      <c r="R986" s="251"/>
      <c r="S986" s="251"/>
      <c r="T986" s="251"/>
      <c r="U986" s="251"/>
      <c r="V986" s="251"/>
      <c r="W986" s="251"/>
      <c r="X986" s="251"/>
      <c r="Y986" s="251"/>
      <c r="Z986" s="251"/>
    </row>
    <row r="987">
      <c r="A987" s="251"/>
      <c r="B987" s="251"/>
      <c r="C987" s="251"/>
      <c r="D987" s="251"/>
      <c r="E987" s="251"/>
      <c r="F987" s="251"/>
      <c r="G987" s="251"/>
      <c r="H987" s="251"/>
      <c r="I987" s="251"/>
      <c r="J987" s="251"/>
      <c r="K987" s="251"/>
      <c r="L987" s="251"/>
      <c r="M987" s="251"/>
      <c r="N987" s="251"/>
      <c r="O987" s="251"/>
      <c r="P987" s="251"/>
      <c r="Q987" s="251"/>
      <c r="R987" s="251"/>
      <c r="S987" s="251"/>
      <c r="T987" s="251"/>
      <c r="U987" s="251"/>
      <c r="V987" s="251"/>
      <c r="W987" s="251"/>
      <c r="X987" s="251"/>
      <c r="Y987" s="251"/>
      <c r="Z987" s="251"/>
    </row>
    <row r="988">
      <c r="A988" s="251"/>
      <c r="B988" s="251"/>
      <c r="C988" s="251"/>
      <c r="D988" s="251"/>
      <c r="E988" s="251"/>
      <c r="F988" s="251"/>
      <c r="G988" s="251"/>
      <c r="H988" s="251"/>
      <c r="I988" s="251"/>
      <c r="J988" s="251"/>
      <c r="K988" s="251"/>
      <c r="L988" s="251"/>
      <c r="M988" s="251"/>
      <c r="N988" s="251"/>
      <c r="O988" s="251"/>
      <c r="P988" s="251"/>
      <c r="Q988" s="251"/>
      <c r="R988" s="251"/>
      <c r="S988" s="251"/>
      <c r="T988" s="251"/>
      <c r="U988" s="251"/>
      <c r="V988" s="251"/>
      <c r="W988" s="251"/>
      <c r="X988" s="251"/>
      <c r="Y988" s="251"/>
      <c r="Z988" s="251"/>
    </row>
    <row r="989">
      <c r="A989" s="251"/>
      <c r="B989" s="251"/>
      <c r="C989" s="251"/>
      <c r="D989" s="251"/>
      <c r="E989" s="251"/>
      <c r="F989" s="251"/>
      <c r="G989" s="251"/>
      <c r="H989" s="251"/>
      <c r="I989" s="251"/>
      <c r="J989" s="251"/>
      <c r="K989" s="251"/>
      <c r="L989" s="251"/>
      <c r="M989" s="251"/>
      <c r="N989" s="251"/>
      <c r="O989" s="251"/>
      <c r="P989" s="251"/>
      <c r="Q989" s="251"/>
      <c r="R989" s="251"/>
      <c r="S989" s="251"/>
      <c r="T989" s="251"/>
      <c r="U989" s="251"/>
      <c r="V989" s="251"/>
      <c r="W989" s="251"/>
      <c r="X989" s="251"/>
      <c r="Y989" s="251"/>
      <c r="Z989" s="251"/>
    </row>
    <row r="990">
      <c r="A990" s="251"/>
      <c r="B990" s="251"/>
      <c r="C990" s="251"/>
      <c r="D990" s="251"/>
      <c r="E990" s="251"/>
      <c r="F990" s="251"/>
      <c r="G990" s="251"/>
      <c r="H990" s="251"/>
      <c r="I990" s="251"/>
      <c r="J990" s="251"/>
      <c r="K990" s="251"/>
      <c r="L990" s="251"/>
      <c r="M990" s="251"/>
      <c r="N990" s="251"/>
      <c r="O990" s="251"/>
      <c r="P990" s="251"/>
      <c r="Q990" s="251"/>
      <c r="R990" s="251"/>
      <c r="S990" s="251"/>
      <c r="T990" s="251"/>
      <c r="U990" s="251"/>
      <c r="V990" s="251"/>
      <c r="W990" s="251"/>
      <c r="X990" s="251"/>
      <c r="Y990" s="251"/>
      <c r="Z990" s="251"/>
    </row>
    <row r="991">
      <c r="A991" s="251"/>
      <c r="B991" s="251"/>
      <c r="C991" s="251"/>
      <c r="D991" s="251"/>
      <c r="E991" s="251"/>
      <c r="F991" s="251"/>
      <c r="G991" s="251"/>
      <c r="H991" s="251"/>
      <c r="I991" s="251"/>
      <c r="J991" s="251"/>
      <c r="K991" s="251"/>
      <c r="L991" s="251"/>
      <c r="M991" s="251"/>
      <c r="N991" s="251"/>
      <c r="O991" s="251"/>
      <c r="P991" s="251"/>
      <c r="Q991" s="251"/>
      <c r="R991" s="251"/>
      <c r="S991" s="251"/>
      <c r="T991" s="251"/>
      <c r="U991" s="251"/>
      <c r="V991" s="251"/>
      <c r="W991" s="251"/>
      <c r="X991" s="251"/>
      <c r="Y991" s="251"/>
      <c r="Z991" s="251"/>
    </row>
    <row r="992">
      <c r="A992" s="251"/>
      <c r="B992" s="251"/>
      <c r="C992" s="251"/>
      <c r="D992" s="251"/>
      <c r="E992" s="251"/>
      <c r="F992" s="251"/>
      <c r="G992" s="251"/>
      <c r="H992" s="251"/>
      <c r="I992" s="251"/>
      <c r="J992" s="251"/>
      <c r="K992" s="251"/>
      <c r="L992" s="251"/>
      <c r="M992" s="251"/>
      <c r="N992" s="251"/>
      <c r="O992" s="251"/>
      <c r="P992" s="251"/>
      <c r="Q992" s="251"/>
      <c r="R992" s="251"/>
      <c r="S992" s="251"/>
      <c r="T992" s="251"/>
      <c r="U992" s="251"/>
      <c r="V992" s="251"/>
      <c r="W992" s="251"/>
      <c r="X992" s="251"/>
      <c r="Y992" s="251"/>
      <c r="Z992" s="251"/>
    </row>
    <row r="993">
      <c r="A993" s="251"/>
      <c r="B993" s="251"/>
      <c r="C993" s="251"/>
      <c r="D993" s="251"/>
      <c r="E993" s="251"/>
      <c r="F993" s="251"/>
      <c r="G993" s="251"/>
      <c r="H993" s="251"/>
      <c r="I993" s="251"/>
      <c r="J993" s="251"/>
      <c r="K993" s="251"/>
      <c r="L993" s="251"/>
      <c r="M993" s="251"/>
      <c r="N993" s="251"/>
      <c r="O993" s="251"/>
      <c r="P993" s="251"/>
      <c r="Q993" s="251"/>
      <c r="R993" s="251"/>
      <c r="S993" s="251"/>
      <c r="T993" s="251"/>
      <c r="U993" s="251"/>
      <c r="V993" s="251"/>
      <c r="W993" s="251"/>
      <c r="X993" s="251"/>
      <c r="Y993" s="251"/>
      <c r="Z993" s="251"/>
    </row>
    <row r="994">
      <c r="A994" s="251"/>
      <c r="B994" s="251"/>
      <c r="C994" s="251"/>
      <c r="D994" s="251"/>
      <c r="E994" s="251"/>
      <c r="F994" s="251"/>
      <c r="G994" s="251"/>
      <c r="H994" s="251"/>
      <c r="I994" s="251"/>
      <c r="J994" s="251"/>
      <c r="K994" s="251"/>
      <c r="L994" s="251"/>
      <c r="M994" s="251"/>
      <c r="N994" s="251"/>
      <c r="O994" s="251"/>
      <c r="P994" s="251"/>
      <c r="Q994" s="251"/>
      <c r="R994" s="251"/>
      <c r="S994" s="251"/>
      <c r="T994" s="251"/>
      <c r="U994" s="251"/>
      <c r="V994" s="251"/>
      <c r="W994" s="251"/>
      <c r="X994" s="251"/>
      <c r="Y994" s="251"/>
      <c r="Z994" s="251"/>
    </row>
    <row r="995">
      <c r="A995" s="251"/>
      <c r="B995" s="251"/>
      <c r="C995" s="251"/>
      <c r="D995" s="251"/>
      <c r="E995" s="251"/>
      <c r="F995" s="251"/>
      <c r="G995" s="251"/>
      <c r="H995" s="251"/>
      <c r="I995" s="251"/>
      <c r="J995" s="251"/>
      <c r="K995" s="251"/>
      <c r="L995" s="251"/>
      <c r="M995" s="251"/>
      <c r="N995" s="251"/>
      <c r="O995" s="251"/>
      <c r="P995" s="251"/>
      <c r="Q995" s="251"/>
      <c r="R995" s="251"/>
      <c r="S995" s="251"/>
      <c r="T995" s="251"/>
      <c r="U995" s="251"/>
      <c r="V995" s="251"/>
      <c r="W995" s="251"/>
      <c r="X995" s="251"/>
      <c r="Y995" s="251"/>
      <c r="Z995" s="251"/>
    </row>
    <row r="996">
      <c r="A996" s="251"/>
      <c r="B996" s="251"/>
      <c r="C996" s="251"/>
      <c r="D996" s="251"/>
      <c r="E996" s="251"/>
      <c r="F996" s="251"/>
      <c r="G996" s="251"/>
      <c r="H996" s="251"/>
      <c r="I996" s="251"/>
      <c r="J996" s="251"/>
      <c r="K996" s="251"/>
      <c r="L996" s="251"/>
      <c r="M996" s="251"/>
      <c r="N996" s="251"/>
      <c r="O996" s="251"/>
      <c r="P996" s="251"/>
      <c r="Q996" s="251"/>
      <c r="R996" s="251"/>
      <c r="S996" s="251"/>
      <c r="T996" s="251"/>
      <c r="U996" s="251"/>
      <c r="V996" s="251"/>
      <c r="W996" s="251"/>
      <c r="X996" s="251"/>
      <c r="Y996" s="251"/>
      <c r="Z996" s="251"/>
    </row>
    <row r="997">
      <c r="A997" s="251"/>
      <c r="B997" s="251"/>
      <c r="C997" s="251"/>
      <c r="D997" s="251"/>
      <c r="E997" s="251"/>
      <c r="F997" s="251"/>
      <c r="G997" s="251"/>
      <c r="H997" s="251"/>
      <c r="I997" s="251"/>
      <c r="J997" s="251"/>
      <c r="K997" s="251"/>
      <c r="L997" s="251"/>
      <c r="M997" s="251"/>
      <c r="N997" s="251"/>
      <c r="O997" s="251"/>
      <c r="P997" s="251"/>
      <c r="Q997" s="251"/>
      <c r="R997" s="251"/>
      <c r="S997" s="251"/>
      <c r="T997" s="251"/>
      <c r="U997" s="251"/>
      <c r="V997" s="251"/>
      <c r="W997" s="251"/>
      <c r="X997" s="251"/>
      <c r="Y997" s="251"/>
      <c r="Z997" s="251"/>
    </row>
    <row r="998">
      <c r="A998" s="251"/>
      <c r="B998" s="251"/>
      <c r="C998" s="251"/>
      <c r="D998" s="251"/>
      <c r="E998" s="251"/>
      <c r="F998" s="251"/>
      <c r="G998" s="251"/>
      <c r="H998" s="251"/>
      <c r="I998" s="251"/>
      <c r="J998" s="251"/>
      <c r="K998" s="251"/>
      <c r="L998" s="251"/>
      <c r="M998" s="251"/>
      <c r="N998" s="251"/>
      <c r="O998" s="251"/>
      <c r="P998" s="251"/>
      <c r="Q998" s="251"/>
      <c r="R998" s="251"/>
      <c r="S998" s="251"/>
      <c r="T998" s="251"/>
      <c r="U998" s="251"/>
      <c r="V998" s="251"/>
      <c r="W998" s="251"/>
      <c r="X998" s="251"/>
      <c r="Y998" s="251"/>
      <c r="Z998" s="251"/>
    </row>
    <row r="999">
      <c r="A999" s="251"/>
      <c r="B999" s="251"/>
      <c r="C999" s="251"/>
      <c r="D999" s="251"/>
      <c r="E999" s="251"/>
      <c r="F999" s="251"/>
      <c r="G999" s="251"/>
      <c r="H999" s="251"/>
      <c r="I999" s="251"/>
      <c r="J999" s="251"/>
      <c r="K999" s="251"/>
      <c r="L999" s="251"/>
      <c r="M999" s="251"/>
      <c r="N999" s="251"/>
      <c r="O999" s="251"/>
      <c r="P999" s="251"/>
      <c r="Q999" s="251"/>
      <c r="R999" s="251"/>
      <c r="S999" s="251"/>
      <c r="T999" s="251"/>
      <c r="U999" s="251"/>
      <c r="V999" s="251"/>
      <c r="W999" s="251"/>
      <c r="X999" s="251"/>
      <c r="Y999" s="251"/>
      <c r="Z999" s="251"/>
    </row>
    <row r="1000">
      <c r="A1000" s="251"/>
      <c r="B1000" s="251"/>
      <c r="C1000" s="251"/>
      <c r="D1000" s="251"/>
      <c r="E1000" s="251"/>
      <c r="F1000" s="251"/>
      <c r="G1000" s="251"/>
      <c r="H1000" s="251"/>
      <c r="I1000" s="251"/>
      <c r="J1000" s="251"/>
      <c r="K1000" s="251"/>
      <c r="L1000" s="251"/>
      <c r="M1000" s="251"/>
      <c r="N1000" s="251"/>
      <c r="O1000" s="251"/>
      <c r="P1000" s="251"/>
      <c r="Q1000" s="251"/>
      <c r="R1000" s="251"/>
      <c r="S1000" s="251"/>
      <c r="T1000" s="251"/>
      <c r="U1000" s="251"/>
      <c r="V1000" s="251"/>
      <c r="W1000" s="251"/>
      <c r="X1000" s="251"/>
      <c r="Y1000" s="251"/>
      <c r="Z1000" s="251"/>
    </row>
  </sheetData>
  <hyperlinks>
    <hyperlink r:id="rId1" ref="A3"/>
    <hyperlink r:id="rId2" location=":~:text=P%26G%20Professional%20Partners%20With%20Lyft%20to%20Develop%20New%20Cleaning%20Guide%20for%20Drivers,-October%201%2C%202020&amp;text=CINCINNATI%2D%2D(BUSINESS%20WIRE)%2D%2D,of%20Lyft's%20Health%20Safety%20Program" ref="G3"/>
    <hyperlink r:id="rId3" location=":~:text=Over%20the%20past%20few%20months,new%20partnerships%20focused%20on%20cleanliness.&amp;text=Starting%20in%20July%2C%20Uber%20is,Chicago%2C%20and%20New%20York%20City." ref="G7"/>
    <hyperlink r:id="rId4" ref="A11"/>
    <hyperlink r:id="rId5" ref="G11"/>
    <hyperlink r:id="rId6" ref="G15"/>
    <hyperlink r:id="rId7" ref="C17"/>
    <hyperlink r:id="rId8" ref="G18"/>
    <hyperlink r:id="rId9" ref="C19"/>
    <hyperlink r:id="rId10" ref="G19"/>
    <hyperlink r:id="rId11" ref="C20"/>
    <hyperlink r:id="rId12" location=":~:text=The%20basic%20total%20cost%20of,by%20between%20%2485%20and%20%24535." ref="C21"/>
  </hyperlinks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