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625"/>
  <workbookPr/>
  <mc:AlternateContent xmlns:mc="http://schemas.openxmlformats.org/markup-compatibility/2006">
    <mc:Choice Requires="x15">
      <x15ac:absPath xmlns:x15ac="http://schemas.microsoft.com/office/spreadsheetml/2010/11/ac" url="F:\My Work\IDrive-Sync\RadiaBeam\Projects\HWG\test\Problem 2 - Space Charge\"/>
    </mc:Choice>
  </mc:AlternateContent>
  <bookViews>
    <workbookView xWindow="0" yWindow="0" windowWidth="28800" windowHeight="12210" tabRatio="500" xr2:uid="{00000000-000D-0000-FFFF-FFFF00000000}"/>
  </bookViews>
  <sheets>
    <sheet name="input and results" sheetId="1" r:id="rId1"/>
    <sheet name="calculator without sc" sheetId="2" r:id="rId2"/>
  </sheet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27" i="1" l="1"/>
  <c r="C10" i="2" l="1"/>
  <c r="G4" i="2"/>
  <c r="T4" i="1"/>
  <c r="C11" i="2"/>
  <c r="C9" i="2"/>
  <c r="C13" i="2" s="1"/>
  <c r="C5" i="2"/>
  <c r="C1" i="2"/>
  <c r="Q4" i="1"/>
  <c r="C20" i="1"/>
  <c r="C21" i="1" s="1"/>
  <c r="C6" i="1"/>
  <c r="C2" i="1"/>
  <c r="P5" i="1"/>
  <c r="P6" i="1" s="1"/>
  <c r="P7" i="1" s="1"/>
  <c r="P8" i="1" s="1"/>
  <c r="P9" i="1" s="1"/>
  <c r="P10" i="1" s="1"/>
  <c r="P11" i="1" s="1"/>
  <c r="P12" i="1" s="1"/>
  <c r="P13" i="1" s="1"/>
  <c r="P14" i="1" s="1"/>
  <c r="P15" i="1" s="1"/>
  <c r="P16" i="1" s="1"/>
  <c r="P17" i="1" s="1"/>
  <c r="P18" i="1" s="1"/>
  <c r="P19" i="1" s="1"/>
  <c r="P20" i="1" s="1"/>
  <c r="P21" i="1" s="1"/>
  <c r="P22" i="1" s="1"/>
  <c r="P23" i="1" s="1"/>
  <c r="P24" i="1" s="1"/>
  <c r="C15" i="2"/>
  <c r="C17" i="2" s="1"/>
  <c r="F5" i="2"/>
  <c r="F6" i="2"/>
  <c r="F7" i="2"/>
  <c r="F8" i="2"/>
  <c r="F9" i="2"/>
  <c r="F10" i="2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C17" i="1"/>
  <c r="C18" i="1"/>
  <c r="C19" i="1" s="1"/>
  <c r="C19" i="2" l="1"/>
  <c r="C22" i="1"/>
  <c r="S4" i="1"/>
  <c r="R5" i="1" s="1"/>
  <c r="Q5" i="1" s="1"/>
  <c r="S5" i="1" s="1"/>
  <c r="R6" i="1" s="1"/>
  <c r="C16" i="1"/>
  <c r="R4" i="1" s="1"/>
  <c r="Q6" i="1" l="1"/>
  <c r="C23" i="2"/>
  <c r="C21" i="2"/>
  <c r="I4" i="2"/>
  <c r="C12" i="2"/>
  <c r="H4" i="2" s="1"/>
  <c r="C27" i="2"/>
  <c r="S6" i="1"/>
  <c r="R7" i="1" s="1"/>
  <c r="Q7" i="1" s="1"/>
  <c r="H5" i="2" l="1"/>
  <c r="G5" i="2" s="1"/>
  <c r="S7" i="1"/>
  <c r="R8" i="1" s="1"/>
  <c r="T5" i="1" l="1"/>
  <c r="I5" i="2"/>
  <c r="H6" i="2" s="1"/>
  <c r="G6" i="2"/>
  <c r="Q8" i="1"/>
  <c r="T6" i="1" l="1"/>
  <c r="I6" i="2"/>
  <c r="H7" i="2" s="1"/>
  <c r="G7" i="2" s="1"/>
  <c r="S8" i="1"/>
  <c r="R9" i="1" s="1"/>
  <c r="Q9" i="1" s="1"/>
  <c r="T7" i="1" l="1"/>
  <c r="I7" i="2"/>
  <c r="H8" i="2" s="1"/>
  <c r="G8" i="2" s="1"/>
  <c r="S9" i="1"/>
  <c r="R10" i="1" s="1"/>
  <c r="T8" i="1" l="1"/>
  <c r="I8" i="2"/>
  <c r="H9" i="2" s="1"/>
  <c r="G9" i="2" s="1"/>
  <c r="T9" i="1" s="1"/>
  <c r="Q10" i="1"/>
  <c r="I9" i="2" l="1"/>
  <c r="H10" i="2" s="1"/>
  <c r="G10" i="2" s="1"/>
  <c r="S10" i="1"/>
  <c r="R11" i="1" s="1"/>
  <c r="Q11" i="1" s="1"/>
  <c r="S11" i="1" l="1"/>
  <c r="R12" i="1" s="1"/>
  <c r="T10" i="1"/>
  <c r="I10" i="2"/>
  <c r="H11" i="2" s="1"/>
  <c r="G11" i="2" s="1"/>
  <c r="T11" i="1" l="1"/>
  <c r="I11" i="2"/>
  <c r="H12" i="2" s="1"/>
  <c r="Q12" i="1"/>
  <c r="S12" i="1" l="1"/>
  <c r="R13" i="1" s="1"/>
  <c r="Q13" i="1" s="1"/>
  <c r="G12" i="2"/>
  <c r="T12" i="1" l="1"/>
  <c r="I12" i="2"/>
  <c r="H13" i="2" s="1"/>
  <c r="S13" i="1"/>
  <c r="R14" i="1" s="1"/>
  <c r="Q14" i="1" l="1"/>
  <c r="G13" i="2"/>
  <c r="T13" i="1" l="1"/>
  <c r="I13" i="2"/>
  <c r="H14" i="2" s="1"/>
  <c r="S14" i="1"/>
  <c r="R15" i="1" s="1"/>
  <c r="Q15" i="1" l="1"/>
  <c r="G14" i="2"/>
  <c r="S15" i="1" l="1"/>
  <c r="R16" i="1" s="1"/>
  <c r="Q16" i="1" s="1"/>
  <c r="T14" i="1"/>
  <c r="I14" i="2"/>
  <c r="H15" i="2" s="1"/>
  <c r="G15" i="2" s="1"/>
  <c r="T15" i="1" l="1"/>
  <c r="I15" i="2"/>
  <c r="H16" i="2" s="1"/>
  <c r="S16" i="1"/>
  <c r="R17" i="1" s="1"/>
  <c r="Q17" i="1" l="1"/>
  <c r="G16" i="2"/>
  <c r="T16" i="1" l="1"/>
  <c r="I16" i="2"/>
  <c r="H17" i="2" s="1"/>
  <c r="S17" i="1"/>
  <c r="R18" i="1" s="1"/>
  <c r="Q18" i="1" l="1"/>
  <c r="G17" i="2"/>
  <c r="T17" i="1" l="1"/>
  <c r="I17" i="2"/>
  <c r="H18" i="2" s="1"/>
  <c r="G18" i="2" s="1"/>
  <c r="S18" i="1"/>
  <c r="R19" i="1" s="1"/>
  <c r="Q19" i="1" s="1"/>
  <c r="S19" i="1" l="1"/>
  <c r="R20" i="1" s="1"/>
  <c r="T18" i="1"/>
  <c r="I18" i="2"/>
  <c r="H19" i="2" s="1"/>
  <c r="G19" i="2" s="1"/>
  <c r="T19" i="1" l="1"/>
  <c r="I19" i="2"/>
  <c r="H20" i="2" s="1"/>
  <c r="Q20" i="1"/>
  <c r="G20" i="2" l="1"/>
  <c r="S20" i="1"/>
  <c r="R21" i="1" s="1"/>
  <c r="Q21" i="1" s="1"/>
  <c r="S21" i="1" l="1"/>
  <c r="R22" i="1" s="1"/>
  <c r="T20" i="1"/>
  <c r="I20" i="2"/>
  <c r="H21" i="2" s="1"/>
  <c r="G21" i="2" s="1"/>
  <c r="T21" i="1" l="1"/>
  <c r="I21" i="2"/>
  <c r="H22" i="2" s="1"/>
  <c r="Q22" i="1"/>
  <c r="S22" i="1" l="1"/>
  <c r="R23" i="1" s="1"/>
  <c r="Q23" i="1" s="1"/>
  <c r="G22" i="2"/>
  <c r="S23" i="1" l="1"/>
  <c r="T22" i="1"/>
  <c r="I22" i="2"/>
  <c r="H23" i="2" s="1"/>
  <c r="R24" i="1"/>
  <c r="Q24" i="1" s="1"/>
  <c r="S24" i="1" l="1"/>
  <c r="C25" i="1"/>
  <c r="G23" i="2"/>
  <c r="T23" i="1" l="1"/>
  <c r="I23" i="2"/>
  <c r="H24" i="2" s="1"/>
  <c r="G24" i="2" s="1"/>
  <c r="T24" i="1" l="1"/>
  <c r="C28" i="1"/>
  <c r="G27" i="2"/>
  <c r="I24" i="2"/>
</calcChain>
</file>

<file path=xl/sharedStrings.xml><?xml version="1.0" encoding="utf-8"?>
<sst xmlns="http://schemas.openxmlformats.org/spreadsheetml/2006/main" count="83" uniqueCount="44">
  <si>
    <t>C</t>
  </si>
  <si>
    <t>kg</t>
  </si>
  <si>
    <t>F/m</t>
  </si>
  <si>
    <t>µA</t>
  </si>
  <si>
    <t>current</t>
  </si>
  <si>
    <t>µm</t>
  </si>
  <si>
    <t>density</t>
  </si>
  <si>
    <t>m^-3</t>
  </si>
  <si>
    <t>t-plasma</t>
  </si>
  <si>
    <t>ns</t>
  </si>
  <si>
    <t>energy</t>
  </si>
  <si>
    <t>keV</t>
  </si>
  <si>
    <t>velocity</t>
  </si>
  <si>
    <t>m/s</t>
  </si>
  <si>
    <t>cm</t>
  </si>
  <si>
    <t xml:space="preserve">m </t>
  </si>
  <si>
    <t>A</t>
  </si>
  <si>
    <t>divergence</t>
  </si>
  <si>
    <t>radius, RMS</t>
  </si>
  <si>
    <t>z [cm]</t>
  </si>
  <si>
    <t>sigma RMS [µm]</t>
  </si>
  <si>
    <t xml:space="preserve">sigma ' </t>
  </si>
  <si>
    <t>sigma '' [1/cm]</t>
  </si>
  <si>
    <t>space charge</t>
  </si>
  <si>
    <t>emittance, n</t>
  </si>
  <si>
    <t>beta gamma</t>
  </si>
  <si>
    <t>g emittance</t>
  </si>
  <si>
    <t>constants</t>
  </si>
  <si>
    <t>Alfven current</t>
  </si>
  <si>
    <t>Electron charge</t>
  </si>
  <si>
    <t>speed of light</t>
  </si>
  <si>
    <t>electron mass</t>
  </si>
  <si>
    <t>electron radius</t>
  </si>
  <si>
    <t>Vacuum permittivity</t>
  </si>
  <si>
    <t>beam parameters</t>
  </si>
  <si>
    <t>plasma period</t>
  </si>
  <si>
    <t>momentum factor</t>
  </si>
  <si>
    <t>space charge factor</t>
  </si>
  <si>
    <t>geometric emittance</t>
  </si>
  <si>
    <t>rms spot size at 10 cm</t>
  </si>
  <si>
    <t>(with space charge)</t>
  </si>
  <si>
    <t>(without space charge)</t>
  </si>
  <si>
    <t>step</t>
  </si>
  <si>
    <t>emittance, normalized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</si>
</sst>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_(* #,##0.000_);_(* \(#,##0.000\);_(* &quot;-&quot;??_);_(@_)"/>
    <numFmt numFmtId="165" formatCode="0.0"/>
    <numFmt numFmtId="166" formatCode="0.0E+00"/>
    <numFmt numFmtId="167" formatCode="_(* #,##0.0_);_(* \(#,##0.0\);_(* &quot;-&quot;??_);_(@_)"/>
    <numFmt numFmtId="168" formatCode="0.000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8" tint="-0.499984740745262"/>
      <name val="Calibri"/>
      <scheme val="minor"/>
    </font>
    <font>
      <b/>
      <sz val="12"/>
      <color theme="5" tint="-0.249977111117893"/>
      <name val="Calibri"/>
      <scheme val="minor"/>
    </font>
    <font>
      <b/>
      <sz val="14"/>
      <color rgb="FF00206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2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43" fontId="0" fillId="0" borderId="0" xfId="1" applyFont="1"/>
    <xf numFmtId="0" fontId="0" fillId="2" borderId="0" xfId="0" applyFill="1"/>
    <xf numFmtId="11" fontId="0" fillId="2" borderId="0" xfId="0" applyNumberFormat="1" applyFill="1"/>
    <xf numFmtId="164" fontId="0" fillId="0" borderId="0" xfId="1" applyNumberFormat="1" applyFont="1"/>
    <xf numFmtId="0" fontId="0" fillId="0" borderId="0" xfId="0" applyAlignment="1">
      <alignment horizontal="left" indent="1"/>
    </xf>
    <xf numFmtId="0" fontId="0" fillId="0" borderId="0" xfId="0" applyFont="1"/>
    <xf numFmtId="11" fontId="0" fillId="0" borderId="0" xfId="0" applyNumberFormat="1" applyFont="1"/>
    <xf numFmtId="43" fontId="3" fillId="0" borderId="0" xfId="1" applyFont="1"/>
    <xf numFmtId="43" fontId="4" fillId="0" borderId="0" xfId="1" applyFont="1"/>
    <xf numFmtId="0" fontId="0" fillId="2" borderId="0" xfId="0" applyFill="1" applyAlignment="1">
      <alignment horizontal="left" indent="1"/>
    </xf>
    <xf numFmtId="165" fontId="0" fillId="0" borderId="0" xfId="0" applyNumberFormat="1" applyFont="1"/>
    <xf numFmtId="165" fontId="2" fillId="3" borderId="0" xfId="0" applyNumberFormat="1" applyFont="1" applyFill="1"/>
    <xf numFmtId="166" fontId="2" fillId="3" borderId="0" xfId="0" applyNumberFormat="1" applyFont="1" applyFill="1"/>
    <xf numFmtId="0" fontId="0" fillId="0" borderId="0" xfId="0" applyAlignment="1">
      <alignment horizontal="left" indent="3"/>
    </xf>
    <xf numFmtId="167" fontId="0" fillId="0" borderId="0" xfId="0" applyNumberFormat="1"/>
    <xf numFmtId="0" fontId="5" fillId="0" borderId="0" xfId="0" applyFont="1"/>
    <xf numFmtId="0" fontId="0" fillId="0" borderId="0" xfId="0" applyAlignment="1">
      <alignment horizontal="left"/>
    </xf>
    <xf numFmtId="43" fontId="4" fillId="0" borderId="0" xfId="0" applyNumberFormat="1" applyFont="1"/>
    <xf numFmtId="168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'input and results'!$P$4:$P$24</c:f>
              <c:numCache>
                <c:formatCode>General</c:formatCode>
                <c:ptCount val="21"/>
                <c:pt idx="0">
                  <c:v>0</c:v>
                </c:pt>
                <c:pt idx="1">
                  <c:v>1.5</c:v>
                </c:pt>
                <c:pt idx="2">
                  <c:v>3</c:v>
                </c:pt>
                <c:pt idx="3">
                  <c:v>4.5</c:v>
                </c:pt>
                <c:pt idx="4">
                  <c:v>6</c:v>
                </c:pt>
                <c:pt idx="5">
                  <c:v>7.5</c:v>
                </c:pt>
                <c:pt idx="6">
                  <c:v>9</c:v>
                </c:pt>
                <c:pt idx="7">
                  <c:v>10.5</c:v>
                </c:pt>
                <c:pt idx="8">
                  <c:v>12</c:v>
                </c:pt>
                <c:pt idx="9">
                  <c:v>13.5</c:v>
                </c:pt>
                <c:pt idx="10">
                  <c:v>15</c:v>
                </c:pt>
                <c:pt idx="11">
                  <c:v>16.5</c:v>
                </c:pt>
                <c:pt idx="12">
                  <c:v>18</c:v>
                </c:pt>
                <c:pt idx="13">
                  <c:v>19.5</c:v>
                </c:pt>
                <c:pt idx="14">
                  <c:v>21</c:v>
                </c:pt>
                <c:pt idx="15">
                  <c:v>22.5</c:v>
                </c:pt>
                <c:pt idx="16">
                  <c:v>24</c:v>
                </c:pt>
                <c:pt idx="17">
                  <c:v>25.5</c:v>
                </c:pt>
                <c:pt idx="18">
                  <c:v>27</c:v>
                </c:pt>
                <c:pt idx="19">
                  <c:v>28.5</c:v>
                </c:pt>
                <c:pt idx="20">
                  <c:v>30</c:v>
                </c:pt>
              </c:numCache>
            </c:numRef>
          </c:xVal>
          <c:yVal>
            <c:numRef>
              <c:f>'input and results'!$Q$4:$Q$24</c:f>
              <c:numCache>
                <c:formatCode>_(* #,##0.00_);_(* \(#,##0.00\);_(* "-"??_);_(@_)</c:formatCode>
                <c:ptCount val="21"/>
                <c:pt idx="0">
                  <c:v>1000</c:v>
                </c:pt>
                <c:pt idx="1">
                  <c:v>1228.5531344519973</c:v>
                </c:pt>
                <c:pt idx="2">
                  <c:v>1475.5302422666</c:v>
                </c:pt>
                <c:pt idx="3">
                  <c:v>1737.6570447353727</c:v>
                </c:pt>
                <c:pt idx="4">
                  <c:v>2012.5110337701374</c:v>
                </c:pt>
                <c:pt idx="5">
                  <c:v>2298.2554746502369</c:v>
                </c:pt>
                <c:pt idx="6">
                  <c:v>2593.4646421401744</c:v>
                </c:pt>
                <c:pt idx="7">
                  <c:v>2897.0080886225469</c:v>
                </c:pt>
                <c:pt idx="8">
                  <c:v>3207.972513172705</c:v>
                </c:pt>
                <c:pt idx="9">
                  <c:v>3525.6078117244811</c:v>
                </c:pt>
                <c:pt idx="10">
                  <c:v>3849.2889720298281</c:v>
                </c:pt>
                <c:pt idx="11">
                  <c:v>4178.4885772487178</c:v>
                </c:pt>
                <c:pt idx="12">
                  <c:v>4512.7565685041927</c:v>
                </c:pt>
                <c:pt idx="13">
                  <c:v>4851.7050788557408</c:v>
                </c:pt>
                <c:pt idx="14">
                  <c:v>5194.9968799729804</c:v>
                </c:pt>
                <c:pt idx="15">
                  <c:v>5542.3364490349368</c:v>
                </c:pt>
                <c:pt idx="16">
                  <c:v>5893.462967672649</c:v>
                </c:pt>
                <c:pt idx="17">
                  <c:v>6248.1447672569739</c:v>
                </c:pt>
                <c:pt idx="18">
                  <c:v>6606.1748720746482</c:v>
                </c:pt>
                <c:pt idx="19">
                  <c:v>6967.3673865779219</c:v>
                </c:pt>
                <c:pt idx="20">
                  <c:v>7331.554539220976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DC2-46B0-9BD3-FC3C10D30214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'input and results'!$P$4:$P$24</c:f>
              <c:numCache>
                <c:formatCode>General</c:formatCode>
                <c:ptCount val="21"/>
                <c:pt idx="0">
                  <c:v>0</c:v>
                </c:pt>
                <c:pt idx="1">
                  <c:v>1.5</c:v>
                </c:pt>
                <c:pt idx="2">
                  <c:v>3</c:v>
                </c:pt>
                <c:pt idx="3">
                  <c:v>4.5</c:v>
                </c:pt>
                <c:pt idx="4">
                  <c:v>6</c:v>
                </c:pt>
                <c:pt idx="5">
                  <c:v>7.5</c:v>
                </c:pt>
                <c:pt idx="6">
                  <c:v>9</c:v>
                </c:pt>
                <c:pt idx="7">
                  <c:v>10.5</c:v>
                </c:pt>
                <c:pt idx="8">
                  <c:v>12</c:v>
                </c:pt>
                <c:pt idx="9">
                  <c:v>13.5</c:v>
                </c:pt>
                <c:pt idx="10">
                  <c:v>15</c:v>
                </c:pt>
                <c:pt idx="11">
                  <c:v>16.5</c:v>
                </c:pt>
                <c:pt idx="12">
                  <c:v>18</c:v>
                </c:pt>
                <c:pt idx="13">
                  <c:v>19.5</c:v>
                </c:pt>
                <c:pt idx="14">
                  <c:v>21</c:v>
                </c:pt>
                <c:pt idx="15">
                  <c:v>22.5</c:v>
                </c:pt>
                <c:pt idx="16">
                  <c:v>24</c:v>
                </c:pt>
                <c:pt idx="17">
                  <c:v>25.5</c:v>
                </c:pt>
                <c:pt idx="18">
                  <c:v>27</c:v>
                </c:pt>
                <c:pt idx="19">
                  <c:v>28.5</c:v>
                </c:pt>
                <c:pt idx="20">
                  <c:v>30</c:v>
                </c:pt>
              </c:numCache>
            </c:numRef>
          </c:xVal>
          <c:yVal>
            <c:numRef>
              <c:f>'input and results'!$T$4:$T$24</c:f>
              <c:numCache>
                <c:formatCode>_(* #,##0.00_);_(* \(#,##0.00\);_(* "-"??_);_(@_)</c:formatCode>
                <c:ptCount val="21"/>
                <c:pt idx="0">
                  <c:v>1000</c:v>
                </c:pt>
                <c:pt idx="1">
                  <c:v>1072.798943436635</c:v>
                </c:pt>
                <c:pt idx="2">
                  <c:v>1145.5983664715936</c:v>
                </c:pt>
                <c:pt idx="3">
                  <c:v>1218.3981803687277</c:v>
                </c:pt>
                <c:pt idx="4">
                  <c:v>1291.1983170160211</c:v>
                </c:pt>
                <c:pt idx="5">
                  <c:v>1363.998723261599</c:v>
                </c:pt>
                <c:pt idx="6">
                  <c:v>1436.799357019469</c:v>
                </c:pt>
                <c:pt idx="7">
                  <c:v>1509.6001845317103</c:v>
                </c:pt>
                <c:pt idx="8">
                  <c:v>1582.4011784052927</c:v>
                </c:pt>
                <c:pt idx="9">
                  <c:v>1655.2023161793054</c:v>
                </c:pt>
                <c:pt idx="10">
                  <c:v>1728.0035792625902</c:v>
                </c:pt>
                <c:pt idx="11">
                  <c:v>1800.8049521346636</c:v>
                </c:pt>
                <c:pt idx="12">
                  <c:v>1873.6064217368125</c:v>
                </c:pt>
                <c:pt idx="13">
                  <c:v>1946.4079770025699</c:v>
                </c:pt>
                <c:pt idx="14">
                  <c:v>2019.2096084917123</c:v>
                </c:pt>
                <c:pt idx="15">
                  <c:v>2092.0113081020941</c:v>
                </c:pt>
                <c:pt idx="16">
                  <c:v>2164.8130688406623</c:v>
                </c:pt>
                <c:pt idx="17">
                  <c:v>2237.6148846399433</c:v>
                </c:pt>
                <c:pt idx="18">
                  <c:v>2310.416750209803</c:v>
                </c:pt>
                <c:pt idx="19">
                  <c:v>2383.2186609168148</c:v>
                </c:pt>
                <c:pt idx="20">
                  <c:v>2456.0206126854155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DC2-46B0-9BD3-FC3C10D302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035168"/>
        <c:axId val="393399664"/>
      </c:scatterChart>
      <c:valAx>
        <c:axId val="394035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to the screen [cm]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399664"/>
        <c:crosses val="autoZero"/>
        <c:crossBetween val="midCat"/>
      </c:valAx>
      <c:valAx>
        <c:axId val="39339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RMS spot size [µm]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035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6">
          <a:lumMod val="75000"/>
        </a:schemeClr>
      </a:solidFill>
      <a:round/>
    </a:ln>
    <a:effectLst/>
  </c:spPr>
  <c:txPr>
    <a:bodyPr/>
    <a:lstStyle/>
    <a:p>
      <a:pPr>
        <a:defRPr sz="14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977</xdr:colOff>
      <xdr:row>0</xdr:row>
      <xdr:rowOff>258454</xdr:rowOff>
    </xdr:from>
    <xdr:to>
      <xdr:col>14</xdr:col>
      <xdr:colOff>165100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W33"/>
  <sheetViews>
    <sheetView tabSelected="1" zoomScaleNormal="130" zoomScalePageLayoutView="130" workbookViewId="0">
      <selection activeCell="M33" sqref="M33"/>
    </sheetView>
  </sheetViews>
  <sheetFormatPr defaultColWidth="11" defaultRowHeight="15.75" x14ac:dyDescent="0.25"/>
  <cols>
    <col min="1" max="1" width="5.5" customWidth="1"/>
    <col min="2" max="2" width="23.875" customWidth="1"/>
    <col min="3" max="3" width="11.875" bestFit="1" customWidth="1"/>
    <col min="17" max="17" width="15.625" customWidth="1"/>
    <col min="19" max="19" width="14.5" customWidth="1"/>
  </cols>
  <sheetData>
    <row r="1" spans="2:23" ht="18.75" x14ac:dyDescent="0.3">
      <c r="B1" s="18" t="s">
        <v>27</v>
      </c>
      <c r="V1" s="2" t="s">
        <v>42</v>
      </c>
    </row>
    <row r="2" spans="2:23" x14ac:dyDescent="0.25">
      <c r="B2" s="12" t="s">
        <v>28</v>
      </c>
      <c r="C2" s="5">
        <f>C3*C4/C6</f>
        <v>17096.818183202027</v>
      </c>
      <c r="D2" s="4" t="s">
        <v>16</v>
      </c>
      <c r="P2" s="2" t="s">
        <v>19</v>
      </c>
      <c r="Q2" t="s">
        <v>20</v>
      </c>
      <c r="R2" t="s">
        <v>21</v>
      </c>
      <c r="S2" t="s">
        <v>22</v>
      </c>
      <c r="T2" t="s">
        <v>20</v>
      </c>
      <c r="V2">
        <v>1.5</v>
      </c>
      <c r="W2" t="s">
        <v>14</v>
      </c>
    </row>
    <row r="3" spans="2:23" x14ac:dyDescent="0.25">
      <c r="B3" s="12" t="s">
        <v>29</v>
      </c>
      <c r="C3" s="5">
        <v>1.5999999999999999E-19</v>
      </c>
      <c r="D3" s="4" t="s">
        <v>0</v>
      </c>
    </row>
    <row r="4" spans="2:23" x14ac:dyDescent="0.25">
      <c r="B4" s="12" t="s">
        <v>30</v>
      </c>
      <c r="C4" s="5">
        <v>300000000</v>
      </c>
      <c r="D4" s="4" t="s">
        <v>13</v>
      </c>
      <c r="P4">
        <v>0</v>
      </c>
      <c r="Q4" s="10">
        <f>'input and results'!C14</f>
        <v>1000</v>
      </c>
      <c r="R4" s="1">
        <f>'input and results'!C16</f>
        <v>1.455973569085115E-2</v>
      </c>
      <c r="S4" s="1">
        <f>'input and results'!$C$12*0.000001*10000/(2*'input and results'!$C$2*'input and results'!$C$20^3*Q4)+'input and results'!$C$15^2/(('input and results'!$C$20^2)*(Q4^3))</f>
        <v>9.0285325237600314E-4</v>
      </c>
      <c r="T4" s="20">
        <f>'calculator without sc'!G4</f>
        <v>1000</v>
      </c>
    </row>
    <row r="5" spans="2:23" x14ac:dyDescent="0.25">
      <c r="B5" s="12" t="s">
        <v>31</v>
      </c>
      <c r="C5" s="5">
        <v>9.1100000000000003E-31</v>
      </c>
      <c r="D5" s="4" t="s">
        <v>1</v>
      </c>
      <c r="P5">
        <f>P4+'input and results'!$V$2</f>
        <v>1.5</v>
      </c>
      <c r="Q5" s="10">
        <f>Q4+(R4+R5)*10000*'input and results'!$V$2/2</f>
        <v>1228.5531344519973</v>
      </c>
      <c r="R5" s="1">
        <f>R4+S4*'input and results'!$V$2</f>
        <v>1.5914015569415154E-2</v>
      </c>
      <c r="S5" s="1">
        <f>'input and results'!$C$12*0.000001*10000/(2*'input and results'!$C$2*'input and results'!$C$20^3*Q5)+'input and results'!$C$15^2/(('input and results'!$C$20^2)*(Q5^3))</f>
        <v>7.3483326874448809E-4</v>
      </c>
      <c r="T5" s="20">
        <f>'calculator without sc'!G5</f>
        <v>1072.798943436635</v>
      </c>
    </row>
    <row r="6" spans="2:23" x14ac:dyDescent="0.25">
      <c r="B6" s="12" t="s">
        <v>32</v>
      </c>
      <c r="C6" s="5">
        <f>C3^2/(4*PI()*C5*C7*C4^2)</f>
        <v>2.8075399460679164E-15</v>
      </c>
      <c r="D6" s="4" t="s">
        <v>15</v>
      </c>
      <c r="P6">
        <f>P5+'input and results'!$V$2</f>
        <v>3</v>
      </c>
      <c r="Q6" s="10">
        <f>Q5+(R5+R6)*10000*'input and results'!$V$2/2</f>
        <v>1475.5302422666</v>
      </c>
      <c r="R6" s="1">
        <f>R5+S5*'input and results'!$V$2</f>
        <v>1.7016265472531884E-2</v>
      </c>
      <c r="S6" s="1">
        <f>'input and results'!$C$12*0.000001*10000/(2*'input and results'!$C$2*'input and results'!$C$20^3*Q6)+'input and results'!$C$15^2/(('input and results'!$C$20^2)*(Q6^3))</f>
        <v>6.1180625607061036E-4</v>
      </c>
      <c r="T6" s="20">
        <f>'calculator without sc'!G6</f>
        <v>1145.5983664715936</v>
      </c>
    </row>
    <row r="7" spans="2:23" x14ac:dyDescent="0.25">
      <c r="B7" s="12" t="s">
        <v>33</v>
      </c>
      <c r="C7" s="5">
        <v>8.8500000000000005E-12</v>
      </c>
      <c r="D7" s="4" t="s">
        <v>2</v>
      </c>
      <c r="P7">
        <f>P6+'input and results'!$V$2</f>
        <v>4.5</v>
      </c>
      <c r="Q7" s="10">
        <f>Q6+(R6+R7)*10000*'input and results'!$V$2/2</f>
        <v>1737.6570447353727</v>
      </c>
      <c r="R7" s="1">
        <f>R6+S6*'input and results'!$V$2</f>
        <v>1.7933974856637801E-2</v>
      </c>
      <c r="S7" s="1">
        <f>'input and results'!$C$12*0.000001*10000/(2*'input and results'!$C$2*'input and results'!$C$20^3*Q7)+'input and results'!$C$15^2/(('input and results'!$C$20^2)*(Q7^3))</f>
        <v>5.1949921646202472E-4</v>
      </c>
      <c r="T7" s="20">
        <f>'calculator without sc'!G7</f>
        <v>1218.3981803687277</v>
      </c>
    </row>
    <row r="8" spans="2:23" x14ac:dyDescent="0.25">
      <c r="B8" s="12"/>
      <c r="C8" s="5"/>
      <c r="D8" s="4"/>
      <c r="P8">
        <f>P7+'input and results'!$V$2</f>
        <v>6</v>
      </c>
      <c r="Q8" s="10">
        <f>Q7+(R7+R8)*10000*'input and results'!$V$2/2</f>
        <v>2012.5110337701374</v>
      </c>
      <c r="R8" s="1">
        <f>R7+S7*'input and results'!$V$2</f>
        <v>1.8713223681330837E-2</v>
      </c>
      <c r="S8" s="1">
        <f>'input and results'!$C$12*0.000001*10000/(2*'input and results'!$C$2*'input and results'!$C$20^3*Q8)+'input and results'!$C$15^2/(('input and results'!$C$20^2)*(Q8^3))</f>
        <v>4.485409475677294E-4</v>
      </c>
      <c r="T8" s="20">
        <f>'calculator without sc'!G8</f>
        <v>1291.1983170160211</v>
      </c>
    </row>
    <row r="9" spans="2:23" x14ac:dyDescent="0.25">
      <c r="P9">
        <f>P8+'input and results'!$V$2</f>
        <v>7.5</v>
      </c>
      <c r="Q9" s="10">
        <f>Q8+(R8+R9)*10000*'input and results'!$V$2/2</f>
        <v>2298.2554746502369</v>
      </c>
      <c r="R9" s="1">
        <f>R8+S8*'input and results'!$V$2</f>
        <v>1.9386035102682431E-2</v>
      </c>
      <c r="S9" s="1">
        <f>'input and results'!$C$12*0.000001*10000/(2*'input and results'!$C$2*'input and results'!$C$20^3*Q9)+'input and results'!$C$15^2/(('input and results'!$C$20^2)*(Q9^3))</f>
        <v>3.9276808441786933E-4</v>
      </c>
      <c r="T9" s="20">
        <f>'calculator without sc'!G9</f>
        <v>1363.998723261599</v>
      </c>
    </row>
    <row r="10" spans="2:23" x14ac:dyDescent="0.25">
      <c r="P10">
        <f>P9+'input and results'!$V$2</f>
        <v>9</v>
      </c>
      <c r="Q10" s="10">
        <f>Q9+(R9+R10)*10000*'input and results'!$V$2/2</f>
        <v>2593.4646421401744</v>
      </c>
      <c r="R10" s="1">
        <f>R9+S9*'input and results'!$V$2</f>
        <v>1.9975187229309237E-2</v>
      </c>
      <c r="S10" s="1">
        <f>'input and results'!$C$12*0.000001*10000/(2*'input and results'!$C$2*'input and results'!$C$20^3*Q10)+'input and results'!$C$15^2/(('input and results'!$C$20^2)*(Q10^3))</f>
        <v>3.4805671490966208E-4</v>
      </c>
      <c r="T10" s="20">
        <f>'calculator without sc'!G10</f>
        <v>1436.799357019469</v>
      </c>
    </row>
    <row r="11" spans="2:23" ht="18.75" x14ac:dyDescent="0.3">
      <c r="B11" s="18" t="s">
        <v>34</v>
      </c>
      <c r="P11">
        <f>P10+'input and results'!$V$2</f>
        <v>10.5</v>
      </c>
      <c r="Q11" s="10">
        <f>Q10+(R10+R11)*10000*'input and results'!$V$2/2</f>
        <v>2897.0080886225469</v>
      </c>
      <c r="R11" s="1">
        <f>R10+S10*'input and results'!$V$2</f>
        <v>2.0497272301673732E-2</v>
      </c>
      <c r="S11" s="1">
        <f>'input and results'!$C$12*0.000001*10000/(2*'input and results'!$C$2*'input and results'!$C$20^3*Q11)+'input and results'!$C$15^2/(('input and results'!$C$20^2)*(Q11^3))</f>
        <v>3.1158578000464992E-4</v>
      </c>
      <c r="T11" s="20">
        <f>'calculator without sc'!G11</f>
        <v>1509.6001845317103</v>
      </c>
    </row>
    <row r="12" spans="2:23" x14ac:dyDescent="0.25">
      <c r="B12" s="7" t="s">
        <v>4</v>
      </c>
      <c r="C12" s="14">
        <v>1000000</v>
      </c>
      <c r="D12" t="s">
        <v>3</v>
      </c>
      <c r="P12">
        <f>P11+'input and results'!$V$2</f>
        <v>12</v>
      </c>
      <c r="Q12" s="10">
        <f>Q11+(R11+R12)*10000*'input and results'!$V$2/2</f>
        <v>3207.972513172705</v>
      </c>
      <c r="R12" s="1">
        <f>R11+S11*'input and results'!$V$2</f>
        <v>2.0964650971680706E-2</v>
      </c>
      <c r="S12" s="1">
        <f>'input and results'!$C$12*0.000001*10000/(2*'input and results'!$C$2*'input and results'!$C$20^3*Q12)+'input and results'!$C$15^2/(('input and results'!$C$20^2)*(Q12^3))</f>
        <v>2.8138079791692873E-4</v>
      </c>
      <c r="T12" s="20">
        <f>'calculator without sc'!G12</f>
        <v>1582.4011784052927</v>
      </c>
    </row>
    <row r="13" spans="2:23" x14ac:dyDescent="0.25">
      <c r="B13" s="7" t="s">
        <v>10</v>
      </c>
      <c r="C13" s="14">
        <v>100</v>
      </c>
      <c r="D13" t="s">
        <v>11</v>
      </c>
      <c r="P13">
        <f>P12+'input and results'!$V$2</f>
        <v>13.5</v>
      </c>
      <c r="Q13" s="10">
        <f>Q12+(R12+R13)*10000*'input and results'!$V$2/2</f>
        <v>3525.6078117244811</v>
      </c>
      <c r="R13" s="1">
        <f>R12+S12*'input and results'!$V$2</f>
        <v>2.13867221685561E-2</v>
      </c>
      <c r="S13" s="1">
        <f>'input and results'!$C$12*0.000001*10000/(2*'input and results'!$C$2*'input and results'!$C$20^3*Q13)+'input and results'!$C$15^2/(('input and results'!$C$20^2)*(Q13^3))</f>
        <v>2.5602913573383445E-4</v>
      </c>
      <c r="T13" s="20">
        <f>'calculator without sc'!G13</f>
        <v>1655.2023161793054</v>
      </c>
    </row>
    <row r="14" spans="2:23" x14ac:dyDescent="0.25">
      <c r="B14" s="7" t="s">
        <v>18</v>
      </c>
      <c r="C14" s="13">
        <v>1000</v>
      </c>
      <c r="D14" t="s">
        <v>5</v>
      </c>
      <c r="P14">
        <f>P13+'input and results'!$V$2</f>
        <v>15</v>
      </c>
      <c r="Q14" s="10">
        <f>Q13+(R13+R14)*10000*'input and results'!$V$2/2</f>
        <v>3849.2889720298281</v>
      </c>
      <c r="R14" s="1">
        <f>R13+S13*'input and results'!$V$2</f>
        <v>2.1770765872156851E-2</v>
      </c>
      <c r="S14" s="1">
        <f>'input and results'!$C$12*0.000001*10000/(2*'input and results'!$C$2*'input and results'!$C$20^3*Q14)+'input and results'!$C$15^2/(('input and results'!$C$20^2)*(Q14^3))</f>
        <v>2.3449930102548743E-4</v>
      </c>
      <c r="T14" s="20">
        <f>'calculator without sc'!G14</f>
        <v>1728.0035792625902</v>
      </c>
    </row>
    <row r="15" spans="2:23" x14ac:dyDescent="0.25">
      <c r="B15" s="7" t="s">
        <v>43</v>
      </c>
      <c r="C15" s="15">
        <v>10</v>
      </c>
      <c r="D15" t="s">
        <v>5</v>
      </c>
      <c r="P15">
        <f>P14+'input and results'!$V$2</f>
        <v>16.5</v>
      </c>
      <c r="Q15" s="10">
        <f>Q14+(R14+R15)*10000*'input and results'!$V$2/2</f>
        <v>4178.4885772487178</v>
      </c>
      <c r="R15" s="1">
        <f>R14+S14*'input and results'!$V$2</f>
        <v>2.2122514823695084E-2</v>
      </c>
      <c r="S15" s="1">
        <f>'input and results'!$C$12*0.000001*10000/(2*'input and results'!$C$2*'input and results'!$C$20^3*Q15)+'input and results'!$C$15^2/(('input and results'!$C$20^2)*(Q15^3))</f>
        <v>2.1602390222655787E-4</v>
      </c>
      <c r="T15" s="20">
        <f>'calculator without sc'!G15</f>
        <v>1800.8049521346636</v>
      </c>
    </row>
    <row r="16" spans="2:23" x14ac:dyDescent="0.25">
      <c r="B16" s="7" t="s">
        <v>17</v>
      </c>
      <c r="C16" s="1">
        <f>(C15/C20)/C14</f>
        <v>1.455973569085115E-2</v>
      </c>
      <c r="P16">
        <f>P15+'input and results'!$V$2</f>
        <v>18</v>
      </c>
      <c r="Q16" s="10">
        <f>Q15+(R15+R16)*10000*'input and results'!$V$2/2</f>
        <v>4512.7565685041927</v>
      </c>
      <c r="R16" s="1">
        <f>R15+S15*'input and results'!$V$2</f>
        <v>2.244655067703492E-2</v>
      </c>
      <c r="S16" s="1">
        <f>'input and results'!$C$12*0.000001*10000/(2*'input and results'!$C$2*'input and results'!$C$20^3*Q16)+'input and results'!$C$15^2/(('input and results'!$C$20^2)*(Q16^3))</f>
        <v>2.000222396465735E-4</v>
      </c>
      <c r="T16" s="20">
        <f>'calculator without sc'!G16</f>
        <v>1873.6064217368125</v>
      </c>
    </row>
    <row r="17" spans="2:20" x14ac:dyDescent="0.25">
      <c r="B17" s="7" t="s">
        <v>12</v>
      </c>
      <c r="C17" s="1">
        <f>SQRT(C13*2/511)*C4</f>
        <v>187683374.12695631</v>
      </c>
      <c r="D17" t="s">
        <v>13</v>
      </c>
      <c r="P17">
        <f>P16+'input and results'!$V$2</f>
        <v>19.5</v>
      </c>
      <c r="Q17" s="10">
        <f>Q16+(R16+R17)*10000*'input and results'!$V$2/2</f>
        <v>4851.7050788557408</v>
      </c>
      <c r="R17" s="1">
        <f>R16+S16*'input and results'!$V$2</f>
        <v>2.2746584036504782E-2</v>
      </c>
      <c r="S17" s="1">
        <f>'input and results'!$C$12*0.000001*10000/(2*'input and results'!$C$2*'input and results'!$C$20^3*Q17)+'input and results'!$C$15^2/(('input and results'!$C$20^2)*(Q17^3))</f>
        <v>1.8604805063716424E-4</v>
      </c>
      <c r="T17" s="20">
        <f>'calculator without sc'!G17</f>
        <v>1946.4079770025699</v>
      </c>
    </row>
    <row r="18" spans="2:20" x14ac:dyDescent="0.25">
      <c r="B18" s="7" t="s">
        <v>6</v>
      </c>
      <c r="C18" s="1">
        <f>(C12*0.000001/C3)/(0.000000000001*C4*PI()*C14^2)</f>
        <v>6631455962162307</v>
      </c>
      <c r="D18" t="s">
        <v>7</v>
      </c>
      <c r="P18">
        <f>P17+'input and results'!$V$2</f>
        <v>21</v>
      </c>
      <c r="Q18" s="10">
        <f>Q17+(R17+R18)*10000*'input and results'!$V$2/2</f>
        <v>5194.9968799729804</v>
      </c>
      <c r="R18" s="1">
        <f>R17+S17*'input and results'!$V$2</f>
        <v>2.3025656112460529E-2</v>
      </c>
      <c r="S18" s="1">
        <f>'input and results'!$C$12*0.000001*10000/(2*'input and results'!$C$2*'input and results'!$C$20^3*Q18)+'input and results'!$C$15^2/(('input and results'!$C$20^2)*(Q18^3))</f>
        <v>1.7375354444876121E-4</v>
      </c>
      <c r="T18" s="20">
        <f>'calculator without sc'!G18</f>
        <v>2019.2096084917123</v>
      </c>
    </row>
    <row r="19" spans="2:20" x14ac:dyDescent="0.25">
      <c r="B19" s="7" t="s">
        <v>35</v>
      </c>
      <c r="C19" s="1">
        <f>1000000000*SQRT(C5*C7/(C18*C3^2))</f>
        <v>0.21792466959939535</v>
      </c>
      <c r="D19" t="s">
        <v>9</v>
      </c>
      <c r="P19">
        <f>P18+'input and results'!$V$2</f>
        <v>22.5</v>
      </c>
      <c r="Q19" s="10">
        <f>Q18+(R18+R19)*10000*'input and results'!$V$2/2</f>
        <v>5542.3364490349368</v>
      </c>
      <c r="R19" s="1">
        <f>R18+S18*'input and results'!$V$2</f>
        <v>2.3286286429133669E-2</v>
      </c>
      <c r="S19" s="1">
        <f>'input and results'!$C$12*0.000001*10000/(2*'input and results'!$C$2*'input and results'!$C$20^3*Q19)+'input and results'!$C$15^2/(('input and results'!$C$20^2)*(Q19^3))</f>
        <v>1.6286419561838421E-4</v>
      </c>
      <c r="T19" s="20">
        <f>'calculator without sc'!G19</f>
        <v>2092.0113081020941</v>
      </c>
    </row>
    <row r="20" spans="2:20" x14ac:dyDescent="0.25">
      <c r="B20" s="7" t="s">
        <v>36</v>
      </c>
      <c r="C20" s="6">
        <f>SQRT(2*C13/511)*(1+0.5*C13/511)</f>
        <v>0.6868256548285876</v>
      </c>
      <c r="P20">
        <f>P19+'input and results'!$V$2</f>
        <v>24</v>
      </c>
      <c r="Q20" s="10">
        <f>Q19+(R19+R20)*10000*'input and results'!$V$2/2</f>
        <v>5893.462967672649</v>
      </c>
      <c r="R20" s="1">
        <f>R19+S19*'input and results'!$V$2</f>
        <v>2.3530582722561245E-2</v>
      </c>
      <c r="S20" s="1">
        <f>'input and results'!$C$12*0.000001*10000/(2*'input and results'!$C$2*'input and results'!$C$20^3*Q20)+'input and results'!$C$15^2/(('input and results'!$C$20^2)*(Q20^3))</f>
        <v>1.5316077741389279E-4</v>
      </c>
      <c r="T20" s="20">
        <f>'calculator without sc'!G20</f>
        <v>2164.8130688406623</v>
      </c>
    </row>
    <row r="21" spans="2:20" x14ac:dyDescent="0.25">
      <c r="B21" s="7" t="s">
        <v>38</v>
      </c>
      <c r="C21" s="1">
        <f>C15/C20</f>
        <v>14.55973569085115</v>
      </c>
      <c r="D21" s="7" t="s">
        <v>5</v>
      </c>
      <c r="P21">
        <f>P20+'input and results'!$V$2</f>
        <v>25.5</v>
      </c>
      <c r="Q21" s="10">
        <f>Q20+(R20+R21)*10000*'input and results'!$V$2/2</f>
        <v>6248.1447672569739</v>
      </c>
      <c r="R21" s="1">
        <f>R20+S20*'input and results'!$V$2</f>
        <v>2.3760323888682083E-2</v>
      </c>
      <c r="S21" s="1">
        <f>'input and results'!$C$12*0.000001*10000/(2*'input and results'!$C$2*'input and results'!$C$20^3*Q21)+'input and results'!$C$15^2/(('input and results'!$C$20^2)*(Q21^3))</f>
        <v>1.4446635443935601E-4</v>
      </c>
      <c r="T21" s="20">
        <f>'calculator without sc'!G21</f>
        <v>2237.6148846399433</v>
      </c>
    </row>
    <row r="22" spans="2:20" x14ac:dyDescent="0.25">
      <c r="B22" s="7" t="s">
        <v>37</v>
      </c>
      <c r="C22" s="6">
        <f>(C12*0.000001/(C2*2*C20))*(C14/C15)^2</f>
        <v>0.42580249537766002</v>
      </c>
      <c r="P22">
        <f>P21+'input and results'!$V$2</f>
        <v>27</v>
      </c>
      <c r="Q22" s="10">
        <f>Q21+(R21+R22)*10000*'input and results'!$V$2/2</f>
        <v>6606.1748720746482</v>
      </c>
      <c r="R22" s="1">
        <f>R21+S21*'input and results'!$V$2</f>
        <v>2.3977023420341116E-2</v>
      </c>
      <c r="S22" s="1">
        <f>'input and results'!$C$12*0.000001*10000/(2*'input and results'!$C$2*'input and results'!$C$20^3*Q22)+'input and results'!$C$15^2/(('input and results'!$C$20^2)*(Q22^3))</f>
        <v>1.3663672872506002E-4</v>
      </c>
      <c r="T22" s="20">
        <f>'calculator without sc'!G22</f>
        <v>2310.416750209803</v>
      </c>
    </row>
    <row r="23" spans="2:20" x14ac:dyDescent="0.25">
      <c r="P23">
        <f>P22+'input and results'!$V$2</f>
        <v>28.5</v>
      </c>
      <c r="Q23" s="10">
        <f>Q22+(R22+R23)*10000*'input and results'!$V$2/2</f>
        <v>6967.3673865779219</v>
      </c>
      <c r="R23" s="1">
        <f>R22+S22*'input and results'!$V$2</f>
        <v>2.4181978513428706E-2</v>
      </c>
      <c r="S23" s="1">
        <f>'input and results'!$C$12*0.000001*10000/(2*'input and results'!$C$2*'input and results'!$C$20^3*Q23)+'input and results'!$C$15^2/(('input and results'!$C$20^2)*(Q23^3))</f>
        <v>1.2955332814434538E-4</v>
      </c>
      <c r="T23" s="20">
        <f>'calculator without sc'!G23</f>
        <v>2383.2186609168148</v>
      </c>
    </row>
    <row r="24" spans="2:20" x14ac:dyDescent="0.25">
      <c r="P24">
        <f>P23+'input and results'!$V$2</f>
        <v>30</v>
      </c>
      <c r="Q24" s="10">
        <f>Q23+(R23+R24)*10000*'input and results'!$V$2/2</f>
        <v>7331.554539220976</v>
      </c>
      <c r="R24" s="1">
        <f>R23+S23*'input and results'!$V$2</f>
        <v>2.4376308505645223E-2</v>
      </c>
      <c r="S24" s="1">
        <f>'input and results'!$C$12*0.000001*10000/(2*'input and results'!$C$2*'input and results'!$C$20^3*Q24)+'input and results'!$C$15^2/(('input and results'!$C$20^2)*(Q24^3))</f>
        <v>1.2311784703277501E-4</v>
      </c>
      <c r="T24" s="20">
        <f>'calculator without sc'!G24</f>
        <v>2456.0206126854155</v>
      </c>
    </row>
    <row r="25" spans="2:20" x14ac:dyDescent="0.25">
      <c r="B25" s="19" t="s">
        <v>39</v>
      </c>
      <c r="C25" s="17">
        <f>'input and results'!Q24</f>
        <v>7331.554539220976</v>
      </c>
      <c r="D25" t="s">
        <v>5</v>
      </c>
      <c r="S25" s="1"/>
    </row>
    <row r="26" spans="2:20" x14ac:dyDescent="0.25">
      <c r="B26" s="16" t="s">
        <v>40</v>
      </c>
    </row>
    <row r="27" spans="2:20" x14ac:dyDescent="0.25">
      <c r="Q27" s="21">
        <f>(Q24-C14)*C16</f>
        <v>92.185760603266246</v>
      </c>
      <c r="R27" s="7" t="s">
        <v>5</v>
      </c>
    </row>
    <row r="28" spans="2:20" x14ac:dyDescent="0.25">
      <c r="B28" s="19" t="s">
        <v>39</v>
      </c>
      <c r="C28" s="17">
        <f>'calculator without sc'!G24</f>
        <v>2456.0206126854155</v>
      </c>
      <c r="D28" t="s">
        <v>5</v>
      </c>
    </row>
    <row r="29" spans="2:20" x14ac:dyDescent="0.25">
      <c r="B29" s="16" t="s">
        <v>41</v>
      </c>
    </row>
    <row r="31" spans="2:20" x14ac:dyDescent="0.25">
      <c r="C31" s="1"/>
    </row>
    <row r="32" spans="2:20" x14ac:dyDescent="0.25">
      <c r="C32" s="3"/>
    </row>
    <row r="33" spans="3:3" x14ac:dyDescent="0.25">
      <c r="C33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K31"/>
  <sheetViews>
    <sheetView workbookViewId="0">
      <selection activeCell="C37" sqref="C37"/>
    </sheetView>
  </sheetViews>
  <sheetFormatPr defaultColWidth="11" defaultRowHeight="15.75" x14ac:dyDescent="0.25"/>
  <cols>
    <col min="2" max="2" width="20.875" customWidth="1"/>
    <col min="3" max="3" width="11.875" bestFit="1" customWidth="1"/>
    <col min="7" max="7" width="15.625" customWidth="1"/>
    <col min="9" max="9" width="14.5" customWidth="1"/>
  </cols>
  <sheetData>
    <row r="1" spans="2:11" x14ac:dyDescent="0.25">
      <c r="B1" s="12" t="s">
        <v>28</v>
      </c>
      <c r="C1" s="5">
        <f>C2*C3/C5</f>
        <v>17096.818183202027</v>
      </c>
      <c r="D1" s="4" t="s">
        <v>16</v>
      </c>
    </row>
    <row r="2" spans="2:11" x14ac:dyDescent="0.25">
      <c r="B2" s="12" t="s">
        <v>29</v>
      </c>
      <c r="C2" s="5">
        <v>1.5999999999999999E-19</v>
      </c>
      <c r="D2" s="4" t="s">
        <v>0</v>
      </c>
      <c r="F2" s="2" t="s">
        <v>19</v>
      </c>
      <c r="G2" t="s">
        <v>20</v>
      </c>
      <c r="H2" t="s">
        <v>21</v>
      </c>
      <c r="I2" t="s">
        <v>22</v>
      </c>
      <c r="J2">
        <v>0.5</v>
      </c>
      <c r="K2" t="s">
        <v>14</v>
      </c>
    </row>
    <row r="3" spans="2:11" x14ac:dyDescent="0.25">
      <c r="B3" s="12" t="s">
        <v>30</v>
      </c>
      <c r="C3" s="5">
        <v>300000000</v>
      </c>
      <c r="D3" s="4" t="s">
        <v>13</v>
      </c>
    </row>
    <row r="4" spans="2:11" x14ac:dyDescent="0.25">
      <c r="B4" s="12" t="s">
        <v>31</v>
      </c>
      <c r="C4" s="5">
        <v>9.1100000000000003E-31</v>
      </c>
      <c r="D4" s="4" t="s">
        <v>1</v>
      </c>
      <c r="F4">
        <v>0</v>
      </c>
      <c r="G4" s="11">
        <f>C10</f>
        <v>1000</v>
      </c>
      <c r="H4" s="1">
        <f>C12</f>
        <v>1.455973569085115E-2</v>
      </c>
      <c r="I4" s="1">
        <f t="shared" ref="I4:I24" si="0">$C$8*0.000001*10000/(2*$C$1*$C$19^3*G4)+$C$11^2/(($C$19^2)*(G4^3))</f>
        <v>2.1198590338744486E-7</v>
      </c>
    </row>
    <row r="5" spans="2:11" x14ac:dyDescent="0.25">
      <c r="B5" s="12" t="s">
        <v>32</v>
      </c>
      <c r="C5" s="5">
        <f>C2^2/(4*PI()*C4*C6*C3^2)</f>
        <v>2.8075399460679164E-15</v>
      </c>
      <c r="D5" s="4" t="s">
        <v>15</v>
      </c>
      <c r="F5">
        <f t="shared" ref="F5:F24" si="1">F4+$J$2</f>
        <v>0.5</v>
      </c>
      <c r="G5" s="11">
        <f t="shared" ref="G5:G24" si="2">G4+(H4+H5)*10000*$J$2/2</f>
        <v>1072.798943436635</v>
      </c>
      <c r="H5" s="1">
        <f t="shared" ref="H5:H24" si="3">H4+I4*$J$2</f>
        <v>1.4559841683802843E-2</v>
      </c>
      <c r="I5" s="1">
        <f t="shared" si="0"/>
        <v>1.7169275557066652E-7</v>
      </c>
    </row>
    <row r="6" spans="2:11" x14ac:dyDescent="0.25">
      <c r="B6" s="12" t="s">
        <v>33</v>
      </c>
      <c r="C6" s="5">
        <v>8.8500000000000005E-12</v>
      </c>
      <c r="D6" s="4" t="s">
        <v>2</v>
      </c>
      <c r="F6">
        <f t="shared" si="1"/>
        <v>1</v>
      </c>
      <c r="G6" s="11">
        <f t="shared" si="2"/>
        <v>1145.5983664715936</v>
      </c>
      <c r="H6" s="1">
        <f t="shared" si="3"/>
        <v>1.4559927530180629E-2</v>
      </c>
      <c r="I6" s="1">
        <f t="shared" si="0"/>
        <v>1.4099698470542137E-7</v>
      </c>
    </row>
    <row r="7" spans="2:11" x14ac:dyDescent="0.25">
      <c r="C7" s="8"/>
      <c r="F7">
        <f t="shared" si="1"/>
        <v>1.5</v>
      </c>
      <c r="G7" s="11">
        <f t="shared" si="2"/>
        <v>1218.3981803687277</v>
      </c>
      <c r="H7" s="1">
        <f t="shared" si="3"/>
        <v>1.4559998028672982E-2</v>
      </c>
      <c r="I7" s="1">
        <f t="shared" si="0"/>
        <v>1.1720314269553396E-7</v>
      </c>
    </row>
    <row r="8" spans="2:11" x14ac:dyDescent="0.25">
      <c r="B8" t="s">
        <v>4</v>
      </c>
      <c r="C8" s="8">
        <v>0</v>
      </c>
      <c r="D8" t="s">
        <v>3</v>
      </c>
      <c r="F8">
        <f t="shared" si="1"/>
        <v>2</v>
      </c>
      <c r="G8" s="11">
        <f t="shared" si="2"/>
        <v>1291.1983170160211</v>
      </c>
      <c r="H8" s="1">
        <f t="shared" si="3"/>
        <v>1.4560056630244329E-2</v>
      </c>
      <c r="I8" s="1">
        <f t="shared" si="0"/>
        <v>9.8475484973776666E-8</v>
      </c>
    </row>
    <row r="9" spans="2:11" x14ac:dyDescent="0.25">
      <c r="B9" t="s">
        <v>10</v>
      </c>
      <c r="C9" s="8">
        <f>'input and results'!C13</f>
        <v>100</v>
      </c>
      <c r="D9" t="s">
        <v>11</v>
      </c>
      <c r="F9">
        <f t="shared" si="1"/>
        <v>2.5</v>
      </c>
      <c r="G9" s="11">
        <f t="shared" si="2"/>
        <v>1363.998723261599</v>
      </c>
      <c r="H9" s="1">
        <f t="shared" si="3"/>
        <v>1.4560105867986816E-2</v>
      </c>
      <c r="I9" s="1">
        <f t="shared" si="0"/>
        <v>8.353434868926605E-8</v>
      </c>
    </row>
    <row r="10" spans="2:11" x14ac:dyDescent="0.25">
      <c r="B10" t="s">
        <v>18</v>
      </c>
      <c r="C10" s="8">
        <f>'input and results'!C14</f>
        <v>1000</v>
      </c>
      <c r="D10" t="s">
        <v>5</v>
      </c>
      <c r="F10">
        <f t="shared" si="1"/>
        <v>3</v>
      </c>
      <c r="G10" s="11">
        <f t="shared" si="2"/>
        <v>1436.799357019469</v>
      </c>
      <c r="H10" s="1">
        <f t="shared" si="3"/>
        <v>1.456014763516116E-2</v>
      </c>
      <c r="I10" s="1">
        <f t="shared" si="0"/>
        <v>7.1469148411646972E-8</v>
      </c>
    </row>
    <row r="11" spans="2:11" x14ac:dyDescent="0.25">
      <c r="B11" t="s">
        <v>24</v>
      </c>
      <c r="C11" s="8">
        <f>'input and results'!C15</f>
        <v>10</v>
      </c>
      <c r="D11" t="s">
        <v>5</v>
      </c>
      <c r="F11">
        <f t="shared" si="1"/>
        <v>3.5</v>
      </c>
      <c r="G11" s="11">
        <f t="shared" si="2"/>
        <v>1509.6001845317103</v>
      </c>
      <c r="H11" s="1">
        <f t="shared" si="3"/>
        <v>1.4560183369735366E-2</v>
      </c>
      <c r="I11" s="1">
        <f t="shared" si="0"/>
        <v>6.1619924448025022E-8</v>
      </c>
    </row>
    <row r="12" spans="2:11" x14ac:dyDescent="0.25">
      <c r="B12" t="s">
        <v>17</v>
      </c>
      <c r="C12" s="9">
        <f>(C11/C19)/C10</f>
        <v>1.455973569085115E-2</v>
      </c>
      <c r="F12">
        <f t="shared" si="1"/>
        <v>4</v>
      </c>
      <c r="G12" s="11">
        <f t="shared" si="2"/>
        <v>1582.4011784052927</v>
      </c>
      <c r="H12" s="1">
        <f t="shared" si="3"/>
        <v>1.456021417969759E-2</v>
      </c>
      <c r="I12" s="1">
        <f t="shared" si="0"/>
        <v>5.3500419728452339E-8</v>
      </c>
    </row>
    <row r="13" spans="2:11" x14ac:dyDescent="0.25">
      <c r="B13" t="s">
        <v>12</v>
      </c>
      <c r="C13" s="1">
        <f>SQRT(C9*2/511)*C3</f>
        <v>187683374.12695631</v>
      </c>
      <c r="D13" t="s">
        <v>13</v>
      </c>
      <c r="F13">
        <f t="shared" si="1"/>
        <v>4.5</v>
      </c>
      <c r="G13" s="11">
        <f t="shared" si="2"/>
        <v>1655.2023161793054</v>
      </c>
      <c r="H13" s="1">
        <f t="shared" si="3"/>
        <v>1.4560240929907455E-2</v>
      </c>
      <c r="I13" s="1">
        <f t="shared" si="0"/>
        <v>4.6746997947968183E-8</v>
      </c>
    </row>
    <row r="14" spans="2:11" x14ac:dyDescent="0.25">
      <c r="F14">
        <f t="shared" si="1"/>
        <v>5</v>
      </c>
      <c r="G14" s="11">
        <f t="shared" si="2"/>
        <v>1728.0035792625902</v>
      </c>
      <c r="H14" s="1">
        <f t="shared" si="3"/>
        <v>1.456026430340643E-2</v>
      </c>
      <c r="I14" s="1">
        <f t="shared" si="0"/>
        <v>4.1084032972614624E-8</v>
      </c>
    </row>
    <row r="15" spans="2:11" x14ac:dyDescent="0.25">
      <c r="B15" t="s">
        <v>6</v>
      </c>
      <c r="C15" s="1">
        <f>(C8*0.000001/C2)/(0.000000000001*C3*PI()*C10^2)</f>
        <v>0</v>
      </c>
      <c r="D15" t="s">
        <v>7</v>
      </c>
      <c r="F15">
        <f t="shared" si="1"/>
        <v>5.5</v>
      </c>
      <c r="G15" s="11">
        <f t="shared" si="2"/>
        <v>1800.8049521346636</v>
      </c>
      <c r="H15" s="1">
        <f t="shared" si="3"/>
        <v>1.4560284845422917E-2</v>
      </c>
      <c r="I15" s="1">
        <f t="shared" si="0"/>
        <v>3.63000274436817E-8</v>
      </c>
    </row>
    <row r="16" spans="2:11" x14ac:dyDescent="0.25">
      <c r="F16">
        <f t="shared" si="1"/>
        <v>6</v>
      </c>
      <c r="G16" s="11">
        <f t="shared" si="2"/>
        <v>1873.6064217368125</v>
      </c>
      <c r="H16" s="1">
        <f t="shared" si="3"/>
        <v>1.4560302995436638E-2</v>
      </c>
      <c r="I16" s="1">
        <f t="shared" si="0"/>
        <v>3.223085923603934E-8</v>
      </c>
    </row>
    <row r="17" spans="2:9" x14ac:dyDescent="0.25">
      <c r="B17" t="s">
        <v>8</v>
      </c>
      <c r="C17" s="1" t="e">
        <f>1000000000*SQRT(C4*C6/(C15*C2^2))</f>
        <v>#DIV/0!</v>
      </c>
      <c r="D17" t="s">
        <v>9</v>
      </c>
      <c r="F17">
        <f t="shared" si="1"/>
        <v>6.5</v>
      </c>
      <c r="G17" s="11">
        <f t="shared" si="2"/>
        <v>1946.4079770025699</v>
      </c>
      <c r="H17" s="1">
        <f t="shared" si="3"/>
        <v>1.4560319110866256E-2</v>
      </c>
      <c r="I17" s="1">
        <f t="shared" si="0"/>
        <v>2.8747848985804951E-8</v>
      </c>
    </row>
    <row r="18" spans="2:9" x14ac:dyDescent="0.25">
      <c r="F18">
        <f t="shared" si="1"/>
        <v>7</v>
      </c>
      <c r="G18" s="11">
        <f t="shared" si="2"/>
        <v>2019.2096084917123</v>
      </c>
      <c r="H18" s="1">
        <f t="shared" si="3"/>
        <v>1.4560333484790749E-2</v>
      </c>
      <c r="I18" s="1">
        <f t="shared" si="0"/>
        <v>2.574914244000845E-8</v>
      </c>
    </row>
    <row r="19" spans="2:9" x14ac:dyDescent="0.25">
      <c r="B19" t="s">
        <v>25</v>
      </c>
      <c r="C19" s="6">
        <f>SQRT(2*C9/511)*(1+0.5*C9/511)</f>
        <v>0.6868256548285876</v>
      </c>
      <c r="F19">
        <f t="shared" si="1"/>
        <v>7.5</v>
      </c>
      <c r="G19" s="11">
        <f t="shared" si="2"/>
        <v>2092.0113081020941</v>
      </c>
      <c r="H19" s="1">
        <f t="shared" si="3"/>
        <v>1.4560346359361969E-2</v>
      </c>
      <c r="I19" s="1">
        <f t="shared" si="0"/>
        <v>2.3153406627320984E-8</v>
      </c>
    </row>
    <row r="20" spans="2:9" x14ac:dyDescent="0.25">
      <c r="F20">
        <f t="shared" si="1"/>
        <v>8</v>
      </c>
      <c r="G20" s="11">
        <f t="shared" si="2"/>
        <v>2164.8130688406623</v>
      </c>
      <c r="H20" s="1">
        <f t="shared" si="3"/>
        <v>1.4560357936065282E-2</v>
      </c>
      <c r="I20" s="1">
        <f t="shared" si="0"/>
        <v>2.0895163753425852E-8</v>
      </c>
    </row>
    <row r="21" spans="2:9" x14ac:dyDescent="0.25">
      <c r="B21" t="s">
        <v>23</v>
      </c>
      <c r="C21" s="6">
        <f>(C8*0.000001/(C1*2*C19))*(C10/C11)^2</f>
        <v>0</v>
      </c>
      <c r="F21">
        <f t="shared" si="1"/>
        <v>8.5</v>
      </c>
      <c r="G21" s="11">
        <f t="shared" si="2"/>
        <v>2237.6148846399433</v>
      </c>
      <c r="H21" s="1">
        <f t="shared" si="3"/>
        <v>1.4560368383647158E-2</v>
      </c>
      <c r="I21" s="1">
        <f t="shared" si="0"/>
        <v>1.892129929168822E-8</v>
      </c>
    </row>
    <row r="22" spans="2:9" x14ac:dyDescent="0.25">
      <c r="F22">
        <f t="shared" si="1"/>
        <v>9</v>
      </c>
      <c r="G22" s="11">
        <f t="shared" si="2"/>
        <v>2310.416750209803</v>
      </c>
      <c r="H22" s="1">
        <f t="shared" si="3"/>
        <v>1.4560377844296804E-2</v>
      </c>
      <c r="I22" s="1">
        <f t="shared" si="0"/>
        <v>1.71884220439695E-8</v>
      </c>
    </row>
    <row r="23" spans="2:9" x14ac:dyDescent="0.25">
      <c r="B23" t="s">
        <v>26</v>
      </c>
      <c r="C23" s="1">
        <f>C11/C19</f>
        <v>14.55973569085115</v>
      </c>
      <c r="D23" s="7" t="s">
        <v>5</v>
      </c>
      <c r="F23">
        <f t="shared" si="1"/>
        <v>9.5</v>
      </c>
      <c r="G23" s="11">
        <f t="shared" si="2"/>
        <v>2383.2186609168148</v>
      </c>
      <c r="H23" s="1">
        <f t="shared" si="3"/>
        <v>1.4560386438507825E-2</v>
      </c>
      <c r="I23" s="1">
        <f t="shared" si="0"/>
        <v>1.5660849275855988E-8</v>
      </c>
    </row>
    <row r="24" spans="2:9" x14ac:dyDescent="0.25">
      <c r="F24">
        <f t="shared" si="1"/>
        <v>10</v>
      </c>
      <c r="G24" s="11">
        <f t="shared" si="2"/>
        <v>2456.0206126854155</v>
      </c>
      <c r="H24" s="1">
        <f t="shared" si="3"/>
        <v>1.4560394268932464E-2</v>
      </c>
      <c r="I24" s="1">
        <f t="shared" si="0"/>
        <v>1.430905523242425E-8</v>
      </c>
    </row>
    <row r="25" spans="2:9" x14ac:dyDescent="0.25">
      <c r="I25" s="1"/>
    </row>
    <row r="27" spans="2:9" x14ac:dyDescent="0.25">
      <c r="C27" s="1">
        <f>0.14*C1*(C19)*(C11/C10)^2</f>
        <v>0.16439546681828252</v>
      </c>
      <c r="G27">
        <f>(G24-6)*0.06</f>
        <v>147.00123676112491</v>
      </c>
    </row>
    <row r="30" spans="2:9" x14ac:dyDescent="0.25">
      <c r="C30" s="3"/>
    </row>
    <row r="31" spans="2:9" x14ac:dyDescent="0.25">
      <c r="C3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 and results</vt:lpstr>
      <vt:lpstr>calculator without sc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Sergei Kutsaev</cp:lastModifiedBy>
  <dcterms:created xsi:type="dcterms:W3CDTF">2017-11-07T00:13:46Z</dcterms:created>
  <dcterms:modified xsi:type="dcterms:W3CDTF">2017-12-20T23:38:31Z</dcterms:modified>
</cp:coreProperties>
</file>