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2 - SYNRAD\5 - PSD References\1 - Foerster\1 - Recreated experiments in SynRad\1 - APS aluminum\"/>
    </mc:Choice>
  </mc:AlternateContent>
  <bookViews>
    <workbookView xWindow="0" yWindow="0" windowWidth="28800" windowHeight="14235" tabRatio="769" activeTab="4"/>
  </bookViews>
  <sheets>
    <sheet name="H2 No Scat" sheetId="9" r:id="rId1"/>
    <sheet name="CO2 No Scat" sheetId="10" r:id="rId2"/>
    <sheet name="CO No Scat" sheetId="11" r:id="rId3"/>
    <sheet name="CH4 No Scat" sheetId="12" r:id="rId4"/>
    <sheet name="H2 0.308" sheetId="6" r:id="rId5"/>
    <sheet name="CO2 0.308" sheetId="14" r:id="rId6"/>
    <sheet name="CO 0.308" sheetId="13" r:id="rId7"/>
    <sheet name="CH4 0.308" sheetId="15" r:id="rId8"/>
    <sheet name="PSD experiment study" sheetId="1" r:id="rId9"/>
    <sheet name="SynRad reflections by roughness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5" l="1"/>
  <c r="G8" i="13"/>
  <c r="G8" i="14"/>
  <c r="G10" i="6"/>
  <c r="H8" i="15" l="1"/>
  <c r="H7" i="15"/>
  <c r="E8" i="15"/>
  <c r="E7" i="15"/>
  <c r="D8" i="13"/>
  <c r="H8" i="14"/>
  <c r="H7" i="14"/>
  <c r="E8" i="14"/>
  <c r="E7" i="14"/>
  <c r="D10" i="6"/>
  <c r="D9" i="6"/>
  <c r="D8" i="6"/>
  <c r="H8" i="13" l="1"/>
  <c r="H7" i="13"/>
  <c r="E8" i="13"/>
  <c r="E7" i="13"/>
  <c r="F8" i="15"/>
  <c r="F7" i="15"/>
  <c r="F6" i="15"/>
  <c r="F8" i="13"/>
  <c r="F7" i="13"/>
  <c r="F6" i="13"/>
  <c r="F8" i="14"/>
  <c r="F7" i="14"/>
  <c r="F6" i="14"/>
  <c r="D8" i="15"/>
  <c r="D7" i="15"/>
  <c r="D6" i="15" s="1"/>
  <c r="D7" i="13"/>
  <c r="D6" i="13"/>
  <c r="D8" i="14"/>
  <c r="D7" i="14"/>
  <c r="D6" i="14" s="1"/>
  <c r="F8" i="6"/>
  <c r="L15" i="13" l="1"/>
  <c r="I15" i="13"/>
  <c r="B15" i="13"/>
  <c r="L15" i="15"/>
  <c r="I15" i="15"/>
  <c r="F15" i="15"/>
  <c r="B15" i="15"/>
  <c r="I15" i="14"/>
  <c r="F15" i="14"/>
  <c r="B15" i="14"/>
  <c r="I31" i="9" l="1"/>
  <c r="H8" i="9"/>
  <c r="H7" i="9"/>
  <c r="E8" i="9"/>
  <c r="E7" i="9"/>
  <c r="F7" i="9"/>
  <c r="F8" i="9"/>
  <c r="F6" i="9"/>
  <c r="D8" i="9"/>
  <c r="B8" i="9"/>
  <c r="B7" i="9"/>
  <c r="D7" i="9"/>
  <c r="D6" i="9" s="1"/>
  <c r="Q15" i="9"/>
  <c r="P15" i="9"/>
  <c r="H10" i="6"/>
  <c r="H9" i="6"/>
  <c r="E10" i="6"/>
  <c r="E9" i="6"/>
  <c r="F9" i="6"/>
  <c r="F10" i="6"/>
  <c r="Q17" i="6"/>
  <c r="P17" i="6"/>
  <c r="L17" i="6"/>
  <c r="G7" i="15" l="1"/>
  <c r="Q31" i="15"/>
  <c r="Q32" i="15" s="1"/>
  <c r="P31" i="15"/>
  <c r="P32" i="15" s="1"/>
  <c r="L31" i="15"/>
  <c r="L32" i="15" s="1"/>
  <c r="L33" i="15" s="1"/>
  <c r="I31" i="15"/>
  <c r="I32" i="15" s="1"/>
  <c r="I33" i="15" s="1"/>
  <c r="F31" i="15"/>
  <c r="F32" i="15" s="1"/>
  <c r="F33" i="15" s="1"/>
  <c r="B31" i="15"/>
  <c r="B32" i="15" s="1"/>
  <c r="B33" i="15" s="1"/>
  <c r="Q27" i="15"/>
  <c r="Q28" i="15" s="1"/>
  <c r="P27" i="15"/>
  <c r="P28" i="15" s="1"/>
  <c r="L27" i="15"/>
  <c r="L28" i="15" s="1"/>
  <c r="L29" i="15" s="1"/>
  <c r="I27" i="15"/>
  <c r="I28" i="15" s="1"/>
  <c r="I29" i="15" s="1"/>
  <c r="F27" i="15"/>
  <c r="F28" i="15" s="1"/>
  <c r="F29" i="15" s="1"/>
  <c r="B27" i="15"/>
  <c r="B28" i="15" s="1"/>
  <c r="B29" i="15" s="1"/>
  <c r="Q23" i="15"/>
  <c r="Q24" i="15" s="1"/>
  <c r="P23" i="15"/>
  <c r="P24" i="15" s="1"/>
  <c r="L23" i="15"/>
  <c r="L24" i="15" s="1"/>
  <c r="L25" i="15" s="1"/>
  <c r="I23" i="15"/>
  <c r="I24" i="15" s="1"/>
  <c r="I25" i="15" s="1"/>
  <c r="F23" i="15"/>
  <c r="F24" i="15" s="1"/>
  <c r="F25" i="15" s="1"/>
  <c r="B23" i="15"/>
  <c r="B24" i="15" s="1"/>
  <c r="B25" i="15" s="1"/>
  <c r="Q19" i="15"/>
  <c r="Q20" i="15" s="1"/>
  <c r="P19" i="15"/>
  <c r="P20" i="15" s="1"/>
  <c r="L19" i="15"/>
  <c r="L20" i="15" s="1"/>
  <c r="L21" i="15" s="1"/>
  <c r="I19" i="15"/>
  <c r="I20" i="15" s="1"/>
  <c r="I21" i="15" s="1"/>
  <c r="F19" i="15"/>
  <c r="F20" i="15" s="1"/>
  <c r="F21" i="15" s="1"/>
  <c r="B19" i="15"/>
  <c r="B20" i="15" s="1"/>
  <c r="B21" i="15" s="1"/>
  <c r="L17" i="15"/>
  <c r="I17" i="15"/>
  <c r="F17" i="15"/>
  <c r="B17" i="15"/>
  <c r="B11" i="15"/>
  <c r="B7" i="15"/>
  <c r="G7" i="14"/>
  <c r="Q31" i="14"/>
  <c r="Q32" i="14" s="1"/>
  <c r="P31" i="14"/>
  <c r="P32" i="14" s="1"/>
  <c r="L31" i="14"/>
  <c r="L32" i="14" s="1"/>
  <c r="L33" i="14" s="1"/>
  <c r="I31" i="14"/>
  <c r="I32" i="14" s="1"/>
  <c r="I33" i="14" s="1"/>
  <c r="F31" i="14"/>
  <c r="F32" i="14" s="1"/>
  <c r="F33" i="14" s="1"/>
  <c r="B31" i="14"/>
  <c r="B32" i="14" s="1"/>
  <c r="B33" i="14" s="1"/>
  <c r="Q27" i="14"/>
  <c r="Q28" i="14" s="1"/>
  <c r="P27" i="14"/>
  <c r="P28" i="14" s="1"/>
  <c r="L27" i="14"/>
  <c r="L28" i="14" s="1"/>
  <c r="L29" i="14" s="1"/>
  <c r="I27" i="14"/>
  <c r="I28" i="14" s="1"/>
  <c r="I29" i="14" s="1"/>
  <c r="F27" i="14"/>
  <c r="F28" i="14" s="1"/>
  <c r="F29" i="14" s="1"/>
  <c r="B27" i="14"/>
  <c r="B28" i="14" s="1"/>
  <c r="B29" i="14" s="1"/>
  <c r="Q23" i="14"/>
  <c r="Q24" i="14" s="1"/>
  <c r="P23" i="14"/>
  <c r="P24" i="14" s="1"/>
  <c r="L23" i="14"/>
  <c r="L24" i="14" s="1"/>
  <c r="L25" i="14" s="1"/>
  <c r="I23" i="14"/>
  <c r="I24" i="14" s="1"/>
  <c r="I25" i="14" s="1"/>
  <c r="F23" i="14"/>
  <c r="F24" i="14" s="1"/>
  <c r="F25" i="14" s="1"/>
  <c r="B23" i="14"/>
  <c r="B24" i="14" s="1"/>
  <c r="B25" i="14" s="1"/>
  <c r="Q19" i="14"/>
  <c r="Q20" i="14" s="1"/>
  <c r="P19" i="14"/>
  <c r="P20" i="14" s="1"/>
  <c r="L19" i="14"/>
  <c r="L20" i="14" s="1"/>
  <c r="L21" i="14" s="1"/>
  <c r="I19" i="14"/>
  <c r="I20" i="14" s="1"/>
  <c r="I21" i="14" s="1"/>
  <c r="F19" i="14"/>
  <c r="F20" i="14" s="1"/>
  <c r="F21" i="14" s="1"/>
  <c r="B19" i="14"/>
  <c r="B20" i="14" s="1"/>
  <c r="B21" i="14" s="1"/>
  <c r="L17" i="14"/>
  <c r="I17" i="14"/>
  <c r="F17" i="14"/>
  <c r="B17" i="14"/>
  <c r="B11" i="14"/>
  <c r="G9" i="6"/>
  <c r="G7" i="13"/>
  <c r="Q31" i="13"/>
  <c r="Q32" i="13" s="1"/>
  <c r="P31" i="13"/>
  <c r="P32" i="13" s="1"/>
  <c r="L31" i="13"/>
  <c r="L32" i="13" s="1"/>
  <c r="L33" i="13" s="1"/>
  <c r="I31" i="13"/>
  <c r="I32" i="13" s="1"/>
  <c r="I33" i="13" s="1"/>
  <c r="F31" i="13"/>
  <c r="F32" i="13" s="1"/>
  <c r="F33" i="13" s="1"/>
  <c r="B31" i="13"/>
  <c r="B32" i="13" s="1"/>
  <c r="B33" i="13" s="1"/>
  <c r="Q27" i="13"/>
  <c r="Q28" i="13" s="1"/>
  <c r="P27" i="13"/>
  <c r="P28" i="13" s="1"/>
  <c r="L27" i="13"/>
  <c r="L28" i="13" s="1"/>
  <c r="L29" i="13" s="1"/>
  <c r="I27" i="13"/>
  <c r="I28" i="13" s="1"/>
  <c r="I29" i="13" s="1"/>
  <c r="F27" i="13"/>
  <c r="F28" i="13" s="1"/>
  <c r="F29" i="13" s="1"/>
  <c r="B27" i="13"/>
  <c r="B28" i="13" s="1"/>
  <c r="B29" i="13" s="1"/>
  <c r="Q23" i="13"/>
  <c r="Q24" i="13" s="1"/>
  <c r="P23" i="13"/>
  <c r="P24" i="13" s="1"/>
  <c r="L23" i="13"/>
  <c r="L24" i="13" s="1"/>
  <c r="L25" i="13" s="1"/>
  <c r="I23" i="13"/>
  <c r="I24" i="13" s="1"/>
  <c r="I25" i="13" s="1"/>
  <c r="F23" i="13"/>
  <c r="F24" i="13" s="1"/>
  <c r="F25" i="13" s="1"/>
  <c r="B23" i="13"/>
  <c r="B24" i="13" s="1"/>
  <c r="B25" i="13" s="1"/>
  <c r="Q19" i="13"/>
  <c r="Q20" i="13" s="1"/>
  <c r="P19" i="13"/>
  <c r="P20" i="13" s="1"/>
  <c r="L19" i="13"/>
  <c r="L20" i="13" s="1"/>
  <c r="L21" i="13" s="1"/>
  <c r="I19" i="13"/>
  <c r="I20" i="13" s="1"/>
  <c r="I21" i="13" s="1"/>
  <c r="F19" i="13"/>
  <c r="F20" i="13" s="1"/>
  <c r="F21" i="13" s="1"/>
  <c r="B19" i="13"/>
  <c r="B20" i="13" s="1"/>
  <c r="B21" i="13" s="1"/>
  <c r="L17" i="13"/>
  <c r="I17" i="13"/>
  <c r="F17" i="13"/>
  <c r="B17" i="13"/>
  <c r="B11" i="13"/>
  <c r="B7" i="13"/>
  <c r="H6" i="13" s="1"/>
  <c r="L15" i="14" l="1"/>
  <c r="P15" i="14" s="1"/>
  <c r="Q14" i="13"/>
  <c r="P15" i="13"/>
  <c r="P14" i="13" s="1"/>
  <c r="P15" i="15"/>
  <c r="P14" i="15" s="1"/>
  <c r="H6" i="15"/>
  <c r="Q14" i="15"/>
  <c r="H6" i="14"/>
  <c r="P14" i="14"/>
  <c r="Q14" i="14"/>
  <c r="E49" i="2"/>
  <c r="E50" i="2"/>
  <c r="E51" i="2"/>
  <c r="E5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H8" i="12" l="1"/>
  <c r="H7" i="12"/>
  <c r="Q31" i="12" l="1"/>
  <c r="Q32" i="12" s="1"/>
  <c r="P31" i="12"/>
  <c r="P32" i="12" s="1"/>
  <c r="L31" i="12"/>
  <c r="L32" i="12" s="1"/>
  <c r="L33" i="12" s="1"/>
  <c r="I31" i="12"/>
  <c r="I32" i="12" s="1"/>
  <c r="I33" i="12" s="1"/>
  <c r="F31" i="12"/>
  <c r="F32" i="12" s="1"/>
  <c r="F33" i="12" s="1"/>
  <c r="B31" i="12"/>
  <c r="B32" i="12" s="1"/>
  <c r="B33" i="12" s="1"/>
  <c r="Q27" i="12"/>
  <c r="Q28" i="12" s="1"/>
  <c r="P27" i="12"/>
  <c r="P28" i="12" s="1"/>
  <c r="L27" i="12"/>
  <c r="L28" i="12" s="1"/>
  <c r="L29" i="12" s="1"/>
  <c r="I27" i="12"/>
  <c r="I28" i="12" s="1"/>
  <c r="I29" i="12" s="1"/>
  <c r="F27" i="12"/>
  <c r="F28" i="12" s="1"/>
  <c r="F29" i="12" s="1"/>
  <c r="B27" i="12"/>
  <c r="B28" i="12" s="1"/>
  <c r="B29" i="12" s="1"/>
  <c r="Q23" i="12"/>
  <c r="Q24" i="12" s="1"/>
  <c r="P23" i="12"/>
  <c r="P24" i="12" s="1"/>
  <c r="L23" i="12"/>
  <c r="L24" i="12" s="1"/>
  <c r="L25" i="12" s="1"/>
  <c r="I23" i="12"/>
  <c r="I24" i="12" s="1"/>
  <c r="I25" i="12" s="1"/>
  <c r="F23" i="12"/>
  <c r="F24" i="12" s="1"/>
  <c r="F25" i="12" s="1"/>
  <c r="B23" i="12"/>
  <c r="B24" i="12" s="1"/>
  <c r="B25" i="12" s="1"/>
  <c r="Q19" i="12"/>
  <c r="Q20" i="12" s="1"/>
  <c r="P19" i="12"/>
  <c r="P20" i="12" s="1"/>
  <c r="L19" i="12"/>
  <c r="L20" i="12" s="1"/>
  <c r="L21" i="12" s="1"/>
  <c r="I19" i="12"/>
  <c r="I20" i="12" s="1"/>
  <c r="I21" i="12" s="1"/>
  <c r="F19" i="12"/>
  <c r="F20" i="12" s="1"/>
  <c r="F21" i="12" s="1"/>
  <c r="B19" i="12"/>
  <c r="B20" i="12" s="1"/>
  <c r="B21" i="12" s="1"/>
  <c r="L17" i="12"/>
  <c r="I17" i="12"/>
  <c r="F17" i="12"/>
  <c r="B17" i="12"/>
  <c r="B11" i="12"/>
  <c r="Q14" i="12" s="1"/>
  <c r="B8" i="12"/>
  <c r="G8" i="12" s="1"/>
  <c r="B7" i="12"/>
  <c r="E7" i="12" s="1"/>
  <c r="H8" i="11"/>
  <c r="H7" i="11"/>
  <c r="Q31" i="11"/>
  <c r="Q32" i="11" s="1"/>
  <c r="P31" i="11"/>
  <c r="P32" i="11" s="1"/>
  <c r="L31" i="11"/>
  <c r="L32" i="11" s="1"/>
  <c r="L33" i="11" s="1"/>
  <c r="I31" i="11"/>
  <c r="I32" i="11" s="1"/>
  <c r="I33" i="11" s="1"/>
  <c r="F31" i="11"/>
  <c r="F32" i="11" s="1"/>
  <c r="F33" i="11" s="1"/>
  <c r="B31" i="11"/>
  <c r="B32" i="11" s="1"/>
  <c r="B33" i="11" s="1"/>
  <c r="Q27" i="11"/>
  <c r="Q28" i="11" s="1"/>
  <c r="P27" i="11"/>
  <c r="P28" i="11" s="1"/>
  <c r="L27" i="11"/>
  <c r="L28" i="11" s="1"/>
  <c r="L29" i="11" s="1"/>
  <c r="I27" i="11"/>
  <c r="I28" i="11" s="1"/>
  <c r="I29" i="11" s="1"/>
  <c r="F27" i="11"/>
  <c r="F28" i="11" s="1"/>
  <c r="F29" i="11" s="1"/>
  <c r="B27" i="11"/>
  <c r="B28" i="11" s="1"/>
  <c r="B29" i="11" s="1"/>
  <c r="Q23" i="11"/>
  <c r="Q24" i="11" s="1"/>
  <c r="P23" i="11"/>
  <c r="P24" i="11" s="1"/>
  <c r="L23" i="11"/>
  <c r="L24" i="11" s="1"/>
  <c r="L25" i="11" s="1"/>
  <c r="I23" i="11"/>
  <c r="I24" i="11" s="1"/>
  <c r="I25" i="11" s="1"/>
  <c r="F23" i="11"/>
  <c r="F24" i="11" s="1"/>
  <c r="F25" i="11" s="1"/>
  <c r="B23" i="11"/>
  <c r="B24" i="11" s="1"/>
  <c r="B25" i="11" s="1"/>
  <c r="Q19" i="11"/>
  <c r="Q20" i="11" s="1"/>
  <c r="P19" i="11"/>
  <c r="P20" i="11" s="1"/>
  <c r="L19" i="11"/>
  <c r="L20" i="11" s="1"/>
  <c r="L21" i="11" s="1"/>
  <c r="I19" i="11"/>
  <c r="I20" i="11" s="1"/>
  <c r="I21" i="11" s="1"/>
  <c r="F19" i="11"/>
  <c r="F20" i="11" s="1"/>
  <c r="F21" i="11" s="1"/>
  <c r="B19" i="11"/>
  <c r="B20" i="11" s="1"/>
  <c r="B21" i="11" s="1"/>
  <c r="L17" i="11"/>
  <c r="I17" i="11"/>
  <c r="F17" i="11"/>
  <c r="B17" i="11"/>
  <c r="B11" i="11"/>
  <c r="Q14" i="11" s="1"/>
  <c r="B8" i="11"/>
  <c r="G8" i="11" s="1"/>
  <c r="B7" i="11"/>
  <c r="G7" i="11" s="1"/>
  <c r="H8" i="10"/>
  <c r="H7" i="10"/>
  <c r="Q31" i="10"/>
  <c r="Q32" i="10" s="1"/>
  <c r="P31" i="10"/>
  <c r="P32" i="10" s="1"/>
  <c r="L31" i="10"/>
  <c r="L32" i="10" s="1"/>
  <c r="L33" i="10" s="1"/>
  <c r="I31" i="10"/>
  <c r="I32" i="10" s="1"/>
  <c r="I33" i="10" s="1"/>
  <c r="F31" i="10"/>
  <c r="F32" i="10" s="1"/>
  <c r="F33" i="10" s="1"/>
  <c r="B31" i="10"/>
  <c r="B32" i="10" s="1"/>
  <c r="B33" i="10" s="1"/>
  <c r="Q27" i="10"/>
  <c r="Q28" i="10" s="1"/>
  <c r="P27" i="10"/>
  <c r="P28" i="10" s="1"/>
  <c r="L27" i="10"/>
  <c r="L28" i="10" s="1"/>
  <c r="L29" i="10" s="1"/>
  <c r="I27" i="10"/>
  <c r="I28" i="10" s="1"/>
  <c r="I29" i="10" s="1"/>
  <c r="F27" i="10"/>
  <c r="F28" i="10" s="1"/>
  <c r="F29" i="10" s="1"/>
  <c r="B27" i="10"/>
  <c r="B28" i="10" s="1"/>
  <c r="B29" i="10" s="1"/>
  <c r="Q23" i="10"/>
  <c r="Q24" i="10" s="1"/>
  <c r="P23" i="10"/>
  <c r="P24" i="10" s="1"/>
  <c r="L23" i="10"/>
  <c r="L24" i="10" s="1"/>
  <c r="L25" i="10" s="1"/>
  <c r="I23" i="10"/>
  <c r="I24" i="10" s="1"/>
  <c r="I25" i="10" s="1"/>
  <c r="F23" i="10"/>
  <c r="F24" i="10" s="1"/>
  <c r="F25" i="10" s="1"/>
  <c r="B23" i="10"/>
  <c r="B24" i="10" s="1"/>
  <c r="B25" i="10" s="1"/>
  <c r="Q19" i="10"/>
  <c r="Q20" i="10" s="1"/>
  <c r="P19" i="10"/>
  <c r="P20" i="10" s="1"/>
  <c r="L19" i="10"/>
  <c r="L20" i="10" s="1"/>
  <c r="L21" i="10" s="1"/>
  <c r="I19" i="10"/>
  <c r="I20" i="10" s="1"/>
  <c r="I21" i="10" s="1"/>
  <c r="F19" i="10"/>
  <c r="F20" i="10" s="1"/>
  <c r="F21" i="10" s="1"/>
  <c r="B19" i="10"/>
  <c r="B20" i="10" s="1"/>
  <c r="B21" i="10" s="1"/>
  <c r="L17" i="10"/>
  <c r="I17" i="10"/>
  <c r="F17" i="10"/>
  <c r="B17" i="10"/>
  <c r="B11" i="10"/>
  <c r="F15" i="10" s="1"/>
  <c r="B8" i="10"/>
  <c r="G8" i="10" s="1"/>
  <c r="B7" i="10"/>
  <c r="E7" i="10" s="1"/>
  <c r="B15" i="12" l="1"/>
  <c r="L15" i="12"/>
  <c r="F15" i="12"/>
  <c r="I15" i="12"/>
  <c r="P15" i="12" s="1"/>
  <c r="P14" i="12" s="1"/>
  <c r="E8" i="12"/>
  <c r="G7" i="12"/>
  <c r="H6" i="12" s="1"/>
  <c r="H6" i="11"/>
  <c r="B15" i="11"/>
  <c r="F15" i="11"/>
  <c r="I15" i="11"/>
  <c r="E8" i="11"/>
  <c r="L15" i="11"/>
  <c r="P15" i="11" s="1"/>
  <c r="P14" i="11" s="1"/>
  <c r="E7" i="11"/>
  <c r="E8" i="10"/>
  <c r="G7" i="10"/>
  <c r="H6" i="10" s="1"/>
  <c r="I15" i="10"/>
  <c r="L15" i="10"/>
  <c r="P15" i="10" s="1"/>
  <c r="P14" i="10" s="1"/>
  <c r="B15" i="10"/>
  <c r="Q14" i="10"/>
  <c r="G8" i="9"/>
  <c r="G7" i="9"/>
  <c r="B27" i="9"/>
  <c r="B28" i="9" s="1"/>
  <c r="B29" i="9" s="1"/>
  <c r="L23" i="9"/>
  <c r="L24" i="9" s="1"/>
  <c r="L25" i="9" s="1"/>
  <c r="Q31" i="9"/>
  <c r="Q32" i="9" s="1"/>
  <c r="P31" i="9"/>
  <c r="P32" i="9" s="1"/>
  <c r="L31" i="9"/>
  <c r="L32" i="9" s="1"/>
  <c r="L33" i="9" s="1"/>
  <c r="I32" i="9"/>
  <c r="I33" i="9" s="1"/>
  <c r="F31" i="9"/>
  <c r="F32" i="9" s="1"/>
  <c r="F33" i="9" s="1"/>
  <c r="B31" i="9"/>
  <c r="B32" i="9" s="1"/>
  <c r="B33" i="9" s="1"/>
  <c r="Q27" i="9"/>
  <c r="Q28" i="9" s="1"/>
  <c r="P27" i="9"/>
  <c r="P28" i="9" s="1"/>
  <c r="L27" i="9"/>
  <c r="L28" i="9" s="1"/>
  <c r="L29" i="9" s="1"/>
  <c r="I27" i="9"/>
  <c r="I28" i="9" s="1"/>
  <c r="I29" i="9" s="1"/>
  <c r="F27" i="9"/>
  <c r="F28" i="9" s="1"/>
  <c r="F29" i="9" s="1"/>
  <c r="Q23" i="9"/>
  <c r="Q24" i="9" s="1"/>
  <c r="P23" i="9"/>
  <c r="P24" i="9" s="1"/>
  <c r="I23" i="9"/>
  <c r="I24" i="9" s="1"/>
  <c r="I25" i="9" s="1"/>
  <c r="F23" i="9"/>
  <c r="F24" i="9" s="1"/>
  <c r="F25" i="9" s="1"/>
  <c r="B23" i="9"/>
  <c r="B24" i="9" s="1"/>
  <c r="B25" i="9" s="1"/>
  <c r="Q19" i="9"/>
  <c r="Q20" i="9" s="1"/>
  <c r="P19" i="9"/>
  <c r="P20" i="9" s="1"/>
  <c r="L19" i="9"/>
  <c r="L20" i="9" s="1"/>
  <c r="L21" i="9" s="1"/>
  <c r="I19" i="9"/>
  <c r="I20" i="9" s="1"/>
  <c r="I21" i="9" s="1"/>
  <c r="F19" i="9"/>
  <c r="F20" i="9" s="1"/>
  <c r="F21" i="9" s="1"/>
  <c r="B19" i="9"/>
  <c r="B20" i="9" s="1"/>
  <c r="B21" i="9" s="1"/>
  <c r="L17" i="9"/>
  <c r="I17" i="9"/>
  <c r="F17" i="9"/>
  <c r="B17" i="9"/>
  <c r="B11" i="9"/>
  <c r="I15" i="9" s="1"/>
  <c r="F15" i="9" l="1"/>
  <c r="H6" i="9"/>
  <c r="B15" i="9"/>
  <c r="L15" i="9"/>
  <c r="Q33" i="6"/>
  <c r="Q34" i="6" s="1"/>
  <c r="P33" i="6"/>
  <c r="P34" i="6" s="1"/>
  <c r="L33" i="6"/>
  <c r="L34" i="6" s="1"/>
  <c r="L35" i="6" s="1"/>
  <c r="I33" i="6"/>
  <c r="I34" i="6" s="1"/>
  <c r="I35" i="6" s="1"/>
  <c r="F33" i="6"/>
  <c r="F34" i="6" s="1"/>
  <c r="F35" i="6" s="1"/>
  <c r="B33" i="6"/>
  <c r="B34" i="6" s="1"/>
  <c r="B35" i="6" s="1"/>
  <c r="B19" i="6" l="1"/>
  <c r="B13" i="6"/>
  <c r="Q29" i="6"/>
  <c r="Q30" i="6" s="1"/>
  <c r="P29" i="6"/>
  <c r="P30" i="6" s="1"/>
  <c r="L29" i="6"/>
  <c r="L30" i="6" s="1"/>
  <c r="L31" i="6" s="1"/>
  <c r="I29" i="6"/>
  <c r="I30" i="6" s="1"/>
  <c r="I31" i="6" s="1"/>
  <c r="F29" i="6"/>
  <c r="F30" i="6" s="1"/>
  <c r="F31" i="6" s="1"/>
  <c r="B29" i="6"/>
  <c r="B30" i="6" s="1"/>
  <c r="B31" i="6" s="1"/>
  <c r="Q25" i="6"/>
  <c r="Q26" i="6" s="1"/>
  <c r="P25" i="6"/>
  <c r="P26" i="6" s="1"/>
  <c r="L25" i="6"/>
  <c r="L26" i="6" s="1"/>
  <c r="L27" i="6" s="1"/>
  <c r="I25" i="6"/>
  <c r="I26" i="6" s="1"/>
  <c r="I27" i="6" s="1"/>
  <c r="F25" i="6"/>
  <c r="F26" i="6" s="1"/>
  <c r="F27" i="6" s="1"/>
  <c r="B25" i="6"/>
  <c r="B26" i="6" s="1"/>
  <c r="B27" i="6" s="1"/>
  <c r="Q21" i="6"/>
  <c r="Q22" i="6" s="1"/>
  <c r="P21" i="6"/>
  <c r="P22" i="6" s="1"/>
  <c r="L21" i="6"/>
  <c r="L22" i="6" s="1"/>
  <c r="L23" i="6" s="1"/>
  <c r="I21" i="6"/>
  <c r="I22" i="6" s="1"/>
  <c r="I23" i="6" s="1"/>
  <c r="F21" i="6"/>
  <c r="F22" i="6" s="1"/>
  <c r="F23" i="6" s="1"/>
  <c r="B21" i="6"/>
  <c r="B22" i="6" s="1"/>
  <c r="B23" i="6" s="1"/>
  <c r="L19" i="6"/>
  <c r="I19" i="6"/>
  <c r="F19" i="6"/>
  <c r="B9" i="6"/>
  <c r="H8" i="6" s="1"/>
  <c r="V53" i="1"/>
  <c r="E43" i="1"/>
  <c r="E41" i="1"/>
  <c r="B17" i="6" l="1"/>
  <c r="F17" i="6"/>
  <c r="I17" i="6"/>
  <c r="D52" i="2" l="1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H29" i="1"/>
  <c r="H31" i="1"/>
  <c r="H35" i="1"/>
  <c r="H33" i="1"/>
  <c r="H17" i="1"/>
  <c r="H15" i="1"/>
  <c r="H13" i="1"/>
  <c r="H11" i="1"/>
  <c r="C36" i="1"/>
  <c r="E34" i="1" s="1"/>
  <c r="C28" i="1"/>
  <c r="E27" i="1" s="1"/>
  <c r="C32" i="1"/>
  <c r="E31" i="1" s="1"/>
  <c r="C14" i="1"/>
  <c r="E12" i="1" s="1"/>
  <c r="C18" i="1"/>
  <c r="E16" i="1" s="1"/>
  <c r="C10" i="1"/>
  <c r="E8" i="1" s="1"/>
  <c r="E29" i="1" l="1"/>
  <c r="E17" i="1"/>
  <c r="E15" i="1"/>
  <c r="E30" i="1"/>
  <c r="E13" i="1"/>
  <c r="E9" i="1"/>
  <c r="E11" i="1"/>
  <c r="E33" i="1"/>
  <c r="E35" i="1"/>
  <c r="E26" i="1"/>
</calcChain>
</file>

<file path=xl/sharedStrings.xml><?xml version="1.0" encoding="utf-8"?>
<sst xmlns="http://schemas.openxmlformats.org/spreadsheetml/2006/main" count="1020" uniqueCount="60">
  <si>
    <t>pho/s</t>
  </si>
  <si>
    <t>back wall</t>
  </si>
  <si>
    <t>sum</t>
  </si>
  <si>
    <t>other walls</t>
  </si>
  <si>
    <t>No Scat</t>
  </si>
  <si>
    <t>incident</t>
  </si>
  <si>
    <t>60mm round</t>
  </si>
  <si>
    <t>no scat</t>
  </si>
  <si>
    <t>mbar*L/s</t>
  </si>
  <si>
    <t>@ 1E7 seconds</t>
  </si>
  <si>
    <t>s</t>
  </si>
  <si>
    <t>APS aluminum chamber</t>
  </si>
  <si>
    <t>cm</t>
  </si>
  <si>
    <t>incident length</t>
  </si>
  <si>
    <t>incident height</t>
  </si>
  <si>
    <t>passes through aperture</t>
  </si>
  <si>
    <t>rough</t>
  </si>
  <si>
    <t>smooth</t>
  </si>
  <si>
    <t>cm2</t>
  </si>
  <si>
    <t>surface area</t>
  </si>
  <si>
    <t>pho/m</t>
  </si>
  <si>
    <t>mol/pho</t>
  </si>
  <si>
    <t>beam height</t>
  </si>
  <si>
    <t>beam length</t>
  </si>
  <si>
    <t>m</t>
  </si>
  <si>
    <t>length on walls</t>
  </si>
  <si>
    <t>no scattering beam on walls</t>
  </si>
  <si>
    <t>first point</t>
  </si>
  <si>
    <t>time to reach point</t>
  </si>
  <si>
    <t>digitized load</t>
  </si>
  <si>
    <t>second point</t>
  </si>
  <si>
    <t>agreement</t>
  </si>
  <si>
    <t>mol/s</t>
  </si>
  <si>
    <t>Seff</t>
  </si>
  <si>
    <t>Q</t>
  </si>
  <si>
    <t>mbar</t>
  </si>
  <si>
    <t>L/s</t>
  </si>
  <si>
    <t>third point</t>
  </si>
  <si>
    <t>predicted</t>
  </si>
  <si>
    <t>H2</t>
  </si>
  <si>
    <t>Fit MolFlow</t>
  </si>
  <si>
    <t>surf</t>
  </si>
  <si>
    <t>pressure</t>
  </si>
  <si>
    <t>mbar*L/s/cm2</t>
  </si>
  <si>
    <t>Orig</t>
  </si>
  <si>
    <t>Digitized</t>
  </si>
  <si>
    <t>Points</t>
  </si>
  <si>
    <t>0.308 final</t>
  </si>
  <si>
    <t>Irradiated surface area</t>
  </si>
  <si>
    <t>60mm tube surface area</t>
  </si>
  <si>
    <t>M Ady</t>
  </si>
  <si>
    <t>Experim.</t>
  </si>
  <si>
    <t>Data</t>
  </si>
  <si>
    <t>CO2</t>
  </si>
  <si>
    <t>Step 1</t>
  </si>
  <si>
    <t>Step 2</t>
  </si>
  <si>
    <t>CO</t>
  </si>
  <si>
    <t>Experim</t>
  </si>
  <si>
    <t>data</t>
  </si>
  <si>
    <t>M. 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</si>
</sst>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9" fontId="0" fillId="0" borderId="0" xfId="0" applyNumberFormat="1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4" borderId="0" xfId="0" applyNumberFormat="1" applyFill="1"/>
    <xf numFmtId="11" fontId="0" fillId="3" borderId="0" xfId="0" applyNumberFormat="1" applyFill="1"/>
    <xf numFmtId="164" fontId="0" fillId="4" borderId="0" xfId="0" applyNumberFormat="1" applyFill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No Scat'!$B$16,'H2 No Scat'!$F$16,'H2 No Scat'!$I$16,'H2 No Scat'!$L$16)</c:f>
              <c:numCache>
                <c:formatCode>0.00E+00</c:formatCode>
                <c:ptCount val="4"/>
                <c:pt idx="0">
                  <c:v>4.4999999999999998E-2</c:v>
                </c:pt>
                <c:pt idx="1">
                  <c:v>6.8729999999999998E-3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4"/>
          <c:order val="1"/>
          <c:tx>
            <c:v>H2 Orig MolFlow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Scat'!$B$20,'H2 No Scat'!$F$20,'H2 No Scat'!$I$20,'H2 No Scat'!$L$20,'H2 No Scat'!$P$20,'H2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H2 Try1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Scat'!$B$24,'H2 No Scat'!$F$24,'H2 No Scat'!$I$24,'H2 No Scat'!$L$24,'H2 No Scat'!$P$24,'H2 No Scat'!$Q$24)</c:f>
              <c:numCache>
                <c:formatCode>0.00E+00</c:formatCode>
                <c:ptCount val="6"/>
                <c:pt idx="0">
                  <c:v>4.3957858322195141E-2</c:v>
                </c:pt>
                <c:pt idx="1">
                  <c:v>4.0954739628377493E-2</c:v>
                </c:pt>
                <c:pt idx="2">
                  <c:v>3.5551580749709523E-2</c:v>
                </c:pt>
                <c:pt idx="3">
                  <c:v>1.5698910641123078E-2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H2 Try2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Scat'!$B$28,'H2 No Scat'!$F$28,'H2 No Scat'!$I$28,'H2 No Scat'!$L$28,'H2 No Scat'!$P$28,'H2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1.0304968070515676E-3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4"/>
          <c:tx>
            <c:v>H2 0.308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Scat'!$B$32,'H2 No Scat'!$F$32,'H2 No Scat'!$I$32,'H2 No Scat'!$L$32,'H2 No Scat'!$P$32,'H2 No Scat'!$Q$32)</c:f>
              <c:numCache>
                <c:formatCode>0.00E+00</c:formatCode>
                <c:ptCount val="6"/>
                <c:pt idx="0">
                  <c:v>4.4984755964392734E-2</c:v>
                </c:pt>
                <c:pt idx="1">
                  <c:v>7.0458019935180092E-3</c:v>
                </c:pt>
                <c:pt idx="2">
                  <c:v>1.0684147076552141E-3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5"/>
          <c:tx>
            <c:v>H2 0.01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Scat'!$B$36,'H2 No Scat'!$F$36,'H2 No Scat'!$I$36,'H2 No Scat'!$L$36,'H2 No Scat'!$P$36,'H2 No Scat'!$Q$36)</c:f>
              <c:numCache>
                <c:formatCode>0.00E+00</c:formatCode>
                <c:ptCount val="6"/>
              </c:numCache>
            </c:numRef>
          </c:yVal>
          <c:smooth val="0"/>
        </c:ser>
        <c:ser>
          <c:idx val="3"/>
          <c:order val="6"/>
          <c:tx>
            <c:v>H2 Experimental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Scat'!$B$40,'H2 No Scat'!$F$40,'H2 No Scat'!$I$40,'H2 No Scat'!$L$40,'H2 No Scat'!$P$40,'H2 No Scat'!$Q$40)</c:f>
              <c:numCache>
                <c:formatCode>0.00E+00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9016"/>
        <c:axId val="498778232"/>
      </c:scatterChart>
      <c:valAx>
        <c:axId val="498779016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8232"/>
        <c:crossesAt val="1.0000000000000004E-6"/>
        <c:crossBetween val="midCat"/>
      </c:valAx>
      <c:valAx>
        <c:axId val="498778232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5137449924018"/>
          <c:y val="0.11152174030225434"/>
          <c:w val="0.23591221299376955"/>
          <c:h val="0.283416855052776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CO2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Scat'!$B$16,'CO2 No Scat'!$F$16,'CO2 No Scat'!$I$16,'CO2 No Scat'!$L$16)</c:f>
              <c:numCache>
                <c:formatCode>0.00E+00</c:formatCode>
                <c:ptCount val="4"/>
                <c:pt idx="0">
                  <c:v>8.0669000000000001E-3</c:v>
                </c:pt>
                <c:pt idx="1">
                  <c:v>1.1360000000000001E-3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1"/>
          <c:order val="1"/>
          <c:tx>
            <c:v>CO2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Scat'!$B$32,'CO2 No Scat'!$F$32,'CO2 No Scat'!$I$32,'CO2 No Scat'!$L$32,'CO2 No Scat'!$P$32,'CO2 No Scat'!$Q$32)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CO2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Scat'!$B$20,'CO2 No Scat'!$F$20,'CO2 No Scat'!$I$20,'CO2 No Scat'!$L$20,'CO2 No Scat'!$P$20,'CO2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CO2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Scat'!$B$24,'CO2 No Scat'!$F$24,'CO2 No Scat'!$I$24,'CO2 No Scat'!$L$24,'CO2 No Scat'!$P$24,'CO2 No Scat'!$Q$24)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Scat'!$B$28,'CO2 No Scat'!$F$28,'CO2 No Scat'!$I$28,'CO2 No Scat'!$L$28,'CO2 No Scat'!$P$28,'CO2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0336"/>
        <c:axId val="498794792"/>
      </c:scatterChart>
      <c:valAx>
        <c:axId val="496490336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4792"/>
        <c:crossesAt val="1.0000000000000004E-6"/>
        <c:crossBetween val="midCat"/>
      </c:valAx>
      <c:valAx>
        <c:axId val="498794792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0336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94230957824293"/>
          <c:y val="0.41859070593357089"/>
          <c:w val="0.33345469734097161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1.001E+25</c:v>
                </c:pt>
              </c:numCache>
            </c:numRef>
          </c:xVal>
          <c:yVal>
            <c:numRef>
              <c:f>'CO2 No Scat'!$D$6:$D$8</c:f>
              <c:numCache>
                <c:formatCode>0.00E+00</c:formatCode>
                <c:ptCount val="3"/>
                <c:pt idx="0">
                  <c:v>9.1800000000000007E-3</c:v>
                </c:pt>
                <c:pt idx="1">
                  <c:v>9.1800000000000007E-3</c:v>
                </c:pt>
                <c:pt idx="2">
                  <c:v>3.9000000000000002E-7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'CO2 No Scat'!$C$6:$C$8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'CO2 No Scat'!$F$6:$F$8</c:f>
              <c:numCache>
                <c:formatCode>0.00E+00</c:formatCode>
                <c:ptCount val="3"/>
                <c:pt idx="0">
                  <c:v>9.1800000000000007E-3</c:v>
                </c:pt>
                <c:pt idx="1">
                  <c:v>9.1800000000000007E-3</c:v>
                </c:pt>
                <c:pt idx="2">
                  <c:v>3.9000000000000002E-7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0.47345653191270098</c:v>
                </c:pt>
                <c:pt idx="1">
                  <c:v>0.47345653191270098</c:v>
                </c:pt>
                <c:pt idx="2">
                  <c:v>2.0113150928700546E-5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5184"/>
        <c:axId val="498795968"/>
      </c:scatterChart>
      <c:valAx>
        <c:axId val="498795184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968"/>
        <c:crossesAt val="1.0000000000000005E-9"/>
        <c:crossBetween val="midCat"/>
      </c:valAx>
      <c:valAx>
        <c:axId val="49879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1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 No Scat'!$B$16,'CO No Scat'!$F$16,'CO No Scat'!$I$16,'CO No Scat'!$L$16)</c:f>
              <c:numCache>
                <c:formatCode>0.00E+00</c:formatCode>
                <c:ptCount val="4"/>
                <c:pt idx="0">
                  <c:v>4.7289999999999997E-3</c:v>
                </c:pt>
                <c:pt idx="1">
                  <c:v>7.5679999999999996E-4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4"/>
          <c:order val="1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Scat'!$B$20,'CO No Scat'!$F$20,'CO No Scat'!$I$20,'CO No Scat'!$L$20,'CO No Scat'!$P$20,'CO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Scat'!$B$24,'CO No Scat'!$F$24,'CO No Scat'!$I$24,'CO No Scat'!$L$24,'CO No Scat'!$P$24,'CO No Scat'!$Q$24)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Scat'!$B$28,'CO No Scat'!$F$28,'CO No Scat'!$I$28,'CO No Scat'!$L$28,'CO No Scat'!$P$28,'CO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Scat'!$B$32,'CO No Scat'!$F$32,'CO No Scat'!$I$32,'CO No Scat'!$L$32,'CO No Scat'!$P$32,'CO No Scat'!$Q$32)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7144"/>
        <c:axId val="498797536"/>
      </c:scatterChart>
      <c:valAx>
        <c:axId val="498797144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536"/>
        <c:crossesAt val="1.0000000000000004E-6"/>
        <c:crossBetween val="midCat"/>
      </c:valAx>
      <c:valAx>
        <c:axId val="4987975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82347919364802"/>
          <c:y val="0.55565499958490161"/>
          <c:w val="0.34455038331317395"/>
          <c:h val="0.205040396790003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1.001E+25</c:v>
                </c:pt>
              </c:numCache>
            </c:numRef>
          </c:xVal>
          <c:yVal>
            <c:numRef>
              <c:f>'CO No Scat'!$D$6:$D$8</c:f>
              <c:numCache>
                <c:formatCode>0.00E+00</c:formatCode>
                <c:ptCount val="3"/>
                <c:pt idx="0">
                  <c:v>5.1999999999999998E-3</c:v>
                </c:pt>
                <c:pt idx="1">
                  <c:v>5.1999999999999998E-3</c:v>
                </c:pt>
                <c:pt idx="2">
                  <c:v>4.75E-7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1.82E+17</c:v>
                </c:pt>
                <c:pt idx="2">
                  <c:v>1.82E+22</c:v>
                </c:pt>
              </c:numCache>
            </c:numRef>
          </c:xVal>
          <c:yVal>
            <c:numRef>
              <c:f>'CO No Scat'!$F$6:$F$8</c:f>
              <c:numCache>
                <c:formatCode>0.00E+00</c:formatCode>
                <c:ptCount val="3"/>
                <c:pt idx="0">
                  <c:v>5.1999999999999998E-3</c:v>
                </c:pt>
                <c:pt idx="1">
                  <c:v>5.1999999999999998E-3</c:v>
                </c:pt>
                <c:pt idx="2">
                  <c:v>4.75E-7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4962342594614498E-2"/>
                  <c:y val="-5.8851358911355582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No Scat'!$E$7:$E$8</c:f>
              <c:numCache>
                <c:formatCode>0.00E+00</c:formatCode>
                <c:ptCount val="2"/>
                <c:pt idx="0">
                  <c:v>1.82E+17</c:v>
                </c:pt>
                <c:pt idx="1">
                  <c:v>1.82E+22</c:v>
                </c:pt>
              </c:numCache>
            </c:numRef>
          </c:xVal>
          <c:yVal>
            <c:numRef>
              <c:f>'CO No Scat'!$F$7:$F$8</c:f>
              <c:numCache>
                <c:formatCode>0.00E+00</c:formatCode>
                <c:ptCount val="2"/>
                <c:pt idx="0">
                  <c:v>5.1999999999999998E-3</c:v>
                </c:pt>
                <c:pt idx="1">
                  <c:v>4.75E-7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0.19875307206599252</c:v>
                </c:pt>
                <c:pt idx="1">
                  <c:v>0.19875307206599252</c:v>
                </c:pt>
                <c:pt idx="2">
                  <c:v>1.8155735625289133E-5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8320"/>
        <c:axId val="498795576"/>
      </c:scatterChart>
      <c:valAx>
        <c:axId val="498798320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5576"/>
        <c:crossesAt val="1.0000000000000005E-9"/>
        <c:crossBetween val="midCat"/>
      </c:valAx>
      <c:valAx>
        <c:axId val="498795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83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Scat'!$B$16,'CO No Scat'!$F$16,'CO No Scat'!$I$16,'CO No Scat'!$L$16)</c:f>
              <c:numCache>
                <c:formatCode>0.00E+00</c:formatCode>
                <c:ptCount val="4"/>
                <c:pt idx="0">
                  <c:v>4.7289999999999997E-3</c:v>
                </c:pt>
                <c:pt idx="1">
                  <c:v>7.5679999999999996E-4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1"/>
          <c:order val="1"/>
          <c:tx>
            <c:v>CO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Scat'!$B$32,'CO No Scat'!$F$32,'CO No Scat'!$I$32,'CO No Scat'!$L$32,'CO No Scat'!$P$32,'CO No Scat'!$Q$32)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Scat'!$B$20,'CO No Scat'!$F$20,'CO No Scat'!$I$20,'CO No Scat'!$L$20,'CO No Scat'!$P$20,'CO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Scat'!$B$24,'CO No Scat'!$F$24,'CO No Scat'!$I$24,'CO No Scat'!$L$24,'CO No Scat'!$P$24,'CO No Scat'!$Q$24)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No Scat'!$B$14,'CO No Scat'!$F$14,'CO No Scat'!$I$14,'CO No Scat'!$L$14,'CO No Scat'!$P$14,'CO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No Scat'!$B$28,'CO No Scat'!$F$28,'CO No Scat'!$I$28,'CO No Scat'!$L$28,'CO No Scat'!$P$28,'CO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9104"/>
        <c:axId val="498799496"/>
      </c:scatterChart>
      <c:valAx>
        <c:axId val="498799104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9496"/>
        <c:crossesAt val="1.0000000000000004E-6"/>
        <c:crossBetween val="midCat"/>
      </c:valAx>
      <c:valAx>
        <c:axId val="49879949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910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94230957824293"/>
          <c:y val="0.41859070593357089"/>
          <c:w val="0.33345469734097161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1.001E+25</c:v>
                </c:pt>
              </c:numCache>
            </c:numRef>
          </c:xVal>
          <c:yVal>
            <c:numRef>
              <c:f>'CO No Scat'!$D$6:$D$8</c:f>
              <c:numCache>
                <c:formatCode>0.00E+00</c:formatCode>
                <c:ptCount val="3"/>
                <c:pt idx="0">
                  <c:v>5.1999999999999998E-3</c:v>
                </c:pt>
                <c:pt idx="1">
                  <c:v>5.1999999999999998E-3</c:v>
                </c:pt>
                <c:pt idx="2">
                  <c:v>4.75E-7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 No Scat'!$C$6:$C$8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'CO No Scat'!$F$6:$F$8</c:f>
              <c:numCache>
                <c:formatCode>0.00E+00</c:formatCode>
                <c:ptCount val="3"/>
                <c:pt idx="0">
                  <c:v>5.1999999999999998E-3</c:v>
                </c:pt>
                <c:pt idx="1">
                  <c:v>5.1999999999999998E-3</c:v>
                </c:pt>
                <c:pt idx="2">
                  <c:v>4.75E-7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0.19875307206599252</c:v>
                </c:pt>
                <c:pt idx="1">
                  <c:v>0.19875307206599252</c:v>
                </c:pt>
                <c:pt idx="2">
                  <c:v>1.8155735625289133E-5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0280"/>
        <c:axId val="498800672"/>
      </c:scatterChart>
      <c:valAx>
        <c:axId val="498800280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0672"/>
        <c:crossesAt val="1.0000000000000005E-9"/>
        <c:crossBetween val="midCat"/>
      </c:valAx>
      <c:valAx>
        <c:axId val="49880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0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('CH4 No Scat'!$B$16,'CH4 No Scat'!$F$16,'CH4 No Scat'!$I$16,'CH4 No Scat'!$L$16)</c:f>
              <c:numCache>
                <c:formatCode>0.00E+00</c:formatCode>
                <c:ptCount val="4"/>
                <c:pt idx="0">
                  <c:v>2.7500000000000002E-4</c:v>
                </c:pt>
                <c:pt idx="1">
                  <c:v>3.964E-5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4"/>
          <c:order val="1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Scat'!$B$20,'CH4 No Scat'!$F$20,'CH4 No Scat'!$I$20,'CH4 No Scat'!$L$20,'CH4 No Scat'!$P$20,'CH4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Scat'!$B$24,'CH4 No Scat'!$F$24,'CH4 No Scat'!$I$24,'CH4 No Scat'!$L$24,'CH4 No Scat'!$P$24,'CH4 No Scat'!$Q$24)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Scat'!$B$28,'CH4 No Scat'!$F$28,'CH4 No Scat'!$I$28,'CH4 No Scat'!$L$28,'CH4 No Scat'!$P$28,'CH4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Scat'!$B$32,'CH4 No Scat'!$F$32,'CH4 No Scat'!$I$32,'CH4 No Scat'!$L$32,'CH4 No Scat'!$P$32,'CH4 No Scat'!$Q$32)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1848"/>
        <c:axId val="618593320"/>
      </c:scatterChart>
      <c:valAx>
        <c:axId val="498801848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3320"/>
        <c:crossesAt val="1.0000000000000004E-6"/>
        <c:crossBetween val="midCat"/>
      </c:valAx>
      <c:valAx>
        <c:axId val="618593320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90468239154575"/>
          <c:y val="0.1021912053502879"/>
          <c:w val="0.34455038331317395"/>
          <c:h val="0.205040396790003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1.001E+25</c:v>
                </c:pt>
              </c:numCache>
            </c:numRef>
          </c:xVal>
          <c:yVal>
            <c:numRef>
              <c:f>'CH4 No Scat'!$D$6:$D$8</c:f>
              <c:numCache>
                <c:formatCode>0.00E+00</c:formatCode>
                <c:ptCount val="3"/>
                <c:pt idx="0">
                  <c:v>3.01E-4</c:v>
                </c:pt>
                <c:pt idx="1">
                  <c:v>3.01E-4</c:v>
                </c:pt>
                <c:pt idx="2">
                  <c:v>1.8600000000000001E-8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'CH4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1.82E+17</c:v>
                </c:pt>
                <c:pt idx="2">
                  <c:v>1.82E+22</c:v>
                </c:pt>
              </c:numCache>
            </c:numRef>
          </c:xVal>
          <c:yVal>
            <c:numRef>
              <c:f>'CH4 No Scat'!$F$6:$F$8</c:f>
              <c:numCache>
                <c:formatCode>0.00E+00</c:formatCode>
                <c:ptCount val="3"/>
                <c:pt idx="0">
                  <c:v>3.01E-4</c:v>
                </c:pt>
                <c:pt idx="1">
                  <c:v>3.01E-4</c:v>
                </c:pt>
                <c:pt idx="2">
                  <c:v>1.8600000000000001E-8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4962342594614498E-2"/>
                  <c:y val="-5.8851358911355582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No Scat'!$E$7:$E$8</c:f>
              <c:numCache>
                <c:formatCode>0.00E+00</c:formatCode>
                <c:ptCount val="2"/>
                <c:pt idx="0">
                  <c:v>1.82E+17</c:v>
                </c:pt>
                <c:pt idx="1">
                  <c:v>1.82E+22</c:v>
                </c:pt>
              </c:numCache>
            </c:numRef>
          </c:xVal>
          <c:yVal>
            <c:numRef>
              <c:f>'CH4 No Scat'!$F$7:$F$8</c:f>
              <c:numCache>
                <c:formatCode>0.00E+00</c:formatCode>
                <c:ptCount val="2"/>
                <c:pt idx="0">
                  <c:v>3.01E-4</c:v>
                </c:pt>
                <c:pt idx="1">
                  <c:v>1.8600000000000001E-8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1.3407072058671306E-2</c:v>
                </c:pt>
                <c:pt idx="1">
                  <c:v>1.3407072058671306E-2</c:v>
                </c:pt>
                <c:pt idx="2">
                  <c:v>8.2848365281331879E-7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7440"/>
        <c:axId val="618588224"/>
      </c:scatterChart>
      <c:valAx>
        <c:axId val="618587440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8224"/>
        <c:crossesAt val="1.0000000000000005E-9"/>
        <c:crossBetween val="midCat"/>
      </c:valAx>
      <c:valAx>
        <c:axId val="61858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74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Scat'!$B$16,'CH4 No Scat'!$F$16,'CH4 No Scat'!$I$16,'CH4 No Scat'!$L$16)</c:f>
              <c:numCache>
                <c:formatCode>0.00E+00</c:formatCode>
                <c:ptCount val="4"/>
                <c:pt idx="0">
                  <c:v>2.7500000000000002E-4</c:v>
                </c:pt>
                <c:pt idx="1">
                  <c:v>3.964E-5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1"/>
          <c:order val="1"/>
          <c:tx>
            <c:v>CO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Scat'!$B$32,'CH4 No Scat'!$F$32,'CH4 No Scat'!$I$32,'CH4 No Scat'!$L$32,'CH4 No Scat'!$P$32,'CH4 No Scat'!$Q$32)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Scat'!$B$20,'CH4 No Scat'!$F$20,'CH4 No Scat'!$I$20,'CH4 No Scat'!$L$20,'CH4 No Scat'!$P$20,'CH4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Scat'!$B$24,'CH4 No Scat'!$F$24,'CH4 No Scat'!$I$24,'CH4 No Scat'!$L$24,'CH4 No Scat'!$P$24,'CH4 No Scat'!$Q$24)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No Scat'!$B$14,'CH4 No Scat'!$F$14,'CH4 No Scat'!$I$14,'CH4 No Scat'!$L$14,'CH4 No Scat'!$P$14,'CH4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No Scat'!$B$28,'CH4 No Scat'!$F$28,'CH4 No Scat'!$I$28,'CH4 No Scat'!$L$28,'CH4 No Scat'!$P$28,'CH4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9400"/>
        <c:axId val="618589008"/>
      </c:scatterChart>
      <c:valAx>
        <c:axId val="618589400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008"/>
        <c:crossesAt val="1.0000000000000004E-6"/>
        <c:crossBetween val="midCat"/>
      </c:valAx>
      <c:valAx>
        <c:axId val="61858900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400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23584398811585"/>
          <c:y val="0.11434672870440037"/>
          <c:w val="0.33345469734097161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'CH4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1.001E+25</c:v>
                </c:pt>
              </c:numCache>
            </c:numRef>
          </c:xVal>
          <c:yVal>
            <c:numRef>
              <c:f>'CH4 No Scat'!$D$6:$D$8</c:f>
              <c:numCache>
                <c:formatCode>0.00E+00</c:formatCode>
                <c:ptCount val="3"/>
                <c:pt idx="0">
                  <c:v>3.01E-4</c:v>
                </c:pt>
                <c:pt idx="1">
                  <c:v>3.01E-4</c:v>
                </c:pt>
                <c:pt idx="2">
                  <c:v>1.8600000000000001E-8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'CH4 No Scat'!$C$6:$C$8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'CH4 No Scat'!$F$6:$F$8</c:f>
              <c:numCache>
                <c:formatCode>0.00E+00</c:formatCode>
                <c:ptCount val="3"/>
                <c:pt idx="0">
                  <c:v>3.01E-4</c:v>
                </c:pt>
                <c:pt idx="1">
                  <c:v>3.01E-4</c:v>
                </c:pt>
                <c:pt idx="2">
                  <c:v>1.8600000000000001E-8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1.3407072058671306E-2</c:v>
                </c:pt>
                <c:pt idx="1">
                  <c:v>1.3407072058671306E-2</c:v>
                </c:pt>
                <c:pt idx="2">
                  <c:v>8.2848365281331879E-7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3712"/>
        <c:axId val="618594104"/>
      </c:scatterChart>
      <c:valAx>
        <c:axId val="618593712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4104"/>
        <c:crossesAt val="1.0000000000000005E-9"/>
        <c:crossBetween val="midCat"/>
      </c:valAx>
      <c:valAx>
        <c:axId val="61859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37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3933490201921"/>
          <c:y val="0.15535015062715157"/>
          <c:w val="0.58715967828832505"/>
          <c:h val="0.67613206623151112"/>
        </c:manualLayout>
      </c:layout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'H2 No Scat'!$D$6:$D$8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2E+17</c:v>
                </c:pt>
                <c:pt idx="2">
                  <c:v>2E+19</c:v>
                </c:pt>
              </c:numCache>
            </c:numRef>
          </c:xVal>
          <c:yVal>
            <c:numRef>
              <c:f>'H2 No Scat'!$F$6:$F$8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4962342594614498E-2"/>
                  <c:y val="-5.8851358911355582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No Scat'!$E$7:$E$8</c:f>
              <c:numCache>
                <c:formatCode>0.00E+00</c:formatCode>
                <c:ptCount val="2"/>
                <c:pt idx="0">
                  <c:v>2E+17</c:v>
                </c:pt>
                <c:pt idx="1">
                  <c:v>2E+19</c:v>
                </c:pt>
              </c:numCache>
            </c:numRef>
          </c:xVal>
          <c:yVal>
            <c:numRef>
              <c:f>'H2 No Scat'!$F$7:$F$8</c:f>
              <c:numCache>
                <c:formatCode>0.00E+00</c:formatCode>
                <c:ptCount val="2"/>
                <c:pt idx="0">
                  <c:v>4.4999999999999998E-2</c:v>
                </c:pt>
                <c:pt idx="1">
                  <c:v>1.034E-3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2000000000000000</c:v>
                </c:pt>
                <c:pt idx="2">
                  <c:v>2E+17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1.9581444566262891</c:v>
                </c:pt>
                <c:pt idx="1">
                  <c:v>1.9581444566262891</c:v>
                </c:pt>
                <c:pt idx="2">
                  <c:v>4.4992976784004525E-2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6664"/>
        <c:axId val="498777448"/>
      </c:scatterChart>
      <c:valAx>
        <c:axId val="498776664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7448"/>
        <c:crossesAt val="1.0000000000000005E-9"/>
        <c:crossBetween val="midCat"/>
      </c:valAx>
      <c:valAx>
        <c:axId val="498777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66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0.308'!$B$18,'H2 0.308'!$F$18,'H2 0.308'!$I$18,'H2 0.308'!$L$18)</c:f>
              <c:numCache>
                <c:formatCode>0.00E+00</c:formatCode>
                <c:ptCount val="4"/>
                <c:pt idx="0">
                  <c:v>4.4999999999999998E-2</c:v>
                </c:pt>
                <c:pt idx="1">
                  <c:v>6.8729999999999998E-3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4"/>
          <c:order val="1"/>
          <c:tx>
            <c:v>H2 Orig MolFlow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0.308'!$L$16,'H2 0.308'!$P$16,'H2 0.308'!$Q$16)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0.308'!$B$26,'H2 0.308'!$F$26,'H2 0.308'!$I$26,'H2 0.308'!$L$26,'H2 0.308'!$P$26,'H2 0.308'!$Q$26)</c:f>
              <c:numCache>
                <c:formatCode>0.00E+00</c:formatCode>
                <c:ptCount val="6"/>
                <c:pt idx="0">
                  <c:v>4.3887098042298914E-2</c:v>
                </c:pt>
                <c:pt idx="1">
                  <c:v>4.0842440443431084E-2</c:v>
                </c:pt>
                <c:pt idx="2">
                  <c:v>3.5514235046430975E-2</c:v>
                </c:pt>
                <c:pt idx="3">
                  <c:v>1.8065623607725973E-2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H2 Try1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0.308'!$L$16,'H2 0.308'!$P$16,'H2 0.308'!$Q$16)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0.308'!$B$22,'H2 0.308'!$F$22,'H2 0.308'!$I$22,'H2 0.308'!$L$22,'H2 0.308'!$P$22,'H2 0.308'!$Q$22)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H2 Try2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0.308'!$L$16,'H2 0.308'!$P$16,'H2 0.308'!$Q$16)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0.308'!$B$30,'H2 0.308'!$F$30,'H2 0.308'!$I$30,'H2 0.308'!$L$30,'H2 0.308'!$P$30,'H2 0.308'!$Q$30)</c:f>
              <c:numCache>
                <c:formatCode>0.00E+00</c:formatCode>
                <c:ptCount val="6"/>
                <c:pt idx="0">
                  <c:v>1.0336591800543369E-2</c:v>
                </c:pt>
                <c:pt idx="1">
                  <c:v>4.5003101222143597E-3</c:v>
                </c:pt>
                <c:pt idx="2">
                  <c:v>1.0592639183723389E-3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4"/>
          <c:tx>
            <c:v>H2 No Scat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0.308'!$L$16,'H2 0.308'!$P$16,'H2 0.308'!$Q$16)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0.308'!$B$42,'H2 0.308'!$F$42,'H2 0.308'!$I$42,'H2 0.308'!$L$42,'H2 0.308'!$P$42,'H2 0.308'!$Q$42)</c:f>
              <c:numCache>
                <c:formatCode>0.00E+00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4496"/>
        <c:axId val="618591360"/>
      </c:scatterChart>
      <c:valAx>
        <c:axId val="618594496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1360"/>
        <c:crossesAt val="1.0000000000000004E-6"/>
        <c:crossBetween val="midCat"/>
      </c:valAx>
      <c:valAx>
        <c:axId val="618591360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5956886667705"/>
          <c:y val="8.8536575979333079E-2"/>
          <c:w val="0.20964847869089678"/>
          <c:h val="0.297796247922841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0.308'!$B$8:$B$10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1E+22</c:v>
                </c:pt>
              </c:numCache>
            </c:numRef>
          </c:xVal>
          <c:yVal>
            <c:numRef>
              <c:f>'H2 0.308'!$D$8:$D$10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1"/>
          <c:order val="1"/>
          <c:tx>
            <c:v>Step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 0.308'!$E$8:$E$10</c:f>
              <c:numCache>
                <c:formatCode>0.00E+00</c:formatCode>
                <c:ptCount val="3"/>
                <c:pt idx="0">
                  <c:v>1</c:v>
                </c:pt>
                <c:pt idx="1">
                  <c:v>2.5025E+16</c:v>
                </c:pt>
                <c:pt idx="2">
                  <c:v>2.5E+18</c:v>
                </c:pt>
              </c:numCache>
            </c:numRef>
          </c:xVal>
          <c:yVal>
            <c:numRef>
              <c:f>'H2 0.308'!$F$8:$F$10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376814935906513"/>
                  <c:y val="-0.3774034481627321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 0.308'!$E$9:$E$10</c:f>
              <c:numCache>
                <c:formatCode>0.00E+00</c:formatCode>
                <c:ptCount val="2"/>
                <c:pt idx="0">
                  <c:v>2.5025E+16</c:v>
                </c:pt>
                <c:pt idx="1">
                  <c:v>2.5E+18</c:v>
                </c:pt>
              </c:numCache>
            </c:numRef>
          </c:xVal>
          <c:yVal>
            <c:numRef>
              <c:f>'H2 0.308'!$F$9:$F$10</c:f>
              <c:numCache>
                <c:formatCode>0.00E+00</c:formatCode>
                <c:ptCount val="2"/>
                <c:pt idx="0">
                  <c:v>4.4999999999999998E-2</c:v>
                </c:pt>
                <c:pt idx="1">
                  <c:v>1.034E-3</c:v>
                </c:pt>
              </c:numCache>
            </c:numRef>
          </c:yVal>
          <c:smooth val="0"/>
        </c:ser>
        <c:ser>
          <c:idx val="5"/>
          <c:order val="3"/>
          <c:tx>
            <c:v>Step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 0.308'!$G$8:$G$10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'H2 0.308'!$H$8:$H$10</c:f>
              <c:numCache>
                <c:formatCode>0.00E+00</c:formatCode>
                <c:ptCount val="3"/>
                <c:pt idx="0">
                  <c:v>2.3548793578135392</c:v>
                </c:pt>
                <c:pt idx="1">
                  <c:v>2.3548793578135392</c:v>
                </c:pt>
                <c:pt idx="2">
                  <c:v>5.41158381608388E-2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1752"/>
        <c:axId val="618592536"/>
      </c:scatterChart>
      <c:valAx>
        <c:axId val="618591752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536"/>
        <c:crossesAt val="1.0000000000000005E-9"/>
        <c:crossBetween val="midCat"/>
      </c:valAx>
      <c:valAx>
        <c:axId val="61859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17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762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0.308'!$B$18,'H2 0.308'!$F$18,'H2 0.308'!$I$18,'H2 0.308'!$L$18)</c:f>
              <c:numCache>
                <c:formatCode>0.00E+00</c:formatCode>
                <c:ptCount val="4"/>
                <c:pt idx="0">
                  <c:v>4.4999999999999998E-2</c:v>
                </c:pt>
                <c:pt idx="1">
                  <c:v>6.8729999999999998E-3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4"/>
          <c:order val="1"/>
          <c:tx>
            <c:v>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0.308'!$L$16,'H2 0.308'!$P$16,'H2 0.308'!$Q$16)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0.308'!$B$26,'H2 0.308'!$F$26,'H2 0.308'!$I$26,'H2 0.308'!$L$26,'H2 0.308'!$P$26,'H2 0.308'!$Q$26)</c:f>
              <c:numCache>
                <c:formatCode>0.00E+00</c:formatCode>
                <c:ptCount val="6"/>
                <c:pt idx="0">
                  <c:v>4.3887098042298914E-2</c:v>
                </c:pt>
                <c:pt idx="1">
                  <c:v>4.0842440443431084E-2</c:v>
                </c:pt>
                <c:pt idx="2">
                  <c:v>3.5514235046430975E-2</c:v>
                </c:pt>
                <c:pt idx="3">
                  <c:v>1.8065623607725973E-2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9"/>
          <c:order val="2"/>
          <c:tx>
            <c:v>Step 1</c:v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0.308'!$B$30,'H2 0.308'!$F$30,'H2 0.308'!$I$30,'H2 0.308'!$L$30)</c:f>
              <c:numCache>
                <c:formatCode>0.00E+00</c:formatCode>
                <c:ptCount val="4"/>
                <c:pt idx="0">
                  <c:v>1.0336591800543369E-2</c:v>
                </c:pt>
                <c:pt idx="1">
                  <c:v>4.5003101222143597E-3</c:v>
                </c:pt>
                <c:pt idx="2">
                  <c:v>1.0592639183723389E-3</c:v>
                </c:pt>
                <c:pt idx="3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Step 2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('H2 0.308'!$B$16,'H2 0.308'!$F$16,'H2 0.308'!$I$16,'H2 0.308'!$L$16)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('H2 0.308'!$B$34,'H2 0.308'!$F$34,'H2 0.308'!$I$34,'H2 0.308'!$L$34)</c:f>
              <c:numCache>
                <c:formatCode>0.00E+00</c:formatCode>
                <c:ptCount val="4"/>
                <c:pt idx="0">
                  <c:v>4.7028941828061249E-2</c:v>
                </c:pt>
                <c:pt idx="1">
                  <c:v>7.339893946938526E-3</c:v>
                </c:pt>
                <c:pt idx="2">
                  <c:v>1.113679447196233E-3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90184"/>
        <c:axId val="616997208"/>
      </c:scatterChart>
      <c:valAx>
        <c:axId val="618590184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7208"/>
        <c:crossesAt val="1.0000000000000004E-6"/>
        <c:crossBetween val="midCat"/>
      </c:valAx>
      <c:valAx>
        <c:axId val="61699720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018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66578160830729"/>
          <c:y val="0.2270440126214886"/>
          <c:w val="0.19547533727233868"/>
          <c:h val="0.197215585590362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CO2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('CO2 0.308'!$B$16,'CO2 0.308'!$F$16,'CO2 0.308'!$I$16,'CO2 0.308'!$L$16)</c:f>
              <c:numCache>
                <c:formatCode>0.00E+00</c:formatCode>
                <c:ptCount val="4"/>
                <c:pt idx="0">
                  <c:v>8.0669000000000001E-3</c:v>
                </c:pt>
                <c:pt idx="1">
                  <c:v>1.1360000000000001E-3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4"/>
          <c:order val="1"/>
          <c:tx>
            <c:v>CO2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0.308'!$B$20,'CO2 0.308'!$F$20,'CO2 0.308'!$I$20,'CO2 0.308'!$L$20,'CO2 0.308'!$P$20,'CO2 0.308'!$Q$20)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CO2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0.308'!$B$24,'CO2 0.308'!$F$24,'CO2 0.308'!$I$24,'CO2 0.308'!$L$24,'CO2 0.308'!$P$24,'CO2 0.308'!$Q$24)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CO2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0.308'!$B$28,'CO2 0.308'!$F$28,'CO2 0.308'!$I$28,'CO2 0.308'!$L$28,'CO2 0.308'!$P$28,'CO2 0.308'!$Q$28)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1.5829511404635233E-4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0.308'!$B$32,'CO2 0.308'!$F$32,'CO2 0.308'!$I$32,'CO2 0.308'!$L$32,'CO2 0.308'!$P$32,'CO2 0.308'!$Q$32)</c:f>
              <c:numCache>
                <c:formatCode>0.00E+00</c:formatCode>
                <c:ptCount val="6"/>
                <c:pt idx="0">
                  <c:v>8.073398502677534E-3</c:v>
                </c:pt>
                <c:pt idx="1">
                  <c:v>1.1853176787133858E-3</c:v>
                </c:pt>
                <c:pt idx="2">
                  <c:v>1.6512042351337893E-4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4464"/>
        <c:axId val="616994856"/>
      </c:scatterChart>
      <c:valAx>
        <c:axId val="616994464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856"/>
        <c:crossesAt val="1.0000000000000004E-6"/>
        <c:crossBetween val="midCat"/>
      </c:valAx>
      <c:valAx>
        <c:axId val="61699485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82347919364802"/>
          <c:y val="0.55565499958490161"/>
          <c:w val="0.34455038331317395"/>
          <c:h val="0.205040396790003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'CO2 0.308'!$D$6:$D$8</c:f>
              <c:numCache>
                <c:formatCode>0.00E+00</c:formatCode>
                <c:ptCount val="3"/>
                <c:pt idx="0">
                  <c:v>8.0669000000000001E-3</c:v>
                </c:pt>
                <c:pt idx="1">
                  <c:v>8.0669000000000001E-3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'CO2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2.1739130434782608E+16</c:v>
                </c:pt>
                <c:pt idx="2">
                  <c:v>2.173913043478261E+18</c:v>
                </c:pt>
              </c:numCache>
            </c:numRef>
          </c:xVal>
          <c:yVal>
            <c:numRef>
              <c:f>'CO2 0.308'!$F$6:$F$8</c:f>
              <c:numCache>
                <c:formatCode>0.00E+00</c:formatCode>
                <c:ptCount val="3"/>
                <c:pt idx="0">
                  <c:v>8.0669000000000001E-3</c:v>
                </c:pt>
                <c:pt idx="1">
                  <c:v>8.0669000000000001E-3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1242276429494331"/>
                  <c:y val="-0.3740954469512983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0.308'!$E$7:$E$8</c:f>
              <c:numCache>
                <c:formatCode>0.00E+00</c:formatCode>
                <c:ptCount val="2"/>
                <c:pt idx="0">
                  <c:v>2.1739130434782608E+16</c:v>
                </c:pt>
                <c:pt idx="1">
                  <c:v>2.173913043478261E+18</c:v>
                </c:pt>
              </c:numCache>
            </c:numRef>
          </c:xVal>
          <c:yVal>
            <c:numRef>
              <c:f>'CO2 0.308'!$F$7:$F$8</c:f>
              <c:numCache>
                <c:formatCode>0.00E+00</c:formatCode>
                <c:ptCount val="2"/>
                <c:pt idx="0">
                  <c:v>8.0669000000000001E-3</c:v>
                </c:pt>
                <c:pt idx="1">
                  <c:v>1.5640000000000001E-4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250000000000000</c:v>
                </c:pt>
                <c:pt idx="2">
                  <c:v>2.5E+16</c:v>
                </c:pt>
              </c:numCache>
            </c:numRef>
          </c:xVal>
          <c:yVal>
            <c:numRef>
              <c:f>'CO2 0.308'!$H$6:$H$8</c:f>
              <c:numCache>
                <c:formatCode>0.00E+00</c:formatCode>
                <c:ptCount val="3"/>
                <c:pt idx="0">
                  <c:v>0.36921166459608229</c:v>
                </c:pt>
                <c:pt idx="1">
                  <c:v>0.36921166459608229</c:v>
                </c:pt>
                <c:pt idx="2">
                  <c:v>7.158390949745126E-3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4072"/>
        <c:axId val="616995640"/>
      </c:scatterChart>
      <c:valAx>
        <c:axId val="616994072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5640"/>
        <c:crossesAt val="1.0000000000000005E-9"/>
        <c:crossBetween val="midCat"/>
      </c:valAx>
      <c:valAx>
        <c:axId val="616995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4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CO2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0.308'!$B$16,'CO2 0.308'!$F$16,'CO2 0.308'!$I$16,'CO2 0.308'!$L$16)</c:f>
              <c:numCache>
                <c:formatCode>0.00E+00</c:formatCode>
                <c:ptCount val="4"/>
                <c:pt idx="0">
                  <c:v>8.0669000000000001E-3</c:v>
                </c:pt>
                <c:pt idx="1">
                  <c:v>1.1360000000000001E-3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1"/>
          <c:order val="1"/>
          <c:tx>
            <c:v>CO2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0.308'!$B$32,'CO2 0.308'!$F$32,'CO2 0.308'!$I$32,'CO2 0.308'!$L$32,'CO2 0.308'!$P$32,'CO2 0.308'!$Q$32)</c:f>
              <c:numCache>
                <c:formatCode>0.00E+00</c:formatCode>
                <c:ptCount val="6"/>
                <c:pt idx="0">
                  <c:v>8.073398502677534E-3</c:v>
                </c:pt>
                <c:pt idx="1">
                  <c:v>1.1853176787133858E-3</c:v>
                </c:pt>
                <c:pt idx="2">
                  <c:v>1.6512042351337893E-4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CO2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0.308'!$B$20,'CO2 0.308'!$F$20,'CO2 0.308'!$I$20,'CO2 0.308'!$L$20,'CO2 0.308'!$P$20,'CO2 0.308'!$Q$20)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CO2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0.308'!$B$24,'CO2 0.308'!$F$24,'CO2 0.308'!$I$24,'CO2 0.308'!$L$24,'CO2 0.308'!$P$24,'CO2 0.308'!$Q$24)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0.308'!$B$14,'CO2 0.308'!$F$14,'CO2 0.308'!$I$14,'CO2 0.308'!$L$14,'CO2 0.308'!$P$14,'CO2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0.308'!$B$28,'CO2 0.308'!$F$28,'CO2 0.308'!$I$28,'CO2 0.308'!$L$28,'CO2 0.308'!$P$28,'CO2 0.308'!$Q$28)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1.5829511404635233E-4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3680"/>
        <c:axId val="616992112"/>
      </c:scatterChart>
      <c:valAx>
        <c:axId val="616993680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2112"/>
        <c:crossesAt val="1.0000000000000004E-6"/>
        <c:crossBetween val="midCat"/>
      </c:valAx>
      <c:valAx>
        <c:axId val="616992112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93680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94230957824293"/>
          <c:y val="0.41859070593357089"/>
          <c:w val="0.33345469734097161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translation maps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'CO2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'CO2 0.308'!$D$6:$D$8</c:f>
              <c:numCache>
                <c:formatCode>0.00E+00</c:formatCode>
                <c:ptCount val="3"/>
                <c:pt idx="0">
                  <c:v>8.0669000000000001E-3</c:v>
                </c:pt>
                <c:pt idx="1">
                  <c:v>8.0669000000000001E-3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'CO2 0.308'!$C$6:$C$8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'CO2 0.308'!$F$6:$F$8</c:f>
              <c:numCache>
                <c:formatCode>0.00E+00</c:formatCode>
                <c:ptCount val="3"/>
                <c:pt idx="0">
                  <c:v>8.0669000000000001E-3</c:v>
                </c:pt>
                <c:pt idx="1">
                  <c:v>8.0669000000000001E-3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'CO2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250000000000000</c:v>
                </c:pt>
                <c:pt idx="2">
                  <c:v>2.5E+16</c:v>
                </c:pt>
              </c:numCache>
            </c:numRef>
          </c:xVal>
          <c:yVal>
            <c:numRef>
              <c:f>'CO2 0.308'!$H$6:$H$8</c:f>
              <c:numCache>
                <c:formatCode>0.00E+00</c:formatCode>
                <c:ptCount val="3"/>
                <c:pt idx="0">
                  <c:v>0.36921166459608229</c:v>
                </c:pt>
                <c:pt idx="1">
                  <c:v>0.36921166459608229</c:v>
                </c:pt>
                <c:pt idx="2">
                  <c:v>7.158390949745126E-3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68760"/>
        <c:axId val="487566408"/>
      </c:scatterChart>
      <c:valAx>
        <c:axId val="487568760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66408"/>
        <c:crossesAt val="1.0000000000000005E-9"/>
        <c:crossBetween val="midCat"/>
      </c:valAx>
      <c:valAx>
        <c:axId val="487566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687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('CO 0.308'!$B$16,'CO 0.308'!$F$16,'CO 0.308'!$I$16,'CO 0.308'!$L$16)</c:f>
              <c:numCache>
                <c:formatCode>0.00E+00</c:formatCode>
                <c:ptCount val="4"/>
                <c:pt idx="0">
                  <c:v>4.7289999999999997E-3</c:v>
                </c:pt>
                <c:pt idx="1">
                  <c:v>7.5679999999999996E-4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4"/>
          <c:order val="1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0.308'!$B$20,'CO 0.308'!$F$20,'CO 0.308'!$I$20,'CO 0.308'!$L$20,'CO 0.308'!$P$20,'CO 0.308'!$Q$20)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5.8481624166819538E-4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0.308'!$B$24,'CO 0.308'!$F$24,'CO 0.308'!$I$24,'CO 0.308'!$L$24,'CO 0.308'!$P$24,'CO 0.308'!$Q$24)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0.308'!$B$28,'CO 0.308'!$F$28,'CO 0.308'!$I$28,'CO 0.308'!$L$28,'CO 0.308'!$P$28,'CO 0.308'!$Q$28)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1.1726376112727241E-4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0.308'!$B$32,'CO 0.308'!$F$32,'CO 0.308'!$I$32,'CO 0.308'!$L$32,'CO 0.308'!$P$32,'CO 0.308'!$Q$32)</c:f>
              <c:numCache>
                <c:formatCode>0.00E+00</c:formatCode>
                <c:ptCount val="6"/>
                <c:pt idx="0">
                  <c:v>4.6617483904220283E-3</c:v>
                </c:pt>
                <c:pt idx="1">
                  <c:v>7.6485747481894976E-4</c:v>
                </c:pt>
                <c:pt idx="2">
                  <c:v>1.2229691362877933E-4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67584"/>
        <c:axId val="487565232"/>
      </c:scatterChart>
      <c:valAx>
        <c:axId val="487567584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65232"/>
        <c:crossesAt val="1.0000000000000004E-6"/>
        <c:crossBetween val="midCat"/>
      </c:valAx>
      <c:valAx>
        <c:axId val="487565232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82347919364802"/>
          <c:y val="0.55565499958490161"/>
          <c:w val="0.34455038331317395"/>
          <c:h val="0.205040396790003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1E+22</c:v>
                </c:pt>
              </c:numCache>
            </c:numRef>
          </c:xVal>
          <c:yVal>
            <c:numRef>
              <c:f>'CO 0.308'!$D$6:$D$8</c:f>
              <c:numCache>
                <c:formatCode>0.00E+00</c:formatCode>
                <c:ptCount val="3"/>
                <c:pt idx="0">
                  <c:v>4.7289999999999997E-3</c:v>
                </c:pt>
                <c:pt idx="1">
                  <c:v>4.7289999999999997E-3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2.5025E+16</c:v>
                </c:pt>
                <c:pt idx="2">
                  <c:v>2.5E+18</c:v>
                </c:pt>
              </c:numCache>
            </c:numRef>
          </c:xVal>
          <c:yVal>
            <c:numRef>
              <c:f>'CO 0.308'!$F$6:$F$8</c:f>
              <c:numCache>
                <c:formatCode>0.00E+00</c:formatCode>
                <c:ptCount val="3"/>
                <c:pt idx="0">
                  <c:v>4.7289999999999997E-3</c:v>
                </c:pt>
                <c:pt idx="1">
                  <c:v>4.7289999999999997E-3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147162603190769"/>
                  <c:y val="-0.3860179450807804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 0.308'!$E$7:$E$8</c:f>
              <c:numCache>
                <c:formatCode>0.00E+00</c:formatCode>
                <c:ptCount val="2"/>
                <c:pt idx="0">
                  <c:v>2.5025E+16</c:v>
                </c:pt>
                <c:pt idx="1">
                  <c:v>2.5E+18</c:v>
                </c:pt>
              </c:numCache>
            </c:numRef>
          </c:xVal>
          <c:yVal>
            <c:numRef>
              <c:f>'CO 0.308'!$F$7:$F$8</c:f>
              <c:numCache>
                <c:formatCode>0.00E+00</c:formatCode>
                <c:ptCount val="2"/>
                <c:pt idx="0">
                  <c:v>4.7289999999999997E-3</c:v>
                </c:pt>
                <c:pt idx="1">
                  <c:v>1.211E-4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'CO 0.308'!$H$6:$H$8</c:f>
              <c:numCache>
                <c:formatCode>0.00E+00</c:formatCode>
                <c:ptCount val="3"/>
                <c:pt idx="0">
                  <c:v>0.2207030432513305</c:v>
                </c:pt>
                <c:pt idx="1">
                  <c:v>0.2207030432513305</c:v>
                </c:pt>
                <c:pt idx="2">
                  <c:v>5.6516315771022434E-3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23048"/>
        <c:axId val="239420696"/>
      </c:scatterChart>
      <c:valAx>
        <c:axId val="239423048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20696"/>
        <c:crossesAt val="1.0000000000000005E-9"/>
        <c:crossBetween val="midCat"/>
      </c:valAx>
      <c:valAx>
        <c:axId val="239420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230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0.308'!$B$16,'CO 0.308'!$F$16,'CO 0.308'!$I$16,'CO 0.308'!$L$16)</c:f>
              <c:numCache>
                <c:formatCode>0.00E+00</c:formatCode>
                <c:ptCount val="4"/>
                <c:pt idx="0">
                  <c:v>4.7289999999999997E-3</c:v>
                </c:pt>
                <c:pt idx="1">
                  <c:v>7.5679999999999996E-4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1"/>
          <c:order val="1"/>
          <c:tx>
            <c:v>CO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0.308'!$B$32,'CO 0.308'!$F$32,'CO 0.308'!$I$32,'CO 0.308'!$L$32,'CO 0.308'!$P$32,'CO 0.308'!$Q$32)</c:f>
              <c:numCache>
                <c:formatCode>0.00E+00</c:formatCode>
                <c:ptCount val="6"/>
                <c:pt idx="0">
                  <c:v>4.6617483904220283E-3</c:v>
                </c:pt>
                <c:pt idx="1">
                  <c:v>7.6485747481894976E-4</c:v>
                </c:pt>
                <c:pt idx="2">
                  <c:v>1.2229691362877933E-4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0.308'!$B$20,'CO 0.308'!$F$20,'CO 0.308'!$I$20,'CO 0.308'!$L$20,'CO 0.308'!$P$20,'CO 0.308'!$Q$20)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5.8481624166819538E-4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0.308'!$B$24,'CO 0.308'!$F$24,'CO 0.308'!$I$24,'CO 0.308'!$L$24,'CO 0.308'!$P$24,'CO 0.308'!$Q$24)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 0.308'!$B$14,'CO 0.308'!$F$14,'CO 0.308'!$I$14,'CO 0.308'!$L$14,'CO 0.308'!$P$14,'CO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2.9999999999999997E+23</c:v>
                </c:pt>
                <c:pt idx="5">
                  <c:v>1.3848444876244586E+24</c:v>
                </c:pt>
              </c:numCache>
            </c:numRef>
          </c:xVal>
          <c:yVal>
            <c:numRef>
              <c:f>('CO 0.308'!$B$28,'CO 0.308'!$F$28,'CO 0.308'!$I$28,'CO 0.308'!$L$28,'CO 0.308'!$P$28,'CO 0.308'!$Q$28)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1.1726376112727241E-4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21872"/>
        <c:axId val="239426576"/>
      </c:scatterChart>
      <c:valAx>
        <c:axId val="239421872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26576"/>
        <c:crossesAt val="1.0000000000000004E-6"/>
        <c:crossBetween val="midCat"/>
      </c:valAx>
      <c:valAx>
        <c:axId val="23942657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2187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94230957824293"/>
          <c:y val="0.41859070593357089"/>
          <c:w val="0.33345469734097161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Scat'!$I$14)</c:f>
              <c:numCache>
                <c:formatCode>0.00E+00</c:formatCode>
                <c:ptCount val="3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</c:numCache>
            </c:numRef>
          </c:xVal>
          <c:yVal>
            <c:numRef>
              <c:f>('H2 No Scat'!$B$16,'H2 No Scat'!$F$16,'H2 No Scat'!$I$16)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6.8729999999999998E-3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1"/>
          <c:order val="1"/>
          <c:tx>
            <c:v>H2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Scat'!$B$24,'H2 No Scat'!$F$24,'H2 No Scat'!$I$24,'H2 No Scat'!$L$24)</c:f>
              <c:numCache>
                <c:formatCode>0.00E+00</c:formatCode>
                <c:ptCount val="4"/>
                <c:pt idx="0">
                  <c:v>4.3957858322195141E-2</c:v>
                </c:pt>
                <c:pt idx="1">
                  <c:v>4.0954739628377493E-2</c:v>
                </c:pt>
                <c:pt idx="2">
                  <c:v>3.5551580749709523E-2</c:v>
                </c:pt>
                <c:pt idx="3">
                  <c:v>1.5698910641123078E-2</c:v>
                </c:pt>
              </c:numCache>
            </c:numRef>
          </c:yVal>
          <c:smooth val="0"/>
        </c:ser>
        <c:ser>
          <c:idx val="4"/>
          <c:order val="2"/>
          <c:tx>
            <c:v>H2 M. Ady Conversion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Scat'!$B$20,'H2 No Scat'!$F$20,'H2 No Scat'!$I$20,'H2 No Scat'!$L$20,'H2 No Scat'!$P$20,'H2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H2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Scat'!$B$28,'H2 No Scat'!$F$28,'H2 No Scat'!$I$28,'H2 No Scat'!$L$28)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1.0304968070515676E-3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H2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Scat'!$B$32,'H2 No Scat'!$F$32,'H2 No Scat'!$I$32,'H2 No Scat'!$L$32)</c:f>
              <c:numCache>
                <c:formatCode>0.00E+00</c:formatCode>
                <c:ptCount val="4"/>
                <c:pt idx="0">
                  <c:v>4.4984755964392734E-2</c:v>
                </c:pt>
                <c:pt idx="1">
                  <c:v>7.0458019935180092E-3</c:v>
                </c:pt>
                <c:pt idx="2">
                  <c:v>1.0684147076552141E-3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4704"/>
        <c:axId val="498775488"/>
      </c:scatterChart>
      <c:valAx>
        <c:axId val="498774704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5488"/>
        <c:crossesAt val="1.0000000000000004E-6"/>
        <c:crossBetween val="midCat"/>
      </c:valAx>
      <c:valAx>
        <c:axId val="49877548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4704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94237069616596"/>
          <c:y val="0.31529799761502536"/>
          <c:w val="0.32360678191848963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translation maps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1E+22</c:v>
                </c:pt>
              </c:numCache>
            </c:numRef>
          </c:xVal>
          <c:yVal>
            <c:numRef>
              <c:f>'CO 0.308'!$D$6:$D$8</c:f>
              <c:numCache>
                <c:formatCode>0.00E+00</c:formatCode>
                <c:ptCount val="3"/>
                <c:pt idx="0">
                  <c:v>4.7289999999999997E-3</c:v>
                </c:pt>
                <c:pt idx="1">
                  <c:v>4.7289999999999997E-3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 0.308'!$C$6:$C$8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'CO 0.308'!$F$6:$F$8</c:f>
              <c:numCache>
                <c:formatCode>0.00E+00</c:formatCode>
                <c:ptCount val="3"/>
                <c:pt idx="0">
                  <c:v>4.7289999999999997E-3</c:v>
                </c:pt>
                <c:pt idx="1">
                  <c:v>4.7289999999999997E-3</c:v>
                </c:pt>
                <c:pt idx="2">
                  <c:v>1.211E-4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'CO 0.308'!$H$6:$H$8</c:f>
              <c:numCache>
                <c:formatCode>0.00E+00</c:formatCode>
                <c:ptCount val="3"/>
                <c:pt idx="0">
                  <c:v>0.2207030432513305</c:v>
                </c:pt>
                <c:pt idx="1">
                  <c:v>0.2207030432513305</c:v>
                </c:pt>
                <c:pt idx="2">
                  <c:v>5.6516315771022434E-3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33728"/>
        <c:axId val="615232160"/>
      </c:scatterChart>
      <c:valAx>
        <c:axId val="615233728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2160"/>
        <c:crossesAt val="1.0000000000000005E-9"/>
        <c:crossBetween val="midCat"/>
      </c:valAx>
      <c:valAx>
        <c:axId val="615232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3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</c:numCache>
            </c:numRef>
          </c:xVal>
          <c:yVal>
            <c:numRef>
              <c:f>('CH4 0.308'!$B$16,'CH4 0.308'!$F$16,'CH4 0.308'!$I$16,'CH4 0.308'!$L$16)</c:f>
              <c:numCache>
                <c:formatCode>0.00E+00</c:formatCode>
                <c:ptCount val="4"/>
                <c:pt idx="0">
                  <c:v>2.7500000000000002E-4</c:v>
                </c:pt>
                <c:pt idx="1">
                  <c:v>3.964E-5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4"/>
          <c:order val="1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0.308'!$B$20,'CH4 0.308'!$F$20,'CH4 0.308'!$I$20,'CH4 0.308'!$L$20,'CH4 0.308'!$P$20,'CH4 0.308'!$Q$20)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0.308'!$B$24,'CH4 0.308'!$F$24,'CH4 0.308'!$I$24,'CH4 0.308'!$L$24,'CH4 0.308'!$P$24,'CH4 0.308'!$Q$24)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0.308'!$B$28,'CH4 0.308'!$F$28,'CH4 0.308'!$I$28,'CH4 0.308'!$L$28,'CH4 0.308'!$P$28,'CH4 0.308'!$Q$28)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5.7017934673410725E-6</c:v>
                </c:pt>
                <c:pt idx="3">
                  <c:v>0</c:v>
                </c:pt>
                <c:pt idx="4">
                  <c:v>4.5933904657074717E-7</c:v>
                </c:pt>
                <c:pt idx="5">
                  <c:v>6.612548156301596E-8</c:v>
                </c:pt>
              </c:numCache>
            </c:numRef>
          </c:yVal>
          <c:smooth val="0"/>
        </c:ser>
        <c:ser>
          <c:idx val="3"/>
          <c:order val="4"/>
          <c:tx>
            <c:v>CO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0.308'!$B$32,'CH4 0.308'!$F$32,'CH4 0.308'!$I$32,'CH4 0.308'!$L$32,'CH4 0.308'!$P$32,'CH4 0.308'!$Q$32)</c:f>
              <c:numCache>
                <c:formatCode>0.00E+00</c:formatCode>
                <c:ptCount val="6"/>
                <c:pt idx="0">
                  <c:v>2.740113216447834E-4</c:v>
                </c:pt>
                <c:pt idx="1">
                  <c:v>4.0982257515003802E-5</c:v>
                </c:pt>
                <c:pt idx="2">
                  <c:v>5.9459164329830271E-6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39360"/>
        <c:axId val="241741320"/>
      </c:scatterChart>
      <c:valAx>
        <c:axId val="241739360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41320"/>
        <c:crossesAt val="1.0000000000000004E-6"/>
        <c:crossBetween val="midCat"/>
      </c:valAx>
      <c:valAx>
        <c:axId val="241741320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90468239154575"/>
          <c:y val="0.1021912053502879"/>
          <c:w val="0.34455038331317395"/>
          <c:h val="0.205040396790003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1E+22</c:v>
                </c:pt>
              </c:numCache>
            </c:numRef>
          </c:xVal>
          <c:yVal>
            <c:numRef>
              <c:f>'CH4 0.308'!$D$6:$D$8</c:f>
              <c:numCache>
                <c:formatCode>0.00E+00</c:formatCode>
                <c:ptCount val="3"/>
                <c:pt idx="0">
                  <c:v>2.7500000000000002E-4</c:v>
                </c:pt>
                <c:pt idx="1">
                  <c:v>2.7500000000000002E-4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'CH4 0.308'!$E$6:$E$8</c:f>
              <c:numCache>
                <c:formatCode>0.00E+00</c:formatCode>
                <c:ptCount val="3"/>
                <c:pt idx="0">
                  <c:v>1</c:v>
                </c:pt>
                <c:pt idx="1">
                  <c:v>2.2244444444444444E+16</c:v>
                </c:pt>
                <c:pt idx="2">
                  <c:v>2.2222222222222223E+18</c:v>
                </c:pt>
              </c:numCache>
            </c:numRef>
          </c:xVal>
          <c:yVal>
            <c:numRef>
              <c:f>'CH4 0.308'!$F$6:$F$8</c:f>
              <c:numCache>
                <c:formatCode>0.00E+00</c:formatCode>
                <c:ptCount val="3"/>
                <c:pt idx="0">
                  <c:v>2.7500000000000002E-4</c:v>
                </c:pt>
                <c:pt idx="1">
                  <c:v>2.7500000000000002E-4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411076412386411"/>
                  <c:y val="-0.3170987085837918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 0.308'!$E$7:$E$8</c:f>
              <c:numCache>
                <c:formatCode>0.00E+00</c:formatCode>
                <c:ptCount val="2"/>
                <c:pt idx="0">
                  <c:v>2.2244444444444444E+16</c:v>
                </c:pt>
                <c:pt idx="1">
                  <c:v>2.2222222222222223E+18</c:v>
                </c:pt>
              </c:numCache>
            </c:numRef>
          </c:xVal>
          <c:yVal>
            <c:numRef>
              <c:f>'CH4 0.308'!$F$7:$F$8</c:f>
              <c:numCache>
                <c:formatCode>0.00E+00</c:formatCode>
                <c:ptCount val="2"/>
                <c:pt idx="0">
                  <c:v>2.7500000000000002E-4</c:v>
                </c:pt>
                <c:pt idx="1">
                  <c:v>5.7810000000000002E-6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'CH4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'CH4 0.308'!$H$6:$H$8</c:f>
              <c:numCache>
                <c:formatCode>0.00E+00</c:formatCode>
                <c:ptCount val="3"/>
                <c:pt idx="0">
                  <c:v>1.4300534139395986E-2</c:v>
                </c:pt>
                <c:pt idx="1">
                  <c:v>1.4300534139395986E-2</c:v>
                </c:pt>
                <c:pt idx="2">
                  <c:v>3.0061897175778801E-4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1184"/>
        <c:axId val="180614232"/>
      </c:scatterChart>
      <c:valAx>
        <c:axId val="178881184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4232"/>
        <c:crossesAt val="1.0000000000000005E-9"/>
        <c:crossBetween val="midCat"/>
      </c:valAx>
      <c:valAx>
        <c:axId val="180614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11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6.8935435778192042E-2"/>
          <c:w val="0.76179308636648735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0.308'!$B$16,'CH4 0.308'!$F$16,'CH4 0.308'!$I$16,'CH4 0.308'!$L$16)</c:f>
              <c:numCache>
                <c:formatCode>0.00E+00</c:formatCode>
                <c:ptCount val="4"/>
                <c:pt idx="0">
                  <c:v>2.7500000000000002E-4</c:v>
                </c:pt>
                <c:pt idx="1">
                  <c:v>3.964E-5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1"/>
          <c:order val="1"/>
          <c:tx>
            <c:v>CO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0.308'!$B$32,'CH4 0.308'!$F$32,'CH4 0.308'!$I$32,'CH4 0.308'!$L$32,'CH4 0.308'!$P$32,'CH4 0.308'!$Q$32)</c:f>
              <c:numCache>
                <c:formatCode>0.00E+00</c:formatCode>
                <c:ptCount val="6"/>
                <c:pt idx="0">
                  <c:v>2.740113216447834E-4</c:v>
                </c:pt>
                <c:pt idx="1">
                  <c:v>4.0982257515003802E-5</c:v>
                </c:pt>
                <c:pt idx="2">
                  <c:v>5.9459164329830271E-6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CO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0.308'!$B$20,'CH4 0.308'!$F$20,'CH4 0.308'!$I$20,'CH4 0.308'!$L$20,'CH4 0.308'!$P$20,'CH4 0.308'!$Q$20)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CO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0.308'!$B$24,'CH4 0.308'!$F$24,'CH4 0.308'!$I$24,'CH4 0.308'!$L$24,'CH4 0.308'!$P$24,'CH4 0.308'!$Q$24)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('CH4 0.308'!$B$14,'CH4 0.308'!$F$14,'CH4 0.308'!$I$14,'CH4 0.308'!$L$14,'CH4 0.308'!$P$14,'CH4 0.308'!$Q$14)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9.9999999999999992E+22</c:v>
                </c:pt>
                <c:pt idx="5">
                  <c:v>1.381668372818821E+24</c:v>
                </c:pt>
              </c:numCache>
            </c:numRef>
          </c:xVal>
          <c:yVal>
            <c:numRef>
              <c:f>('CH4 0.308'!$B$28,'CH4 0.308'!$F$28,'CH4 0.308'!$I$28,'CH4 0.308'!$L$28,'CH4 0.308'!$P$28,'CH4 0.308'!$Q$28)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5.7017934673410725E-6</c:v>
                </c:pt>
                <c:pt idx="3">
                  <c:v>0</c:v>
                </c:pt>
                <c:pt idx="4">
                  <c:v>4.5933904657074717E-7</c:v>
                </c:pt>
                <c:pt idx="5">
                  <c:v>6.612548156301596E-8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60872"/>
        <c:axId val="716961264"/>
      </c:scatterChart>
      <c:valAx>
        <c:axId val="716960872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1264"/>
        <c:crossesAt val="1.0000000000000004E-6"/>
        <c:crossBetween val="midCat"/>
      </c:valAx>
      <c:valAx>
        <c:axId val="71696126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087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23584398811585"/>
          <c:y val="0.11434672870440037"/>
          <c:w val="0.33345469734097161"/>
          <c:h val="0.215214831087955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translation maps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'CH4 0.308'!$B$6:$B$8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1E+22</c:v>
                </c:pt>
              </c:numCache>
            </c:numRef>
          </c:xVal>
          <c:yVal>
            <c:numRef>
              <c:f>'CH4 0.308'!$D$6:$D$8</c:f>
              <c:numCache>
                <c:formatCode>0.00E+00</c:formatCode>
                <c:ptCount val="3"/>
                <c:pt idx="0">
                  <c:v>2.7500000000000002E-4</c:v>
                </c:pt>
                <c:pt idx="1">
                  <c:v>2.7500000000000002E-4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'CH4 0.308'!$C$6:$C$8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'CH4 0.308'!$F$6:$F$8</c:f>
              <c:numCache>
                <c:formatCode>0.00E+00</c:formatCode>
                <c:ptCount val="3"/>
                <c:pt idx="0">
                  <c:v>2.7500000000000002E-4</c:v>
                </c:pt>
                <c:pt idx="1">
                  <c:v>2.7500000000000002E-4</c:v>
                </c:pt>
                <c:pt idx="2">
                  <c:v>5.7810000000000002E-6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'CH4 0.308'!$G$6:$G$8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'CH4 0.308'!$H$6:$H$8</c:f>
              <c:numCache>
                <c:formatCode>0.00E+00</c:formatCode>
                <c:ptCount val="3"/>
                <c:pt idx="0">
                  <c:v>1.4300534139395986E-2</c:v>
                </c:pt>
                <c:pt idx="1">
                  <c:v>1.4300534139395986E-2</c:v>
                </c:pt>
                <c:pt idx="2">
                  <c:v>3.0061897175778801E-4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62048"/>
        <c:axId val="716962440"/>
      </c:scatterChart>
      <c:valAx>
        <c:axId val="716962048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2440"/>
        <c:crossesAt val="1.0000000000000005E-9"/>
        <c:crossBetween val="midCat"/>
      </c:valAx>
      <c:valAx>
        <c:axId val="716962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20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Scattering offset angle vs roughness ratio</a:t>
            </a:r>
          </a:p>
        </c:rich>
      </c:tx>
      <c:layout>
        <c:manualLayout>
          <c:xMode val="edge"/>
          <c:yMode val="edge"/>
          <c:x val="0.22812341375324821"/>
          <c:y val="2.5818345720718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59682971993062"/>
          <c:y val="0.13680034896877635"/>
          <c:w val="0.72809026958252798"/>
          <c:h val="0.76654668444812046"/>
        </c:manualLayout>
      </c:layout>
      <c:scatterChart>
        <c:scatterStyle val="lineMarker"/>
        <c:varyColors val="0"/>
        <c:ser>
          <c:idx val="2"/>
          <c:order val="0"/>
          <c:tx>
            <c:v>0.001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'SynRad reflections by roughness'!$B$2:$B$52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'SynRad reflections by roughness'!$E$2:$E$52</c:f>
              <c:numCache>
                <c:formatCode>0.00E+00</c:formatCode>
                <c:ptCount val="51"/>
                <c:pt idx="0">
                  <c:v>-1.5707963267948353</c:v>
                </c:pt>
                <c:pt idx="1">
                  <c:v>-1.5893206532368167E-2</c:v>
                </c:pt>
                <c:pt idx="2">
                  <c:v>-7.9156497591912692E-3</c:v>
                </c:pt>
                <c:pt idx="3">
                  <c:v>-5.2421355626493631E-3</c:v>
                </c:pt>
                <c:pt idx="4">
                  <c:v>-3.8947231619625281E-3</c:v>
                </c:pt>
                <c:pt idx="5">
                  <c:v>-3.077673819818182E-3</c:v>
                </c:pt>
                <c:pt idx="6">
                  <c:v>-2.5257063187780746E-3</c:v>
                </c:pt>
                <c:pt idx="7">
                  <c:v>-2.1251049741096684E-3</c:v>
                </c:pt>
                <c:pt idx="8">
                  <c:v>-1.8189912410953054E-3</c:v>
                </c:pt>
                <c:pt idx="9">
                  <c:v>-1.575746555786428E-3</c:v>
                </c:pt>
                <c:pt idx="10">
                  <c:v>-1.3763810513203827E-3</c:v>
                </c:pt>
                <c:pt idx="11">
                  <c:v>-1.2087917616561479E-3</c:v>
                </c:pt>
                <c:pt idx="12">
                  <c:v>-1.0648914377978556E-3</c:v>
                </c:pt>
                <c:pt idx="13">
                  <c:v>-9.3906222978384891E-4</c:v>
                </c:pt>
                <c:pt idx="14">
                  <c:v>-8.272717572500723E-4</c:v>
                </c:pt>
                <c:pt idx="15">
                  <c:v>-7.2654240016684221E-4</c:v>
                </c:pt>
                <c:pt idx="16">
                  <c:v>-6.3461921234829379E-4</c:v>
                </c:pt>
                <c:pt idx="17">
                  <c:v>-5.4975459680863133E-4</c:v>
                </c:pt>
                <c:pt idx="18">
                  <c:v>-4.7056424647979011E-4</c:v>
                </c:pt>
                <c:pt idx="19">
                  <c:v>-3.959279881092985E-4</c:v>
                </c:pt>
                <c:pt idx="20">
                  <c:v>-3.249196847986786E-4</c:v>
                </c:pt>
                <c:pt idx="21">
                  <c:v>-2.5675635472560628E-4</c:v>
                </c:pt>
                <c:pt idx="22">
                  <c:v>-1.9076019990468021E-4</c:v>
                </c:pt>
                <c:pt idx="23">
                  <c:v>-1.263293777740732E-4</c:v>
                </c:pt>
                <c:pt idx="24">
                  <c:v>-6.2914667170639048E-5</c:v>
                </c:pt>
                <c:pt idx="25">
                  <c:v>0</c:v>
                </c:pt>
                <c:pt idx="26">
                  <c:v>6.2914667170639048E-5</c:v>
                </c:pt>
                <c:pt idx="27">
                  <c:v>1.2632937777407339E-4</c:v>
                </c:pt>
                <c:pt idx="28">
                  <c:v>1.907601999046804E-4</c:v>
                </c:pt>
                <c:pt idx="29">
                  <c:v>2.5675635472560611E-4</c:v>
                </c:pt>
                <c:pt idx="30">
                  <c:v>3.249196847986786E-4</c:v>
                </c:pt>
                <c:pt idx="31">
                  <c:v>3.959279881092985E-4</c:v>
                </c:pt>
                <c:pt idx="32">
                  <c:v>4.7056424647979011E-4</c:v>
                </c:pt>
                <c:pt idx="33">
                  <c:v>5.4975459680863144E-4</c:v>
                </c:pt>
                <c:pt idx="34">
                  <c:v>6.346192123482939E-4</c:v>
                </c:pt>
                <c:pt idx="35">
                  <c:v>7.2654240016684199E-4</c:v>
                </c:pt>
                <c:pt idx="36">
                  <c:v>8.272717572500723E-4</c:v>
                </c:pt>
                <c:pt idx="37">
                  <c:v>9.3906222978384891E-4</c:v>
                </c:pt>
                <c:pt idx="38">
                  <c:v>1.0648914377978556E-3</c:v>
                </c:pt>
                <c:pt idx="39">
                  <c:v>1.2087917616561479E-3</c:v>
                </c:pt>
                <c:pt idx="40">
                  <c:v>1.3763810513203831E-3</c:v>
                </c:pt>
                <c:pt idx="41">
                  <c:v>1.5757465557864273E-3</c:v>
                </c:pt>
                <c:pt idx="42">
                  <c:v>1.8189912410953054E-3</c:v>
                </c:pt>
                <c:pt idx="43">
                  <c:v>2.1251049741096684E-3</c:v>
                </c:pt>
                <c:pt idx="44">
                  <c:v>2.5257063187780746E-3</c:v>
                </c:pt>
                <c:pt idx="45">
                  <c:v>3.077673819818182E-3</c:v>
                </c:pt>
                <c:pt idx="46">
                  <c:v>3.8947231619625316E-3</c:v>
                </c:pt>
                <c:pt idx="47">
                  <c:v>5.2421355626493561E-3</c:v>
                </c:pt>
                <c:pt idx="48">
                  <c:v>7.9156497591912553E-3</c:v>
                </c:pt>
                <c:pt idx="49">
                  <c:v>1.5893206532368167E-2</c:v>
                </c:pt>
                <c:pt idx="50">
                  <c:v>1.5707963267948353</c:v>
                </c:pt>
              </c:numCache>
            </c:numRef>
          </c:yVal>
          <c:smooth val="0"/>
        </c:ser>
        <c:ser>
          <c:idx val="0"/>
          <c:order val="1"/>
          <c:tx>
            <c:v>0.01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'SynRad reflections by roughness'!$B$2:$B$52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'SynRad reflections by roughness'!$C$2:$C$52</c:f>
              <c:numCache>
                <c:formatCode>0.00E+00</c:formatCode>
                <c:ptCount val="51"/>
                <c:pt idx="0">
                  <c:v>-1.5707963267948906</c:v>
                </c:pt>
                <c:pt idx="1">
                  <c:v>-0.15762686445889482</c:v>
                </c:pt>
                <c:pt idx="2">
                  <c:v>-7.8993434380201039E-2</c:v>
                </c:pt>
                <c:pt idx="3">
                  <c:v>-5.2373895576055304E-2</c:v>
                </c:pt>
                <c:pt idx="4">
                  <c:v>-3.8927753306885964E-2</c:v>
                </c:pt>
                <c:pt idx="5">
                  <c:v>-3.0767123478400899E-2</c:v>
                </c:pt>
                <c:pt idx="6">
                  <c:v>-2.5251748259399649E-2</c:v>
                </c:pt>
                <c:pt idx="7">
                  <c:v>-2.1247883541922426E-2</c:v>
                </c:pt>
                <c:pt idx="8">
                  <c:v>-1.8187926681250459E-2</c:v>
                </c:pt>
                <c:pt idx="9">
                  <c:v>-1.5756174609781789E-2</c:v>
                </c:pt>
                <c:pt idx="10">
                  <c:v>-1.3762950151712606E-2</c:v>
                </c:pt>
                <c:pt idx="11">
                  <c:v>-1.2087334801729537E-2</c:v>
                </c:pt>
                <c:pt idx="12">
                  <c:v>-1.064851590342347E-2</c:v>
                </c:pt>
                <c:pt idx="13">
                  <c:v>-9.3903490389896718E-3</c:v>
                </c:pt>
                <c:pt idx="14">
                  <c:v>-8.2725307449932634E-3</c:v>
                </c:pt>
                <c:pt idx="15">
                  <c:v>-7.2652974455431072E-3</c:v>
                </c:pt>
                <c:pt idx="16">
                  <c:v>-6.3461077816252039E-3</c:v>
                </c:pt>
                <c:pt idx="17">
                  <c:v>-5.4974911387832793E-3</c:v>
                </c:pt>
                <c:pt idx="18">
                  <c:v>-4.7056080801178585E-3</c:v>
                </c:pt>
                <c:pt idx="19">
                  <c:v>-3.9592593997471162E-3</c:v>
                </c:pt>
                <c:pt idx="20">
                  <c:v>-3.2491855281731471E-3</c:v>
                </c:pt>
                <c:pt idx="21">
                  <c:v>-2.5675579615788216E-3</c:v>
                </c:pt>
                <c:pt idx="22">
                  <c:v>-1.9075997083041372E-3</c:v>
                </c:pt>
                <c:pt idx="23">
                  <c:v>-1.2632931124268306E-3</c:v>
                </c:pt>
                <c:pt idx="24">
                  <c:v>-6.2914658952574508E-4</c:v>
                </c:pt>
                <c:pt idx="25">
                  <c:v>0</c:v>
                </c:pt>
                <c:pt idx="26">
                  <c:v>6.2914658952574508E-4</c:v>
                </c:pt>
                <c:pt idx="27">
                  <c:v>1.2632931124268326E-3</c:v>
                </c:pt>
                <c:pt idx="28">
                  <c:v>1.9075997083041389E-3</c:v>
                </c:pt>
                <c:pt idx="29">
                  <c:v>2.5675579615788199E-3</c:v>
                </c:pt>
                <c:pt idx="30">
                  <c:v>3.2491855281731471E-3</c:v>
                </c:pt>
                <c:pt idx="31">
                  <c:v>3.9592593997471162E-3</c:v>
                </c:pt>
                <c:pt idx="32">
                  <c:v>4.7056080801178585E-3</c:v>
                </c:pt>
                <c:pt idx="33">
                  <c:v>5.4974911387832802E-3</c:v>
                </c:pt>
                <c:pt idx="34">
                  <c:v>6.3461077816252048E-3</c:v>
                </c:pt>
                <c:pt idx="35">
                  <c:v>7.2652974455431046E-3</c:v>
                </c:pt>
                <c:pt idx="36">
                  <c:v>8.2725307449932634E-3</c:v>
                </c:pt>
                <c:pt idx="37">
                  <c:v>9.3903490389896718E-3</c:v>
                </c:pt>
                <c:pt idx="38">
                  <c:v>1.064851590342347E-2</c:v>
                </c:pt>
                <c:pt idx="39">
                  <c:v>1.2087334801729537E-2</c:v>
                </c:pt>
                <c:pt idx="40">
                  <c:v>1.3762950151712611E-2</c:v>
                </c:pt>
                <c:pt idx="41">
                  <c:v>1.5756174609781785E-2</c:v>
                </c:pt>
                <c:pt idx="42">
                  <c:v>1.8187926681250459E-2</c:v>
                </c:pt>
                <c:pt idx="43">
                  <c:v>2.1247883541922426E-2</c:v>
                </c:pt>
                <c:pt idx="44">
                  <c:v>2.5251748259399649E-2</c:v>
                </c:pt>
                <c:pt idx="45">
                  <c:v>3.0767123478400899E-2</c:v>
                </c:pt>
                <c:pt idx="46">
                  <c:v>3.8927753306885998E-2</c:v>
                </c:pt>
                <c:pt idx="47">
                  <c:v>5.2373895576055235E-2</c:v>
                </c:pt>
                <c:pt idx="48">
                  <c:v>7.89934343802009E-2</c:v>
                </c:pt>
                <c:pt idx="49">
                  <c:v>0.15762686445889482</c:v>
                </c:pt>
                <c:pt idx="50">
                  <c:v>1.5707963267948906</c:v>
                </c:pt>
              </c:numCache>
            </c:numRef>
          </c:yVal>
          <c:smooth val="0"/>
        </c:ser>
        <c:ser>
          <c:idx val="1"/>
          <c:order val="2"/>
          <c:tx>
            <c:v>0.308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'SynRad reflections by roughness'!$B$2:$B$52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'SynRad reflections by roughness'!$D$2:$D$52</c:f>
              <c:numCache>
                <c:formatCode>0.00E+00</c:formatCode>
                <c:ptCount val="51"/>
                <c:pt idx="0">
                  <c:v>-1.5707963267948963</c:v>
                </c:pt>
                <c:pt idx="1">
                  <c:v>-1.3692999251754721</c:v>
                </c:pt>
                <c:pt idx="2">
                  <c:v>-1.1815618552565654</c:v>
                </c:pt>
                <c:pt idx="3">
                  <c:v>-1.0162693097703945</c:v>
                </c:pt>
                <c:pt idx="4">
                  <c:v>-0.87588621161479141</c:v>
                </c:pt>
                <c:pt idx="5">
                  <c:v>-0.75867175946611631</c:v>
                </c:pt>
                <c:pt idx="6">
                  <c:v>-0.66113127995272591</c:v>
                </c:pt>
                <c:pt idx="7">
                  <c:v>-0.57955548835427451</c:v>
                </c:pt>
                <c:pt idx="8">
                  <c:v>-0.51067855755553127</c:v>
                </c:pt>
                <c:pt idx="9">
                  <c:v>-0.45184315990943769</c:v>
                </c:pt>
                <c:pt idx="10">
                  <c:v>-0.40096029582952913</c:v>
                </c:pt>
                <c:pt idx="11">
                  <c:v>-0.35640851300956516</c:v>
                </c:pt>
                <c:pt idx="12">
                  <c:v>-0.31693087906424794</c:v>
                </c:pt>
                <c:pt idx="13">
                  <c:v>-0.28154816434929675</c:v>
                </c:pt>
                <c:pt idx="14">
                  <c:v>-0.24949095705870314</c:v>
                </c:pt>
                <c:pt idx="15">
                  <c:v>-0.22014825819769593</c:v>
                </c:pt>
                <c:pt idx="16">
                  <c:v>-0.1930290310692897</c:v>
                </c:pt>
                <c:pt idx="17">
                  <c:v>-0.16773349231798146</c:v>
                </c:pt>
                <c:pt idx="18">
                  <c:v>-0.14393158293517527</c:v>
                </c:pt>
                <c:pt idx="19">
                  <c:v>-0.12134668679182356</c:v>
                </c:pt>
                <c:pt idx="20">
                  <c:v>-9.9743173163147403E-2</c:v>
                </c:pt>
                <c:pt idx="21">
                  <c:v>-7.891672269820274E-2</c:v>
                </c:pt>
                <c:pt idx="22">
                  <c:v>-5.8686674572085359E-2</c:v>
                </c:pt>
                <c:pt idx="23">
                  <c:v>-3.8889830787663518E-2</c:v>
                </c:pt>
                <c:pt idx="24">
                  <c:v>-1.9375292642359526E-2</c:v>
                </c:pt>
                <c:pt idx="25">
                  <c:v>0</c:v>
                </c:pt>
                <c:pt idx="26">
                  <c:v>1.9375292642359526E-2</c:v>
                </c:pt>
                <c:pt idx="27">
                  <c:v>3.8889830787663573E-2</c:v>
                </c:pt>
                <c:pt idx="28">
                  <c:v>5.8686674572085415E-2</c:v>
                </c:pt>
                <c:pt idx="29">
                  <c:v>7.8916722698202685E-2</c:v>
                </c:pt>
                <c:pt idx="30">
                  <c:v>9.9743173163147403E-2</c:v>
                </c:pt>
                <c:pt idx="31">
                  <c:v>0.12134668679182356</c:v>
                </c:pt>
                <c:pt idx="32">
                  <c:v>0.14393158293517527</c:v>
                </c:pt>
                <c:pt idx="33">
                  <c:v>0.16773349231798149</c:v>
                </c:pt>
                <c:pt idx="34">
                  <c:v>0.19302903106928976</c:v>
                </c:pt>
                <c:pt idx="35">
                  <c:v>0.22014825819769587</c:v>
                </c:pt>
                <c:pt idx="36">
                  <c:v>0.24949095705870314</c:v>
                </c:pt>
                <c:pt idx="37">
                  <c:v>0.28154816434929675</c:v>
                </c:pt>
                <c:pt idx="38">
                  <c:v>0.31693087906424794</c:v>
                </c:pt>
                <c:pt idx="39">
                  <c:v>0.35640851300956516</c:v>
                </c:pt>
                <c:pt idx="40">
                  <c:v>0.40096029582952925</c:v>
                </c:pt>
                <c:pt idx="41">
                  <c:v>0.45184315990943752</c:v>
                </c:pt>
                <c:pt idx="42">
                  <c:v>0.51067855755553127</c:v>
                </c:pt>
                <c:pt idx="43">
                  <c:v>0.57955548835427451</c:v>
                </c:pt>
                <c:pt idx="44">
                  <c:v>0.66113127995272591</c:v>
                </c:pt>
                <c:pt idx="45">
                  <c:v>0.75867175946611631</c:v>
                </c:pt>
                <c:pt idx="46">
                  <c:v>0.87588621161479185</c:v>
                </c:pt>
                <c:pt idx="47">
                  <c:v>1.0162693097703939</c:v>
                </c:pt>
                <c:pt idx="48">
                  <c:v>1.1815618552565648</c:v>
                </c:pt>
                <c:pt idx="49">
                  <c:v>1.3692999251754721</c:v>
                </c:pt>
                <c:pt idx="50">
                  <c:v>1.5707963267948963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63224"/>
        <c:axId val="716963616"/>
      </c:scatterChart>
      <c:valAx>
        <c:axId val="716963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Random Number (0 to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3616"/>
        <c:crosses val="autoZero"/>
        <c:crossBetween val="midCat"/>
      </c:valAx>
      <c:valAx>
        <c:axId val="716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Theta Offset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6878055370717"/>
          <c:y val="0.65553651045163808"/>
          <c:w val="0.21027992259173195"/>
          <c:h val="0.216690558559144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H2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508921607654"/>
          <c:y val="0.15266774501124813"/>
          <c:w val="0.52769701125670465"/>
          <c:h val="0.63901930099113202"/>
        </c:manualLayout>
      </c:layout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'H2 No Scat'!$D$6:$D$8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2"/>
          <c:order val="1"/>
          <c:tx>
            <c:v>Previous M. Ady conversion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'H2 No Scat'!$C$6:$C$8</c:f>
              <c:numCache>
                <c:formatCode>0.00E+00</c:formatCode>
                <c:ptCount val="3"/>
                <c:pt idx="0">
                  <c:v>1430000000000000</c:v>
                </c:pt>
                <c:pt idx="1">
                  <c:v>1.43E+18</c:v>
                </c:pt>
                <c:pt idx="2">
                  <c:v>1.4299999999999999E+23</c:v>
                </c:pt>
              </c:numCache>
            </c:numRef>
          </c:xVal>
          <c:yVal>
            <c:numRef>
              <c:f>'H2 No Scat'!$F$6:$F$8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0"/>
          <c:order val="2"/>
          <c:tx>
            <c:v>No Scattering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2000000000000000</c:v>
                </c:pt>
                <c:pt idx="2">
                  <c:v>2E+17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1.9581444566262891</c:v>
                </c:pt>
                <c:pt idx="1">
                  <c:v>1.9581444566262891</c:v>
                </c:pt>
                <c:pt idx="2">
                  <c:v>4.4992976784004525E-2</c:v>
                </c:pt>
              </c:numCache>
            </c:numRef>
          </c:yVal>
          <c:smooth val="0"/>
        </c:ser>
        <c:ser>
          <c:idx val="5"/>
          <c:order val="3"/>
          <c:tx>
            <c:v>0.308 roughness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'H2 No Scat'!$I$6:$I$8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'H2 No Scat'!$J$6:$J$8</c:f>
              <c:numCache>
                <c:formatCode>0.00E+00</c:formatCode>
                <c:ptCount val="3"/>
                <c:pt idx="0">
                  <c:v>2.3548793578135392</c:v>
                </c:pt>
                <c:pt idx="1">
                  <c:v>2.3548793578135392</c:v>
                </c:pt>
                <c:pt idx="2">
                  <c:v>5.41158381608388E-2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6272"/>
        <c:axId val="496492296"/>
      </c:scatterChart>
      <c:valAx>
        <c:axId val="498776272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2296"/>
        <c:crossesAt val="1.0000000000000005E-9"/>
        <c:crossBetween val="midCat"/>
      </c:valAx>
      <c:valAx>
        <c:axId val="496492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62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579948762237733"/>
          <c:y val="0.24906004714550048"/>
          <c:w val="0.26512019719578078"/>
          <c:h val="0.43865092396231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7587938493989"/>
          <c:y val="0.10461843363003553"/>
          <c:w val="0.76179308636648735"/>
          <c:h val="0.78175485512698573"/>
        </c:manualLayout>
      </c:layout>
      <c:scatterChart>
        <c:scatterStyle val="lineMarker"/>
        <c:varyColors val="0"/>
        <c:ser>
          <c:idx val="0"/>
          <c:order val="0"/>
          <c:tx>
            <c:v>H2 digitized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Scat'!$B$16,'H2 No Scat'!$F$16,'H2 No Scat'!$I$16,'H2 No Scat'!$L$16)</c:f>
              <c:numCache>
                <c:formatCode>0.00E+00</c:formatCode>
                <c:ptCount val="4"/>
                <c:pt idx="0">
                  <c:v>4.4999999999999998E-2</c:v>
                </c:pt>
                <c:pt idx="1">
                  <c:v>6.8729999999999998E-3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1"/>
          <c:order val="1"/>
          <c:tx>
            <c:v>H2 Experimental data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Scat'!$B$40,'H2 No Scat'!$F$40,'H2 No Scat'!$I$40,'H2 No Scat'!$L$40,'H2 No Scat'!$P$40,'H2 No Scat'!$Q$40)</c:f>
              <c:numCache>
                <c:formatCode>0.00E+00</c:formatCode>
                <c:ptCount val="6"/>
              </c:numCache>
            </c:numRef>
          </c:yVal>
          <c:smooth val="0"/>
        </c:ser>
        <c:ser>
          <c:idx val="3"/>
          <c:order val="2"/>
          <c:tx>
            <c:v>H2 corrected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('H2 No Scat'!$B$14,'H2 No Scat'!$F$14,'H2 No Scat'!$I$14,'H2 No Scat'!$L$14,'H2 No Scat'!$P$14,'H2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9.9999999999999992E+22</c:v>
                </c:pt>
                <c:pt idx="4">
                  <c:v>9.9999999999999998E+23</c:v>
                </c:pt>
                <c:pt idx="5">
                  <c:v>1.0000000000000001E+25</c:v>
                </c:pt>
              </c:numCache>
            </c:numRef>
          </c:xVal>
          <c:yVal>
            <c:numRef>
              <c:f>('H2 No Scat'!$B$28,'H2 No Scat'!$F$28,'H2 No Scat'!$I$28,'H2 No Scat'!$L$28,'H2 No Scat'!$P$28,'H2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1.0304968070515676E-3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1512"/>
        <c:axId val="496493864"/>
      </c:scatterChart>
      <c:valAx>
        <c:axId val="496491512"/>
        <c:scaling>
          <c:logBase val="10"/>
          <c:orientation val="minMax"/>
          <c:max val="9.9999999999999998E+23"/>
          <c:min val="1E+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3864"/>
        <c:crossesAt val="1.0000000000000004E-6"/>
        <c:crossBetween val="midCat"/>
      </c:valAx>
      <c:valAx>
        <c:axId val="49649386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151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65000"/>
          </a:blip>
          <a:srcRect/>
          <a:stretch>
            <a:fillRect l="-15000" t="-4000" r="-6000" b="-17000"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59317585301838"/>
          <c:y val="0.15566381203181856"/>
          <c:w val="0.22836870391201097"/>
          <c:h val="0.173897747760537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SynRad to MolFlow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63444300182406"/>
          <c:y val="0.15266774501124813"/>
          <c:w val="0.74705100408483049"/>
          <c:h val="0.63901930099113202"/>
        </c:manualLayout>
      </c:layout>
      <c:scatterChart>
        <c:scatterStyle val="lineMarker"/>
        <c:varyColors val="0"/>
        <c:ser>
          <c:idx val="1"/>
          <c:order val="0"/>
          <c:tx>
            <c:v>Experimental data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1E+20</c:v>
                </c:pt>
                <c:pt idx="2">
                  <c:v>1E+22</c:v>
                </c:pt>
              </c:numCache>
            </c:numRef>
          </c:xVal>
          <c:yVal>
            <c:numRef>
              <c:f>'H2 No Scat'!$D$6:$D$8</c:f>
              <c:numCache>
                <c:formatCode>0.00E+00</c:formatCode>
                <c:ptCount val="3"/>
                <c:pt idx="0">
                  <c:v>4.4999999999999998E-2</c:v>
                </c:pt>
                <c:pt idx="1">
                  <c:v>4.4999999999999998E-2</c:v>
                </c:pt>
                <c:pt idx="2">
                  <c:v>1.034E-3</c:v>
                </c:pt>
              </c:numCache>
            </c:numRef>
          </c:yVal>
          <c:smooth val="0"/>
        </c:ser>
        <c:ser>
          <c:idx val="0"/>
          <c:order val="1"/>
          <c:tx>
            <c:v>No Scattering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2000000000000000</c:v>
                </c:pt>
                <c:pt idx="2">
                  <c:v>2E+17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1.9581444566262891</c:v>
                </c:pt>
                <c:pt idx="1">
                  <c:v>1.9581444566262891</c:v>
                </c:pt>
                <c:pt idx="2">
                  <c:v>4.4992976784004525E-2</c:v>
                </c:pt>
              </c:numCache>
            </c:numRef>
          </c:yVal>
          <c:smooth val="0"/>
        </c:ser>
        <c:ser>
          <c:idx val="5"/>
          <c:order val="2"/>
          <c:tx>
            <c:v>0.308 roughness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'H2 No Scat'!$I$6:$I$8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</c:v>
                </c:pt>
                <c:pt idx="2">
                  <c:v>2E+16</c:v>
                </c:pt>
              </c:numCache>
            </c:numRef>
          </c:xVal>
          <c:yVal>
            <c:numRef>
              <c:f>'H2 No Scat'!$J$6:$J$8</c:f>
              <c:numCache>
                <c:formatCode>0.00E+00</c:formatCode>
                <c:ptCount val="3"/>
                <c:pt idx="0">
                  <c:v>2.3548793578135392</c:v>
                </c:pt>
                <c:pt idx="1">
                  <c:v>2.3548793578135392</c:v>
                </c:pt>
                <c:pt idx="2">
                  <c:v>5.41158381608388E-2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3472"/>
        <c:axId val="496487592"/>
      </c:scatterChart>
      <c:valAx>
        <c:axId val="496493472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</a:t>
                </a:r>
                <a:r>
                  <a:rPr lang="en-US" sz="1400" baseline="0"/>
                  <a:t> converted to </a:t>
                </a:r>
                <a:r>
                  <a:rPr lang="en-US" sz="14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7592"/>
        <c:crossesAt val="1.0000000000000005E-9"/>
        <c:crossBetween val="midCat"/>
      </c:valAx>
      <c:valAx>
        <c:axId val="496487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9148313251577544"/>
          <c:y val="0.16585134812693869"/>
          <c:w val="0.32443459811874925"/>
          <c:h val="0.155738964447625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SynRad to MolFlow aluminum 'no-scattering' translation 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5071659666699"/>
          <c:y val="0.18843523939969437"/>
          <c:w val="0.61852446819766393"/>
          <c:h val="0.60325180660268563"/>
        </c:manualLayout>
      </c:layout>
      <c:scatterChart>
        <c:scatterStyle val="lineMarker"/>
        <c:varyColors val="0"/>
        <c:ser>
          <c:idx val="0"/>
          <c:order val="0"/>
          <c:tx>
            <c:v>H2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2000000000000000</c:v>
                </c:pt>
                <c:pt idx="2">
                  <c:v>2E+17</c:v>
                </c:pt>
              </c:numCache>
            </c:numRef>
          </c:xVal>
          <c:yVal>
            <c:numRef>
              <c:f>'H2 No Scat'!$H$6:$H$8</c:f>
              <c:numCache>
                <c:formatCode>0.00E+00</c:formatCode>
                <c:ptCount val="3"/>
                <c:pt idx="0">
                  <c:v>1.9581444566262891</c:v>
                </c:pt>
                <c:pt idx="1">
                  <c:v>1.9581444566262891</c:v>
                </c:pt>
                <c:pt idx="2">
                  <c:v>4.4992976784004525E-2</c:v>
                </c:pt>
              </c:numCache>
            </c:numRef>
          </c:yVal>
          <c:smooth val="0"/>
        </c:ser>
        <c:ser>
          <c:idx val="1"/>
          <c:order val="1"/>
          <c:tx>
            <c:v>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0.47345653191270098</c:v>
                </c:pt>
                <c:pt idx="1">
                  <c:v>0.47345653191270098</c:v>
                </c:pt>
                <c:pt idx="2">
                  <c:v>2.0113150928700546E-5</c:v>
                </c:pt>
              </c:numCache>
            </c:numRef>
          </c:yVal>
          <c:smooth val="0"/>
        </c:ser>
        <c:ser>
          <c:idx val="2"/>
          <c:order val="2"/>
          <c:tx>
            <c:v>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'CO No Scat'!$H$6:$H$8</c:f>
              <c:numCache>
                <c:formatCode>0.00E+00</c:formatCode>
                <c:ptCount val="3"/>
                <c:pt idx="0">
                  <c:v>0.19875307206599252</c:v>
                </c:pt>
                <c:pt idx="1">
                  <c:v>0.19875307206599252</c:v>
                </c:pt>
                <c:pt idx="2">
                  <c:v>1.8155735625289133E-5</c:v>
                </c:pt>
              </c:numCache>
            </c:numRef>
          </c:yVal>
          <c:smooth val="0"/>
        </c:ser>
        <c:ser>
          <c:idx val="5"/>
          <c:order val="3"/>
          <c:tx>
            <c:v>CH4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'CH4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'CH4 No Scat'!$H$6:$H$8</c:f>
              <c:numCache>
                <c:formatCode>0.00E+00</c:formatCode>
                <c:ptCount val="3"/>
                <c:pt idx="0">
                  <c:v>1.3407072058671306E-2</c:v>
                </c:pt>
                <c:pt idx="1">
                  <c:v>1.3407072058671306E-2</c:v>
                </c:pt>
                <c:pt idx="2">
                  <c:v>8.2848365281331879E-7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7200"/>
        <c:axId val="496492688"/>
      </c:scatterChart>
      <c:valAx>
        <c:axId val="496487200"/>
        <c:scaling>
          <c:logBase val="10"/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photons/m</a:t>
                </a:r>
                <a:r>
                  <a:rPr lang="en-US" sz="1200" baseline="0"/>
                  <a:t> converted to </a:t>
                </a:r>
                <a:r>
                  <a:rPr lang="en-US" sz="1200"/>
                  <a:t>photons/cm2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92688"/>
        <c:crossesAt val="1.0000000000000005E-9"/>
        <c:crossBetween val="midCat"/>
      </c:valAx>
      <c:valAx>
        <c:axId val="49649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molelcules\photon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7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3340870736205"/>
          <c:y val="0.26893087736130394"/>
          <c:w val="0.13689325922699061"/>
          <c:h val="0.3154517766243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Foerster - APS Aluminum PSD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1715350097367"/>
          <c:y val="6.8935435778192042E-2"/>
          <c:w val="0.82741726639008839"/>
          <c:h val="0.84373041681725225"/>
        </c:manualLayout>
      </c:layout>
      <c:scatterChart>
        <c:scatterStyle val="lineMarker"/>
        <c:varyColors val="0"/>
        <c:ser>
          <c:idx val="0"/>
          <c:order val="0"/>
          <c:tx>
            <c:v>CO2 digitized</c:v>
          </c:tx>
          <c:spPr>
            <a:ln w="635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Scat'!$L$14)</c:f>
              <c:numCache>
                <c:formatCode>0.00E+00</c:formatCode>
                <c:ptCount val="4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</c:numCache>
            </c:numRef>
          </c:xVal>
          <c:yVal>
            <c:numRef>
              <c:f>('CO2 No Scat'!$B$16,'CO2 No Scat'!$F$16,'CO2 No Scat'!$I$16,'CO2 No Scat'!$L$16)</c:f>
              <c:numCache>
                <c:formatCode>0.00E+00</c:formatCode>
                <c:ptCount val="4"/>
                <c:pt idx="0">
                  <c:v>8.0669000000000001E-3</c:v>
                </c:pt>
                <c:pt idx="1">
                  <c:v>1.1360000000000001E-3</c:v>
                </c:pt>
                <c:pt idx="2">
                  <c:v>1.5640000000000001E-4</c:v>
                </c:pt>
              </c:numCache>
            </c:numRef>
          </c:yVal>
          <c:smooth val="0"/>
        </c:ser>
        <c:ser>
          <c:idx val="4"/>
          <c:order val="1"/>
          <c:tx>
            <c:v>CO2 M Ady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Scat'!$B$20,'CO2 No Scat'!$F$20,'CO2 No Scat'!$I$20,'CO2 No Scat'!$L$20,'CO2 No Scat'!$P$20,'CO2 No Scat'!$Q$20)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CO2 Step 1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Scat'!$B$24,'CO2 No Scat'!$F$24,'CO2 No Scat'!$I$24,'CO2 No Scat'!$L$24,'CO2 No Scat'!$P$24,'CO2 No Scat'!$Q$24)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3"/>
          <c:tx>
            <c:v>CO2 Step 2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Scat'!$B$28,'CO2 No Scat'!$F$28,'CO2 No Scat'!$I$28,'CO2 No Scat'!$L$28,'CO2 No Scat'!$P$28,'CO2 No Scat'!$Q$28)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CO2 Experimental Data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('CO2 No Scat'!$B$14,'CO2 No Scat'!$F$14,'CO2 No Scat'!$I$14,'CO2 No Scat'!$L$14,'CO2 No Scat'!$P$14,'CO2 No Scat'!$Q$14)</c:f>
              <c:numCache>
                <c:formatCode>0.00E+00</c:formatCode>
                <c:ptCount val="6"/>
                <c:pt idx="0">
                  <c:v>1E+20</c:v>
                </c:pt>
                <c:pt idx="1">
                  <c:v>1E+21</c:v>
                </c:pt>
                <c:pt idx="2">
                  <c:v>1E+22</c:v>
                </c:pt>
                <c:pt idx="3">
                  <c:v>1.0031000000000001E+23</c:v>
                </c:pt>
                <c:pt idx="4">
                  <c:v>3.0093000000000002E+23</c:v>
                </c:pt>
                <c:pt idx="5">
                  <c:v>1.3848444876244586E+24</c:v>
                </c:pt>
              </c:numCache>
            </c:numRef>
          </c:xVal>
          <c:yVal>
            <c:numRef>
              <c:f>('CO2 No Scat'!$B$32,'CO2 No Scat'!$F$32,'CO2 No Scat'!$I$32,'CO2 No Scat'!$L$32,'CO2 No Scat'!$P$32,'CO2 No Scat'!$Q$32)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9552"/>
        <c:axId val="496489160"/>
      </c:scatterChart>
      <c:valAx>
        <c:axId val="496489552"/>
        <c:scaling>
          <c:logBase val="10"/>
          <c:orientation val="minMax"/>
          <c:min val="1E+19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photons/meter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9160"/>
        <c:crossesAt val="1.0000000000000004E-6"/>
        <c:crossBetween val="midCat"/>
      </c:valAx>
      <c:valAx>
        <c:axId val="496489160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molecules/photon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82347919364802"/>
          <c:y val="0.55565499958490161"/>
          <c:w val="0.34455038331317395"/>
          <c:h val="0.205040396790003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PSD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No Scat'!$B$6:$B$8</c:f>
              <c:numCache>
                <c:formatCode>0.00E+00</c:formatCode>
                <c:ptCount val="3"/>
                <c:pt idx="0">
                  <c:v>1</c:v>
                </c:pt>
                <c:pt idx="1">
                  <c:v>1.001E+20</c:v>
                </c:pt>
                <c:pt idx="2">
                  <c:v>1.001E+25</c:v>
                </c:pt>
              </c:numCache>
            </c:numRef>
          </c:xVal>
          <c:yVal>
            <c:numRef>
              <c:f>'CO2 No Scat'!$D$6:$D$8</c:f>
              <c:numCache>
                <c:formatCode>0.00E+00</c:formatCode>
                <c:ptCount val="3"/>
                <c:pt idx="0">
                  <c:v>9.1800000000000007E-3</c:v>
                </c:pt>
                <c:pt idx="1">
                  <c:v>9.1800000000000007E-3</c:v>
                </c:pt>
                <c:pt idx="2">
                  <c:v>3.9000000000000002E-7</c:v>
                </c:pt>
              </c:numCache>
            </c:numRef>
          </c:yVal>
          <c:smooth val="0"/>
        </c:ser>
        <c:ser>
          <c:idx val="5"/>
          <c:order val="1"/>
          <c:tx>
            <c:v>Step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'CO2 No Scat'!$E$6:$E$8</c:f>
              <c:numCache>
                <c:formatCode>0.00E+00</c:formatCode>
                <c:ptCount val="3"/>
                <c:pt idx="0">
                  <c:v>1</c:v>
                </c:pt>
                <c:pt idx="1">
                  <c:v>1.82E+17</c:v>
                </c:pt>
                <c:pt idx="2">
                  <c:v>1.82E+22</c:v>
                </c:pt>
              </c:numCache>
            </c:numRef>
          </c:xVal>
          <c:yVal>
            <c:numRef>
              <c:f>'CO2 No Scat'!$F$6:$F$8</c:f>
              <c:numCache>
                <c:formatCode>0.00E+00</c:formatCode>
                <c:ptCount val="3"/>
                <c:pt idx="0">
                  <c:v>9.1800000000000007E-3</c:v>
                </c:pt>
                <c:pt idx="1">
                  <c:v>9.1800000000000007E-3</c:v>
                </c:pt>
                <c:pt idx="2">
                  <c:v>3.9000000000000002E-7</c:v>
                </c:pt>
              </c:numCache>
            </c:numRef>
          </c:yVal>
          <c:smooth val="0"/>
        </c:ser>
        <c:ser>
          <c:idx val="2"/>
          <c:order val="2"/>
          <c:tx>
            <c:v>Sub Step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4962342594614498E-2"/>
                  <c:y val="-5.8851358911355582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 No Scat'!$E$7:$E$8</c:f>
              <c:numCache>
                <c:formatCode>0.00E+00</c:formatCode>
                <c:ptCount val="2"/>
                <c:pt idx="0">
                  <c:v>1.82E+17</c:v>
                </c:pt>
                <c:pt idx="1">
                  <c:v>1.82E+22</c:v>
                </c:pt>
              </c:numCache>
            </c:numRef>
          </c:xVal>
          <c:yVal>
            <c:numRef>
              <c:f>'CO2 No Scat'!$F$7:$F$8</c:f>
              <c:numCache>
                <c:formatCode>0.00E+00</c:formatCode>
                <c:ptCount val="2"/>
                <c:pt idx="0">
                  <c:v>9.1800000000000007E-3</c:v>
                </c:pt>
                <c:pt idx="1">
                  <c:v>3.9000000000000002E-7</c:v>
                </c:pt>
              </c:numCache>
            </c:numRef>
          </c:yVal>
          <c:smooth val="0"/>
        </c:ser>
        <c:ser>
          <c:idx val="3"/>
          <c:order val="3"/>
          <c:tx>
            <c:v>Step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 No Scat'!$G$6:$G$8</c:f>
              <c:numCache>
                <c:formatCode>0.00E+00</c:formatCode>
                <c:ptCount val="3"/>
                <c:pt idx="0">
                  <c:v>1</c:v>
                </c:pt>
                <c:pt idx="1">
                  <c:v>2002000000000000</c:v>
                </c:pt>
                <c:pt idx="2">
                  <c:v>2.002E+20</c:v>
                </c:pt>
              </c:numCache>
            </c:numRef>
          </c:xVal>
          <c:yVal>
            <c:numRef>
              <c:f>'CO2 No Scat'!$H$6:$H$8</c:f>
              <c:numCache>
                <c:formatCode>0.00E+00</c:formatCode>
                <c:ptCount val="3"/>
                <c:pt idx="0">
                  <c:v>0.47345653191270098</c:v>
                </c:pt>
                <c:pt idx="1">
                  <c:v>0.47345653191270098</c:v>
                </c:pt>
                <c:pt idx="2">
                  <c:v>2.0113150928700546E-5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88376"/>
        <c:axId val="496489944"/>
      </c:scatterChart>
      <c:valAx>
        <c:axId val="496488376"/>
        <c:scaling>
          <c:logBase val="10"/>
          <c:orientation val="minMax"/>
          <c:min val="100000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originally pho/cm2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9944"/>
        <c:crossesAt val="1.0000000000000005E-9"/>
        <c:crossBetween val="midCat"/>
      </c:valAx>
      <c:valAx>
        <c:axId val="496489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mol\pho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8837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3.png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image" Target="../media/image3.png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image" Target="../media/image3.png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image" Target="../media/image4.png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image" Target="../media/image4.png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image" Target="../media/image4.png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473449</xdr:colOff>
      <xdr:row>23</xdr:row>
      <xdr:rowOff>45661</xdr:rowOff>
    </xdr:from>
    <xdr:to>
      <xdr:col>37</xdr:col>
      <xdr:colOff>268382</xdr:colOff>
      <xdr:row>58</xdr:row>
      <xdr:rowOff>183776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267260</xdr:colOff>
      <xdr:row>61</xdr:row>
      <xdr:rowOff>1682</xdr:rowOff>
    </xdr:from>
    <xdr:to>
      <xdr:col>13</xdr:col>
      <xdr:colOff>123312</xdr:colOff>
      <xdr:row>110</xdr:row>
      <xdr:rowOff>19563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260" y="11622182"/>
          <a:ext cx="8574228" cy="9352381"/>
        </a:xfrm>
        <a:prstGeom prst="rect">
          <a:avLst/>
        </a:prstGeom>
      </xdr:spPr>
    </xdr:pic>
    <xdr:clientData/>
  </xdr:twoCellAnchor>
  <xdr:twoCellAnchor>
    <xdr:from>
      <xdr:col>17</xdr:col>
      <xdr:colOff>95812</xdr:colOff>
      <xdr:row>23</xdr:row>
      <xdr:rowOff>49867</xdr:rowOff>
    </xdr:from>
    <xdr:to>
      <xdr:col>27</xdr:col>
      <xdr:colOff>183193</xdr:colOff>
      <xdr:row>58</xdr:row>
      <xdr:rowOff>144703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118695</xdr:colOff>
      <xdr:row>5</xdr:row>
      <xdr:rowOff>158995</xdr:rowOff>
    </xdr:from>
    <xdr:to>
      <xdr:col>45</xdr:col>
      <xdr:colOff>597775</xdr:colOff>
      <xdr:row>22</xdr:row>
      <xdr:rowOff>116134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549089</xdr:colOff>
      <xdr:row>61</xdr:row>
      <xdr:rowOff>56030</xdr:rowOff>
    </xdr:from>
    <xdr:to>
      <xdr:col>30</xdr:col>
      <xdr:colOff>78442</xdr:colOff>
      <xdr:row>96</xdr:row>
      <xdr:rowOff>150866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190501</xdr:colOff>
      <xdr:row>24</xdr:row>
      <xdr:rowOff>107674</xdr:rowOff>
    </xdr:from>
    <xdr:to>
      <xdr:col>46</xdr:col>
      <xdr:colOff>74543</xdr:colOff>
      <xdr:row>46</xdr:row>
      <xdr:rowOff>107674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285750</xdr:colOff>
      <xdr:row>47</xdr:row>
      <xdr:rowOff>54428</xdr:rowOff>
    </xdr:from>
    <xdr:to>
      <xdr:col>46</xdr:col>
      <xdr:colOff>152509</xdr:colOff>
      <xdr:row>64</xdr:row>
      <xdr:rowOff>11567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336178</xdr:colOff>
      <xdr:row>34</xdr:row>
      <xdr:rowOff>0</xdr:rowOff>
    </xdr:from>
    <xdr:to>
      <xdr:col>16</xdr:col>
      <xdr:colOff>78443</xdr:colOff>
      <xdr:row>52</xdr:row>
      <xdr:rowOff>124169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6178" y="6477000"/>
          <a:ext cx="10275794" cy="3553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95250</xdr:rowOff>
    </xdr:from>
    <xdr:to>
      <xdr:col>14</xdr:col>
      <xdr:colOff>293077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419100</xdr:colOff>
      <xdr:row>19</xdr:row>
      <xdr:rowOff>114300</xdr:rowOff>
    </xdr:from>
    <xdr:to>
      <xdr:col>16</xdr:col>
      <xdr:colOff>199214</xdr:colOff>
      <xdr:row>45</xdr:row>
      <xdr:rowOff>94633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7100" y="3733800"/>
          <a:ext cx="6485714" cy="4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411307</xdr:colOff>
      <xdr:row>23</xdr:row>
      <xdr:rowOff>21212</xdr:rowOff>
    </xdr:from>
    <xdr:to>
      <xdr:col>37</xdr:col>
      <xdr:colOff>205221</xdr:colOff>
      <xdr:row>58</xdr:row>
      <xdr:rowOff>159327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149804</xdr:colOff>
      <xdr:row>22</xdr:row>
      <xdr:rowOff>179244</xdr:rowOff>
    </xdr:from>
    <xdr:to>
      <xdr:col>27</xdr:col>
      <xdr:colOff>237185</xdr:colOff>
      <xdr:row>58</xdr:row>
      <xdr:rowOff>83580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275578</xdr:colOff>
      <xdr:row>5</xdr:row>
      <xdr:rowOff>2113</xdr:rowOff>
    </xdr:from>
    <xdr:to>
      <xdr:col>37</xdr:col>
      <xdr:colOff>21420</xdr:colOff>
      <xdr:row>21</xdr:row>
      <xdr:rowOff>149752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145676</xdr:colOff>
      <xdr:row>35</xdr:row>
      <xdr:rowOff>44823</xdr:rowOff>
    </xdr:from>
    <xdr:to>
      <xdr:col>16</xdr:col>
      <xdr:colOff>493059</xdr:colOff>
      <xdr:row>53</xdr:row>
      <xdr:rowOff>168992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794" y="6712323"/>
          <a:ext cx="10275794" cy="35531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411307</xdr:colOff>
      <xdr:row>23</xdr:row>
      <xdr:rowOff>21212</xdr:rowOff>
    </xdr:from>
    <xdr:to>
      <xdr:col>37</xdr:col>
      <xdr:colOff>205221</xdr:colOff>
      <xdr:row>58</xdr:row>
      <xdr:rowOff>159327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149804</xdr:colOff>
      <xdr:row>22</xdr:row>
      <xdr:rowOff>179244</xdr:rowOff>
    </xdr:from>
    <xdr:to>
      <xdr:col>27</xdr:col>
      <xdr:colOff>237185</xdr:colOff>
      <xdr:row>58</xdr:row>
      <xdr:rowOff>83580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275578</xdr:colOff>
      <xdr:row>5</xdr:row>
      <xdr:rowOff>2113</xdr:rowOff>
    </xdr:from>
    <xdr:to>
      <xdr:col>37</xdr:col>
      <xdr:colOff>21420</xdr:colOff>
      <xdr:row>21</xdr:row>
      <xdr:rowOff>149752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526677</xdr:colOff>
      <xdr:row>35</xdr:row>
      <xdr:rowOff>11206</xdr:rowOff>
    </xdr:from>
    <xdr:to>
      <xdr:col>16</xdr:col>
      <xdr:colOff>268942</xdr:colOff>
      <xdr:row>53</xdr:row>
      <xdr:rowOff>135375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677" y="6678706"/>
          <a:ext cx="10275794" cy="35531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411307</xdr:colOff>
      <xdr:row>23</xdr:row>
      <xdr:rowOff>21212</xdr:rowOff>
    </xdr:from>
    <xdr:to>
      <xdr:col>37</xdr:col>
      <xdr:colOff>205221</xdr:colOff>
      <xdr:row>58</xdr:row>
      <xdr:rowOff>159327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149804</xdr:colOff>
      <xdr:row>22</xdr:row>
      <xdr:rowOff>179244</xdr:rowOff>
    </xdr:from>
    <xdr:to>
      <xdr:col>27</xdr:col>
      <xdr:colOff>237185</xdr:colOff>
      <xdr:row>58</xdr:row>
      <xdr:rowOff>83580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275578</xdr:colOff>
      <xdr:row>5</xdr:row>
      <xdr:rowOff>2113</xdr:rowOff>
    </xdr:from>
    <xdr:to>
      <xdr:col>37</xdr:col>
      <xdr:colOff>21420</xdr:colOff>
      <xdr:row>21</xdr:row>
      <xdr:rowOff>149752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504265</xdr:colOff>
      <xdr:row>35</xdr:row>
      <xdr:rowOff>44824</xdr:rowOff>
    </xdr:from>
    <xdr:to>
      <xdr:col>16</xdr:col>
      <xdr:colOff>246530</xdr:colOff>
      <xdr:row>53</xdr:row>
      <xdr:rowOff>168993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265" y="6712324"/>
          <a:ext cx="10275794" cy="35531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127748</xdr:colOff>
      <xdr:row>30</xdr:row>
      <xdr:rowOff>172572</xdr:rowOff>
    </xdr:from>
    <xdr:to>
      <xdr:col>40</xdr:col>
      <xdr:colOff>527798</xdr:colOff>
      <xdr:row>64</xdr:row>
      <xdr:rowOff>172571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475130</xdr:colOff>
      <xdr:row>0</xdr:row>
      <xdr:rowOff>45663</xdr:rowOff>
    </xdr:from>
    <xdr:to>
      <xdr:col>17</xdr:col>
      <xdr:colOff>513789</xdr:colOff>
      <xdr:row>14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30</xdr:row>
      <xdr:rowOff>37540</xdr:rowOff>
    </xdr:from>
    <xdr:to>
      <xdr:col>29</xdr:col>
      <xdr:colOff>504825</xdr:colOff>
      <xdr:row>72</xdr:row>
      <xdr:rowOff>13729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75079</xdr:colOff>
      <xdr:row>65</xdr:row>
      <xdr:rowOff>26894</xdr:rowOff>
    </xdr:from>
    <xdr:to>
      <xdr:col>14</xdr:col>
      <xdr:colOff>61930</xdr:colOff>
      <xdr:row>113</xdr:row>
      <xdr:rowOff>35250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197" y="12409394"/>
          <a:ext cx="8368851" cy="9152356"/>
        </a:xfrm>
        <a:prstGeom prst="rect">
          <a:avLst/>
        </a:prstGeom>
      </xdr:spPr>
    </xdr:pic>
    <xdr:clientData/>
  </xdr:twoCellAnchor>
  <xdr:twoCellAnchor editAs="oneCell">
    <xdr:from>
      <xdr:col>0</xdr:col>
      <xdr:colOff>347384</xdr:colOff>
      <xdr:row>36</xdr:row>
      <xdr:rowOff>89646</xdr:rowOff>
    </xdr:from>
    <xdr:to>
      <xdr:col>16</xdr:col>
      <xdr:colOff>201707</xdr:colOff>
      <xdr:row>57</xdr:row>
      <xdr:rowOff>54715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384" y="6947646"/>
          <a:ext cx="10051676" cy="39655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411307</xdr:colOff>
      <xdr:row>23</xdr:row>
      <xdr:rowOff>21212</xdr:rowOff>
    </xdr:from>
    <xdr:to>
      <xdr:col>37</xdr:col>
      <xdr:colOff>205221</xdr:colOff>
      <xdr:row>58</xdr:row>
      <xdr:rowOff>159327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149804</xdr:colOff>
      <xdr:row>22</xdr:row>
      <xdr:rowOff>179244</xdr:rowOff>
    </xdr:from>
    <xdr:to>
      <xdr:col>27</xdr:col>
      <xdr:colOff>237185</xdr:colOff>
      <xdr:row>58</xdr:row>
      <xdr:rowOff>83580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275578</xdr:colOff>
      <xdr:row>5</xdr:row>
      <xdr:rowOff>2113</xdr:rowOff>
    </xdr:from>
    <xdr:to>
      <xdr:col>37</xdr:col>
      <xdr:colOff>21420</xdr:colOff>
      <xdr:row>21</xdr:row>
      <xdr:rowOff>149752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526677</xdr:colOff>
      <xdr:row>35</xdr:row>
      <xdr:rowOff>44824</xdr:rowOff>
    </xdr:from>
    <xdr:to>
      <xdr:col>16</xdr:col>
      <xdr:colOff>44824</xdr:colOff>
      <xdr:row>56</xdr:row>
      <xdr:rowOff>9893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677" y="6712324"/>
          <a:ext cx="10051676" cy="39655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411307</xdr:colOff>
      <xdr:row>23</xdr:row>
      <xdr:rowOff>21212</xdr:rowOff>
    </xdr:from>
    <xdr:to>
      <xdr:col>37</xdr:col>
      <xdr:colOff>205221</xdr:colOff>
      <xdr:row>58</xdr:row>
      <xdr:rowOff>159327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149804</xdr:colOff>
      <xdr:row>22</xdr:row>
      <xdr:rowOff>179244</xdr:rowOff>
    </xdr:from>
    <xdr:to>
      <xdr:col>27</xdr:col>
      <xdr:colOff>237185</xdr:colOff>
      <xdr:row>58</xdr:row>
      <xdr:rowOff>83580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275578</xdr:colOff>
      <xdr:row>5</xdr:row>
      <xdr:rowOff>2113</xdr:rowOff>
    </xdr:from>
    <xdr:to>
      <xdr:col>37</xdr:col>
      <xdr:colOff>21420</xdr:colOff>
      <xdr:row>21</xdr:row>
      <xdr:rowOff>149752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324971</xdr:colOff>
      <xdr:row>35</xdr:row>
      <xdr:rowOff>179295</xdr:rowOff>
    </xdr:from>
    <xdr:to>
      <xdr:col>15</xdr:col>
      <xdr:colOff>448235</xdr:colOff>
      <xdr:row>56</xdr:row>
      <xdr:rowOff>144364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971" y="6846795"/>
          <a:ext cx="10051676" cy="39655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411307</xdr:colOff>
      <xdr:row>23</xdr:row>
      <xdr:rowOff>21212</xdr:rowOff>
    </xdr:from>
    <xdr:to>
      <xdr:col>37</xdr:col>
      <xdr:colOff>205221</xdr:colOff>
      <xdr:row>58</xdr:row>
      <xdr:rowOff>159327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5</xdr:row>
      <xdr:rowOff>23811</xdr:rowOff>
    </xdr:from>
    <xdr:to>
      <xdr:col>26</xdr:col>
      <xdr:colOff>476250</xdr:colOff>
      <xdr:row>21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149804</xdr:colOff>
      <xdr:row>22</xdr:row>
      <xdr:rowOff>179244</xdr:rowOff>
    </xdr:from>
    <xdr:to>
      <xdr:col>27</xdr:col>
      <xdr:colOff>237185</xdr:colOff>
      <xdr:row>58</xdr:row>
      <xdr:rowOff>83580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275578</xdr:colOff>
      <xdr:row>5</xdr:row>
      <xdr:rowOff>2113</xdr:rowOff>
    </xdr:from>
    <xdr:to>
      <xdr:col>37</xdr:col>
      <xdr:colOff>21420</xdr:colOff>
      <xdr:row>21</xdr:row>
      <xdr:rowOff>149752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324971</xdr:colOff>
      <xdr:row>34</xdr:row>
      <xdr:rowOff>89647</xdr:rowOff>
    </xdr:from>
    <xdr:to>
      <xdr:col>15</xdr:col>
      <xdr:colOff>448235</xdr:colOff>
      <xdr:row>55</xdr:row>
      <xdr:rowOff>54716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971" y="6566647"/>
          <a:ext cx="10051676" cy="39655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594472</xdr:colOff>
      <xdr:row>0</xdr:row>
      <xdr:rowOff>98052</xdr:rowOff>
    </xdr:from>
    <xdr:to>
      <xdr:col>29</xdr:col>
      <xdr:colOff>74600</xdr:colOff>
      <xdr:row>21</xdr:row>
      <xdr:rowOff>134471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201090" y="98052"/>
          <a:ext cx="5744216" cy="4092948"/>
        </a:xfrm>
        <a:prstGeom prst="rect">
          <a:avLst/>
        </a:prstGeom>
      </xdr:spPr>
    </xdr:pic>
    <xdr:clientData/>
  </xdr:twoCellAnchor>
  <xdr:twoCellAnchor editAs="oneCell">
    <xdr:from>
      <xdr:col>9</xdr:col>
      <xdr:colOff>413642</xdr:colOff>
      <xdr:row>22</xdr:row>
      <xdr:rowOff>165653</xdr:rowOff>
    </xdr:from>
    <xdr:to>
      <xdr:col>18</xdr:col>
      <xdr:colOff>200944</xdr:colOff>
      <xdr:row>46</xdr:row>
      <xdr:rowOff>73213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969083" y="4412682"/>
          <a:ext cx="5233361" cy="4479560"/>
        </a:xfrm>
        <a:prstGeom prst="rect">
          <a:avLst/>
        </a:prstGeom>
      </xdr:spPr>
    </xdr:pic>
    <xdr:clientData/>
  </xdr:twoCellAnchor>
  <xdr:twoCellAnchor editAs="oneCell">
    <xdr:from>
      <xdr:col>19</xdr:col>
      <xdr:colOff>593912</xdr:colOff>
      <xdr:row>22</xdr:row>
      <xdr:rowOff>190499</xdr:rowOff>
    </xdr:from>
    <xdr:to>
      <xdr:col>28</xdr:col>
      <xdr:colOff>45228</xdr:colOff>
      <xdr:row>46</xdr:row>
      <xdr:rowOff>85878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200530" y="4437528"/>
          <a:ext cx="5110286" cy="4467379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44822</xdr:colOff>
      <xdr:row>0</xdr:row>
      <xdr:rowOff>44824</xdr:rowOff>
    </xdr:from>
    <xdr:to>
      <xdr:col>19</xdr:col>
      <xdr:colOff>24287</xdr:colOff>
      <xdr:row>21</xdr:row>
      <xdr:rowOff>56030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205381" y="44824"/>
          <a:ext cx="5425524" cy="406773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47</xdr:row>
      <xdr:rowOff>11207</xdr:rowOff>
    </xdr:from>
    <xdr:to>
      <xdr:col>8</xdr:col>
      <xdr:colOff>1223900</xdr:colOff>
      <xdr:row>66</xdr:row>
      <xdr:rowOff>123265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736" y="9020736"/>
          <a:ext cx="5885546" cy="3731558"/>
        </a:xfrm>
        <a:prstGeom prst="rect">
          <a:avLst/>
        </a:prstGeom>
      </xdr:spPr>
    </xdr:pic>
    <xdr:clientData/>
  </xdr:twoCellAnchor>
  <xdr:twoCellAnchor editAs="oneCell">
    <xdr:from>
      <xdr:col>9</xdr:col>
      <xdr:colOff>22412</xdr:colOff>
      <xdr:row>47</xdr:row>
      <xdr:rowOff>11205</xdr:rowOff>
    </xdr:from>
    <xdr:to>
      <xdr:col>18</xdr:col>
      <xdr:colOff>589539</xdr:colOff>
      <xdr:row>73</xdr:row>
      <xdr:rowOff>89646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7853" y="9020734"/>
          <a:ext cx="6013186" cy="5031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K2" sqref="K2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  <c r="I5" s="20" t="s">
        <v>47</v>
      </c>
    </row>
    <row r="6" spans="1:23" x14ac:dyDescent="0.25">
      <c r="B6" s="21">
        <v>1</v>
      </c>
      <c r="C6" s="21">
        <v>1430000000000000</v>
      </c>
      <c r="D6" s="21">
        <f>D7</f>
        <v>4.4999999999999998E-2</v>
      </c>
      <c r="E6" s="21">
        <v>1</v>
      </c>
      <c r="F6" s="21">
        <f>D6</f>
        <v>4.4999999999999998E-2</v>
      </c>
      <c r="G6" s="21">
        <v>1</v>
      </c>
      <c r="H6" s="21">
        <f>H7</f>
        <v>1.9581444566262891</v>
      </c>
      <c r="I6" s="21">
        <v>1</v>
      </c>
      <c r="J6" s="21">
        <v>2.3548793578135392</v>
      </c>
      <c r="K6" s="21"/>
      <c r="L6" s="21"/>
      <c r="O6" s="21"/>
    </row>
    <row r="7" spans="1:23" x14ac:dyDescent="0.25">
      <c r="B7" s="21">
        <f>B14</f>
        <v>1E+20</v>
      </c>
      <c r="C7" s="21">
        <v>1.43E+18</v>
      </c>
      <c r="D7" s="21">
        <f>B16</f>
        <v>4.4999999999999998E-2</v>
      </c>
      <c r="E7" s="21">
        <f>B7/500</f>
        <v>2E+17</v>
      </c>
      <c r="F7" s="21">
        <f t="shared" ref="F7:F8" si="0">D7</f>
        <v>4.4999999999999998E-2</v>
      </c>
      <c r="G7" s="21">
        <f>B7/50000</f>
        <v>2000000000000000</v>
      </c>
      <c r="H7" s="21">
        <f>6741300000000*G7^-0.81935</f>
        <v>1.9581444566262891</v>
      </c>
      <c r="I7" s="21">
        <v>200200000000000</v>
      </c>
      <c r="J7" s="21">
        <v>2.3548793578135392</v>
      </c>
      <c r="K7" s="21"/>
      <c r="L7" s="21"/>
      <c r="O7" s="21"/>
    </row>
    <row r="8" spans="1:23" x14ac:dyDescent="0.25">
      <c r="B8" s="21">
        <f>I14</f>
        <v>1E+22</v>
      </c>
      <c r="C8" s="21">
        <v>1.4299999999999999E+23</v>
      </c>
      <c r="D8" s="21">
        <f>I16</f>
        <v>1.034E-3</v>
      </c>
      <c r="E8" s="21">
        <f>B8/500</f>
        <v>2E+19</v>
      </c>
      <c r="F8" s="21">
        <f t="shared" si="0"/>
        <v>1.034E-3</v>
      </c>
      <c r="G8" s="21">
        <f>B8/50000</f>
        <v>2E+17</v>
      </c>
      <c r="H8" s="21">
        <f>6741300000000*G8^-0.81935</f>
        <v>4.4992976784004525E-2</v>
      </c>
      <c r="I8" s="21">
        <v>2E+16</v>
      </c>
      <c r="J8" s="21">
        <v>5.41158381608388E-2</v>
      </c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39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9.9999999999999992E+22</v>
      </c>
      <c r="M14" s="20" t="s">
        <v>20</v>
      </c>
      <c r="N14" s="20" t="s">
        <v>37</v>
      </c>
      <c r="P14" s="21">
        <v>9.9999999999999998E+23</v>
      </c>
      <c r="Q14" s="21">
        <v>1.0000000000000001E+25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f>F14*$B$11/$B$10</f>
        <v>4231.4647377938509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423146.47377938509</v>
      </c>
      <c r="M15" s="20" t="s">
        <v>10</v>
      </c>
      <c r="N15" s="20" t="s">
        <v>28</v>
      </c>
      <c r="P15" s="23">
        <f>P14*$B$11/$B$10</f>
        <v>4231464.7377938516</v>
      </c>
      <c r="Q15" s="23">
        <f>Q14*$B$11/$B$10</f>
        <v>42314647.377938516</v>
      </c>
    </row>
    <row r="16" spans="1:23" x14ac:dyDescent="0.25">
      <c r="B16" s="21">
        <v>4.4999999999999998E-2</v>
      </c>
      <c r="C16" s="20" t="s">
        <v>21</v>
      </c>
      <c r="D16" s="20" t="s">
        <v>29</v>
      </c>
      <c r="F16" s="21">
        <v>6.8729999999999998E-3</v>
      </c>
      <c r="G16" s="20" t="s">
        <v>21</v>
      </c>
      <c r="H16" s="20" t="s">
        <v>29</v>
      </c>
      <c r="I16" s="21">
        <v>1.034E-3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1.0302390000000001E-3</v>
      </c>
      <c r="C17" s="20" t="s">
        <v>8</v>
      </c>
      <c r="D17" s="20" t="s">
        <v>38</v>
      </c>
      <c r="F17" s="21">
        <f>F16*$B$10*4.14E-20</f>
        <v>1.5735183660000002E-4</v>
      </c>
      <c r="G17" s="20" t="s">
        <v>8</v>
      </c>
      <c r="H17" s="20" t="s">
        <v>38</v>
      </c>
      <c r="I17" s="21">
        <f>I16*$B$10*4.14E-20</f>
        <v>2.3672602800000003E-5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/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0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0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0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51</v>
      </c>
      <c r="B22" s="24">
        <v>1.0063800000000001E-3</v>
      </c>
      <c r="C22" s="20" t="s">
        <v>8</v>
      </c>
      <c r="F22" s="24">
        <v>9.37626E-4</v>
      </c>
      <c r="G22" s="20" t="s">
        <v>8</v>
      </c>
      <c r="I22" s="24">
        <v>8.1392499999999996E-4</v>
      </c>
      <c r="J22" s="20" t="s">
        <v>8</v>
      </c>
      <c r="L22" s="24">
        <v>3.5941400000000001E-4</v>
      </c>
      <c r="M22" s="20" t="s">
        <v>8</v>
      </c>
      <c r="P22" s="24"/>
      <c r="Q22" s="24"/>
    </row>
    <row r="23" spans="1:17" x14ac:dyDescent="0.25">
      <c r="A23" s="20" t="s">
        <v>58</v>
      </c>
      <c r="B23" s="23">
        <f>B22/4.14E-20</f>
        <v>2.4308695652173912E+16</v>
      </c>
      <c r="C23" s="20" t="s">
        <v>32</v>
      </c>
      <c r="F23" s="23">
        <f>F22/4.14E-20</f>
        <v>2.2647971014492752E+16</v>
      </c>
      <c r="G23" s="20" t="s">
        <v>32</v>
      </c>
      <c r="I23" s="23">
        <f>I22/4.14E-20</f>
        <v>1.9660024154589368E+16</v>
      </c>
      <c r="J23" s="20" t="s">
        <v>32</v>
      </c>
      <c r="L23" s="23">
        <f>L22/4.14E-20</f>
        <v>8681497584541063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4.3957858322195141E-2</v>
      </c>
      <c r="C24" s="20" t="s">
        <v>21</v>
      </c>
      <c r="F24" s="23">
        <f>F23/$B$10</f>
        <v>4.0954739628377493E-2</v>
      </c>
      <c r="G24" s="20" t="s">
        <v>21</v>
      </c>
      <c r="I24" s="23">
        <f>I23/$B$10</f>
        <v>3.5551580749709523E-2</v>
      </c>
      <c r="J24" s="20" t="s">
        <v>21</v>
      </c>
      <c r="L24" s="23">
        <f>L23/$B$10</f>
        <v>1.5698910641123078E-2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0.97684129604878089</v>
      </c>
      <c r="C25" s="20" t="s">
        <v>31</v>
      </c>
      <c r="F25" s="25">
        <f>F24/F$16</f>
        <v>5.958786502019132</v>
      </c>
      <c r="G25" s="20" t="s">
        <v>31</v>
      </c>
      <c r="I25" s="25">
        <f>I24/I$16</f>
        <v>34.382573258906696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54</v>
      </c>
      <c r="B26" s="24"/>
      <c r="C26" s="20" t="s">
        <v>8</v>
      </c>
      <c r="F26" s="24"/>
      <c r="G26" s="20" t="s">
        <v>8</v>
      </c>
      <c r="I26" s="24">
        <v>2.3592400000000001E-5</v>
      </c>
      <c r="J26" s="20" t="s">
        <v>8</v>
      </c>
      <c r="L26" s="24"/>
      <c r="M26" s="20" t="s">
        <v>8</v>
      </c>
      <c r="P26" s="24"/>
      <c r="Q26" s="24"/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569864734299516.87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0</v>
      </c>
      <c r="Q27" s="23">
        <f>Q26/4.14E-20</f>
        <v>0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1.0304968070515676E-3</v>
      </c>
      <c r="J28" s="20" t="s">
        <v>21</v>
      </c>
      <c r="L28" s="23">
        <f>L27/$B$10</f>
        <v>0</v>
      </c>
      <c r="M28" s="20" t="s">
        <v>21</v>
      </c>
      <c r="P28" s="23">
        <f>P27/$B$10</f>
        <v>0</v>
      </c>
      <c r="Q28" s="23">
        <f>Q27/$B$10</f>
        <v>0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0.996611999082754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55</v>
      </c>
      <c r="B30" s="24">
        <v>1.0298900000000001E-3</v>
      </c>
      <c r="C30" s="20" t="s">
        <v>8</v>
      </c>
      <c r="F30" s="24">
        <v>1.6130800000000001E-4</v>
      </c>
      <c r="G30" s="20" t="s">
        <v>8</v>
      </c>
      <c r="I30" s="24">
        <v>2.4460500000000001E-5</v>
      </c>
      <c r="J30" s="20" t="s">
        <v>8</v>
      </c>
      <c r="L30" s="24"/>
      <c r="M30" s="20" t="s">
        <v>8</v>
      </c>
      <c r="P30" s="24"/>
      <c r="Q30" s="24"/>
    </row>
    <row r="31" spans="1:17" x14ac:dyDescent="0.25">
      <c r="B31" s="23">
        <f>B30/4.14E-20</f>
        <v>2.487657004830918E+16</v>
      </c>
      <c r="C31" s="20" t="s">
        <v>32</v>
      </c>
      <c r="F31" s="23">
        <f>F30/4.14E-20</f>
        <v>3896328502415459</v>
      </c>
      <c r="G31" s="20" t="s">
        <v>32</v>
      </c>
      <c r="I31" s="23">
        <f>I30/4.14E-20</f>
        <v>590833333333333.37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4.4984755964392734E-2</v>
      </c>
      <c r="C32" s="20" t="s">
        <v>21</v>
      </c>
      <c r="F32" s="23">
        <f>F31/$B$10</f>
        <v>7.0458019935180092E-3</v>
      </c>
      <c r="G32" s="20" t="s">
        <v>21</v>
      </c>
      <c r="I32" s="23">
        <f>I31/$B$10</f>
        <v>1.0684147076552141E-3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0.99966124365317188</v>
      </c>
      <c r="C33" s="20" t="s">
        <v>31</v>
      </c>
      <c r="F33" s="25">
        <f>F32/F$16</f>
        <v>1.0251421495006561</v>
      </c>
      <c r="G33" s="20" t="s">
        <v>31</v>
      </c>
      <c r="I33" s="25">
        <f>I32/I$16</f>
        <v>1.0332830828386983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30"/>
      <c r="C38" s="29"/>
      <c r="D38" s="29"/>
      <c r="E38" s="29"/>
      <c r="F38" s="30"/>
      <c r="G38" s="29"/>
      <c r="H38" s="29"/>
      <c r="I38" s="30"/>
      <c r="J38" s="29"/>
      <c r="K38" s="29"/>
      <c r="L38" s="30"/>
      <c r="M38" s="29"/>
      <c r="N38" s="29"/>
      <c r="O38" s="29"/>
      <c r="P38" s="30"/>
      <c r="Q38" s="30"/>
    </row>
    <row r="39" spans="1:17" x14ac:dyDescent="0.25">
      <c r="A39" s="29"/>
      <c r="B39" s="30"/>
      <c r="C39" s="29"/>
      <c r="D39" s="29"/>
      <c r="E39" s="29"/>
      <c r="F39" s="30"/>
      <c r="G39" s="29"/>
      <c r="H39" s="29"/>
      <c r="I39" s="30"/>
      <c r="J39" s="29"/>
      <c r="K39" s="29"/>
      <c r="L39" s="30"/>
      <c r="M39" s="29"/>
      <c r="N39" s="29"/>
      <c r="O39" s="29"/>
      <c r="P39" s="30"/>
      <c r="Q39" s="30"/>
    </row>
    <row r="40" spans="1:17" x14ac:dyDescent="0.25">
      <c r="A40" s="29"/>
      <c r="B40" s="30"/>
      <c r="C40" s="29"/>
      <c r="D40" s="29"/>
      <c r="E40" s="29"/>
      <c r="F40" s="30"/>
      <c r="G40" s="29"/>
      <c r="H40" s="29"/>
      <c r="I40" s="30"/>
      <c r="J40" s="29"/>
      <c r="K40" s="29"/>
      <c r="L40" s="30"/>
      <c r="M40" s="29"/>
      <c r="N40" s="29"/>
      <c r="O40" s="29"/>
      <c r="P40" s="30"/>
      <c r="Q40" s="30"/>
    </row>
    <row r="41" spans="1:17" x14ac:dyDescent="0.25">
      <c r="A41" s="29"/>
      <c r="B41" s="31"/>
      <c r="C41" s="29"/>
      <c r="D41" s="29"/>
      <c r="E41" s="29"/>
      <c r="F41" s="31"/>
      <c r="G41" s="29"/>
      <c r="H41" s="29"/>
      <c r="I41" s="31"/>
      <c r="J41" s="29"/>
      <c r="K41" s="29"/>
      <c r="L41" s="31"/>
      <c r="M41" s="29"/>
      <c r="N41" s="29"/>
      <c r="O41" s="29"/>
      <c r="P41" s="31"/>
      <c r="Q41" s="31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zoomScaleNormal="100" workbookViewId="0">
      <selection activeCell="R9" sqref="R9"/>
    </sheetView>
  </sheetViews>
  <sheetFormatPr defaultRowHeight="15" x14ac:dyDescent="0.25"/>
  <sheetData>
    <row r="2" spans="2:5" x14ac:dyDescent="0.25">
      <c r="B2" s="1">
        <v>0</v>
      </c>
      <c r="C2" s="1">
        <f t="shared" ref="C2:C33" si="0">ATAN(0.01*TAN(PI()*(B2-0.5)))</f>
        <v>-1.5707963267948906</v>
      </c>
      <c r="D2" s="1">
        <f t="shared" ref="D2:D33" si="1">ATAN(0.308*TAN(PI()*(B2-0.5)))</f>
        <v>-1.5707963267948963</v>
      </c>
      <c r="E2" s="21">
        <f>ATAN(0.001*TAN(PI()*(B2-0.5)))</f>
        <v>-1.5707963267948353</v>
      </c>
    </row>
    <row r="3" spans="2:5" x14ac:dyDescent="0.25">
      <c r="B3" s="1">
        <v>0.02</v>
      </c>
      <c r="C3" s="1">
        <f t="shared" si="0"/>
        <v>-0.15762686445889482</v>
      </c>
      <c r="D3" s="1">
        <f t="shared" si="1"/>
        <v>-1.3692999251754721</v>
      </c>
      <c r="E3" s="21">
        <f t="shared" ref="E3:E52" si="2">ATAN(0.001*TAN(PI()*(B3-0.5)))</f>
        <v>-1.5893206532368167E-2</v>
      </c>
    </row>
    <row r="4" spans="2:5" x14ac:dyDescent="0.25">
      <c r="B4" s="1">
        <v>0.04</v>
      </c>
      <c r="C4" s="1">
        <f t="shared" si="0"/>
        <v>-7.8993434380201039E-2</v>
      </c>
      <c r="D4" s="1">
        <f t="shared" si="1"/>
        <v>-1.1815618552565654</v>
      </c>
      <c r="E4" s="21">
        <f t="shared" si="2"/>
        <v>-7.9156497591912692E-3</v>
      </c>
    </row>
    <row r="5" spans="2:5" x14ac:dyDescent="0.25">
      <c r="B5" s="1">
        <v>0.06</v>
      </c>
      <c r="C5" s="1">
        <f t="shared" si="0"/>
        <v>-5.2373895576055304E-2</v>
      </c>
      <c r="D5" s="1">
        <f t="shared" si="1"/>
        <v>-1.0162693097703945</v>
      </c>
      <c r="E5" s="21">
        <f t="shared" si="2"/>
        <v>-5.2421355626493631E-3</v>
      </c>
    </row>
    <row r="6" spans="2:5" x14ac:dyDescent="0.25">
      <c r="B6" s="1">
        <v>0.08</v>
      </c>
      <c r="C6" s="1">
        <f t="shared" si="0"/>
        <v>-3.8927753306885964E-2</v>
      </c>
      <c r="D6" s="1">
        <f t="shared" si="1"/>
        <v>-0.87588621161479141</v>
      </c>
      <c r="E6" s="21">
        <f t="shared" si="2"/>
        <v>-3.8947231619625281E-3</v>
      </c>
    </row>
    <row r="7" spans="2:5" x14ac:dyDescent="0.25">
      <c r="B7" s="1">
        <v>0.1</v>
      </c>
      <c r="C7" s="1">
        <f t="shared" si="0"/>
        <v>-3.0767123478400899E-2</v>
      </c>
      <c r="D7" s="1">
        <f t="shared" si="1"/>
        <v>-0.75867175946611631</v>
      </c>
      <c r="E7" s="21">
        <f t="shared" si="2"/>
        <v>-3.077673819818182E-3</v>
      </c>
    </row>
    <row r="8" spans="2:5" x14ac:dyDescent="0.25">
      <c r="B8" s="1">
        <v>0.12</v>
      </c>
      <c r="C8" s="1">
        <f t="shared" si="0"/>
        <v>-2.5251748259399649E-2</v>
      </c>
      <c r="D8" s="1">
        <f t="shared" si="1"/>
        <v>-0.66113127995272591</v>
      </c>
      <c r="E8" s="21">
        <f t="shared" si="2"/>
        <v>-2.5257063187780746E-3</v>
      </c>
    </row>
    <row r="9" spans="2:5" x14ac:dyDescent="0.25">
      <c r="B9" s="1">
        <v>0.14000000000000001</v>
      </c>
      <c r="C9" s="1">
        <f t="shared" si="0"/>
        <v>-2.1247883541922426E-2</v>
      </c>
      <c r="D9" s="1">
        <f t="shared" si="1"/>
        <v>-0.57955548835427451</v>
      </c>
      <c r="E9" s="21">
        <f t="shared" si="2"/>
        <v>-2.1251049741096684E-3</v>
      </c>
    </row>
    <row r="10" spans="2:5" x14ac:dyDescent="0.25">
      <c r="B10" s="1">
        <v>0.16</v>
      </c>
      <c r="C10" s="1">
        <f t="shared" si="0"/>
        <v>-1.8187926681250459E-2</v>
      </c>
      <c r="D10" s="1">
        <f t="shared" si="1"/>
        <v>-0.51067855755553127</v>
      </c>
      <c r="E10" s="21">
        <f t="shared" si="2"/>
        <v>-1.8189912410953054E-3</v>
      </c>
    </row>
    <row r="11" spans="2:5" x14ac:dyDescent="0.25">
      <c r="B11" s="1">
        <v>0.18</v>
      </c>
      <c r="C11" s="1">
        <f t="shared" si="0"/>
        <v>-1.5756174609781789E-2</v>
      </c>
      <c r="D11" s="1">
        <f t="shared" si="1"/>
        <v>-0.45184315990943769</v>
      </c>
      <c r="E11" s="21">
        <f t="shared" si="2"/>
        <v>-1.575746555786428E-3</v>
      </c>
    </row>
    <row r="12" spans="2:5" x14ac:dyDescent="0.25">
      <c r="B12" s="1">
        <v>0.2</v>
      </c>
      <c r="C12" s="1">
        <f t="shared" si="0"/>
        <v>-1.3762950151712606E-2</v>
      </c>
      <c r="D12" s="1">
        <f t="shared" si="1"/>
        <v>-0.40096029582952913</v>
      </c>
      <c r="E12" s="21">
        <f t="shared" si="2"/>
        <v>-1.3763810513203827E-3</v>
      </c>
    </row>
    <row r="13" spans="2:5" x14ac:dyDescent="0.25">
      <c r="B13" s="1">
        <v>0.22</v>
      </c>
      <c r="C13" s="1">
        <f t="shared" si="0"/>
        <v>-1.2087334801729537E-2</v>
      </c>
      <c r="D13" s="1">
        <f t="shared" si="1"/>
        <v>-0.35640851300956516</v>
      </c>
      <c r="E13" s="21">
        <f t="shared" si="2"/>
        <v>-1.2087917616561479E-3</v>
      </c>
    </row>
    <row r="14" spans="2:5" x14ac:dyDescent="0.25">
      <c r="B14" s="1">
        <v>0.24</v>
      </c>
      <c r="C14" s="1">
        <f t="shared" si="0"/>
        <v>-1.064851590342347E-2</v>
      </c>
      <c r="D14" s="1">
        <f t="shared" si="1"/>
        <v>-0.31693087906424794</v>
      </c>
      <c r="E14" s="21">
        <f t="shared" si="2"/>
        <v>-1.0648914377978556E-3</v>
      </c>
    </row>
    <row r="15" spans="2:5" x14ac:dyDescent="0.25">
      <c r="B15" s="1">
        <v>0.26</v>
      </c>
      <c r="C15" s="1">
        <f t="shared" si="0"/>
        <v>-9.3903490389896718E-3</v>
      </c>
      <c r="D15" s="1">
        <f t="shared" si="1"/>
        <v>-0.28154816434929675</v>
      </c>
      <c r="E15" s="21">
        <f t="shared" si="2"/>
        <v>-9.3906222978384891E-4</v>
      </c>
    </row>
    <row r="16" spans="2:5" x14ac:dyDescent="0.25">
      <c r="B16" s="1">
        <v>0.28000000000000003</v>
      </c>
      <c r="C16" s="1">
        <f t="shared" si="0"/>
        <v>-8.2725307449932634E-3</v>
      </c>
      <c r="D16" s="1">
        <f t="shared" si="1"/>
        <v>-0.24949095705870314</v>
      </c>
      <c r="E16" s="21">
        <f t="shared" si="2"/>
        <v>-8.272717572500723E-4</v>
      </c>
    </row>
    <row r="17" spans="2:5" x14ac:dyDescent="0.25">
      <c r="B17" s="1">
        <v>0.3</v>
      </c>
      <c r="C17" s="1">
        <f t="shared" si="0"/>
        <v>-7.2652974455431072E-3</v>
      </c>
      <c r="D17" s="1">
        <f t="shared" si="1"/>
        <v>-0.22014825819769593</v>
      </c>
      <c r="E17" s="21">
        <f t="shared" si="2"/>
        <v>-7.2654240016684221E-4</v>
      </c>
    </row>
    <row r="18" spans="2:5" x14ac:dyDescent="0.25">
      <c r="B18" s="1">
        <v>0.32</v>
      </c>
      <c r="C18" s="1">
        <f t="shared" si="0"/>
        <v>-6.3461077816252039E-3</v>
      </c>
      <c r="D18" s="1">
        <f t="shared" si="1"/>
        <v>-0.1930290310692897</v>
      </c>
      <c r="E18" s="21">
        <f t="shared" si="2"/>
        <v>-6.3461921234829379E-4</v>
      </c>
    </row>
    <row r="19" spans="2:5" x14ac:dyDescent="0.25">
      <c r="B19" s="1">
        <v>0.34</v>
      </c>
      <c r="C19" s="1">
        <f t="shared" si="0"/>
        <v>-5.4974911387832793E-3</v>
      </c>
      <c r="D19" s="1">
        <f t="shared" si="1"/>
        <v>-0.16773349231798146</v>
      </c>
      <c r="E19" s="21">
        <f t="shared" si="2"/>
        <v>-5.4975459680863133E-4</v>
      </c>
    </row>
    <row r="20" spans="2:5" x14ac:dyDescent="0.25">
      <c r="B20" s="1">
        <v>0.36</v>
      </c>
      <c r="C20" s="1">
        <f t="shared" si="0"/>
        <v>-4.7056080801178585E-3</v>
      </c>
      <c r="D20" s="1">
        <f t="shared" si="1"/>
        <v>-0.14393158293517527</v>
      </c>
      <c r="E20" s="21">
        <f t="shared" si="2"/>
        <v>-4.7056424647979011E-4</v>
      </c>
    </row>
    <row r="21" spans="2:5" x14ac:dyDescent="0.25">
      <c r="B21" s="1">
        <v>0.38</v>
      </c>
      <c r="C21" s="1">
        <f t="shared" si="0"/>
        <v>-3.9592593997471162E-3</v>
      </c>
      <c r="D21" s="1">
        <f t="shared" si="1"/>
        <v>-0.12134668679182356</v>
      </c>
      <c r="E21" s="21">
        <f t="shared" si="2"/>
        <v>-3.959279881092985E-4</v>
      </c>
    </row>
    <row r="22" spans="2:5" x14ac:dyDescent="0.25">
      <c r="B22" s="1">
        <v>0.4</v>
      </c>
      <c r="C22" s="1">
        <f t="shared" si="0"/>
        <v>-3.2491855281731471E-3</v>
      </c>
      <c r="D22" s="1">
        <f t="shared" si="1"/>
        <v>-9.9743173163147403E-2</v>
      </c>
      <c r="E22" s="21">
        <f t="shared" si="2"/>
        <v>-3.249196847986786E-4</v>
      </c>
    </row>
    <row r="23" spans="2:5" x14ac:dyDescent="0.25">
      <c r="B23" s="1">
        <v>0.42</v>
      </c>
      <c r="C23" s="1">
        <f t="shared" si="0"/>
        <v>-2.5675579615788216E-3</v>
      </c>
      <c r="D23" s="1">
        <f t="shared" si="1"/>
        <v>-7.891672269820274E-2</v>
      </c>
      <c r="E23" s="21">
        <f t="shared" si="2"/>
        <v>-2.5675635472560628E-4</v>
      </c>
    </row>
    <row r="24" spans="2:5" x14ac:dyDescent="0.25">
      <c r="B24" s="1">
        <v>0.44</v>
      </c>
      <c r="C24" s="1">
        <f t="shared" si="0"/>
        <v>-1.9075997083041372E-3</v>
      </c>
      <c r="D24" s="1">
        <f t="shared" si="1"/>
        <v>-5.8686674572085359E-2</v>
      </c>
      <c r="E24" s="21">
        <f t="shared" si="2"/>
        <v>-1.9076019990468021E-4</v>
      </c>
    </row>
    <row r="25" spans="2:5" x14ac:dyDescent="0.25">
      <c r="B25" s="1">
        <v>0.46</v>
      </c>
      <c r="C25" s="1">
        <f t="shared" si="0"/>
        <v>-1.2632931124268306E-3</v>
      </c>
      <c r="D25" s="1">
        <f t="shared" si="1"/>
        <v>-3.8889830787663518E-2</v>
      </c>
      <c r="E25" s="21">
        <f t="shared" si="2"/>
        <v>-1.263293777740732E-4</v>
      </c>
    </row>
    <row r="26" spans="2:5" x14ac:dyDescent="0.25">
      <c r="B26" s="1">
        <v>0.48</v>
      </c>
      <c r="C26" s="1">
        <f t="shared" si="0"/>
        <v>-6.2914658952574508E-4</v>
      </c>
      <c r="D26" s="1">
        <f t="shared" si="1"/>
        <v>-1.9375292642359526E-2</v>
      </c>
      <c r="E26" s="21">
        <f t="shared" si="2"/>
        <v>-6.2914667170639048E-5</v>
      </c>
    </row>
    <row r="27" spans="2:5" x14ac:dyDescent="0.25">
      <c r="B27" s="1">
        <v>0.5</v>
      </c>
      <c r="C27" s="1">
        <f t="shared" si="0"/>
        <v>0</v>
      </c>
      <c r="D27" s="1">
        <f t="shared" si="1"/>
        <v>0</v>
      </c>
      <c r="E27" s="21">
        <f>ATAN(0.001*TAN(PI()*(B27-0.5)))</f>
        <v>0</v>
      </c>
    </row>
    <row r="28" spans="2:5" x14ac:dyDescent="0.25">
      <c r="B28" s="1">
        <v>0.52</v>
      </c>
      <c r="C28" s="1">
        <f t="shared" si="0"/>
        <v>6.2914658952574508E-4</v>
      </c>
      <c r="D28" s="1">
        <f t="shared" si="1"/>
        <v>1.9375292642359526E-2</v>
      </c>
      <c r="E28" s="21">
        <f t="shared" si="2"/>
        <v>6.2914667170639048E-5</v>
      </c>
    </row>
    <row r="29" spans="2:5" x14ac:dyDescent="0.25">
      <c r="B29" s="1">
        <v>0.54</v>
      </c>
      <c r="C29" s="1">
        <f t="shared" si="0"/>
        <v>1.2632931124268326E-3</v>
      </c>
      <c r="D29" s="1">
        <f t="shared" si="1"/>
        <v>3.8889830787663573E-2</v>
      </c>
      <c r="E29" s="21">
        <f t="shared" si="2"/>
        <v>1.2632937777407339E-4</v>
      </c>
    </row>
    <row r="30" spans="2:5" x14ac:dyDescent="0.25">
      <c r="B30" s="1">
        <v>0.56000000000000005</v>
      </c>
      <c r="C30" s="1">
        <f t="shared" si="0"/>
        <v>1.9075997083041389E-3</v>
      </c>
      <c r="D30" s="1">
        <f t="shared" si="1"/>
        <v>5.8686674572085415E-2</v>
      </c>
      <c r="E30" s="21">
        <f t="shared" si="2"/>
        <v>1.907601999046804E-4</v>
      </c>
    </row>
    <row r="31" spans="2:5" x14ac:dyDescent="0.25">
      <c r="B31" s="1">
        <v>0.57999999999999996</v>
      </c>
      <c r="C31" s="1">
        <f t="shared" si="0"/>
        <v>2.5675579615788199E-3</v>
      </c>
      <c r="D31" s="1">
        <f t="shared" si="1"/>
        <v>7.8916722698202685E-2</v>
      </c>
      <c r="E31" s="21">
        <f t="shared" si="2"/>
        <v>2.5675635472560611E-4</v>
      </c>
    </row>
    <row r="32" spans="2:5" x14ac:dyDescent="0.25">
      <c r="B32" s="1">
        <v>0.6</v>
      </c>
      <c r="C32" s="1">
        <f t="shared" si="0"/>
        <v>3.2491855281731471E-3</v>
      </c>
      <c r="D32" s="1">
        <f t="shared" si="1"/>
        <v>9.9743173163147403E-2</v>
      </c>
      <c r="E32" s="21">
        <f t="shared" si="2"/>
        <v>3.249196847986786E-4</v>
      </c>
    </row>
    <row r="33" spans="2:5" x14ac:dyDescent="0.25">
      <c r="B33" s="1">
        <v>0.62</v>
      </c>
      <c r="C33" s="1">
        <f t="shared" si="0"/>
        <v>3.9592593997471162E-3</v>
      </c>
      <c r="D33" s="1">
        <f t="shared" si="1"/>
        <v>0.12134668679182356</v>
      </c>
      <c r="E33" s="21">
        <f t="shared" si="2"/>
        <v>3.959279881092985E-4</v>
      </c>
    </row>
    <row r="34" spans="2:5" x14ac:dyDescent="0.25">
      <c r="B34" s="1">
        <v>0.64</v>
      </c>
      <c r="C34" s="1">
        <f t="shared" ref="C34:C52" si="3">ATAN(0.01*TAN(PI()*(B34-0.5)))</f>
        <v>4.7056080801178585E-3</v>
      </c>
      <c r="D34" s="1">
        <f t="shared" ref="D34:D52" si="4">ATAN(0.308*TAN(PI()*(B34-0.5)))</f>
        <v>0.14393158293517527</v>
      </c>
      <c r="E34" s="21">
        <f t="shared" si="2"/>
        <v>4.7056424647979011E-4</v>
      </c>
    </row>
    <row r="35" spans="2:5" x14ac:dyDescent="0.25">
      <c r="B35" s="1">
        <v>0.66</v>
      </c>
      <c r="C35" s="1">
        <f t="shared" si="3"/>
        <v>5.4974911387832802E-3</v>
      </c>
      <c r="D35" s="1">
        <f t="shared" si="4"/>
        <v>0.16773349231798149</v>
      </c>
      <c r="E35" s="21">
        <f t="shared" si="2"/>
        <v>5.4975459680863144E-4</v>
      </c>
    </row>
    <row r="36" spans="2:5" x14ac:dyDescent="0.25">
      <c r="B36" s="1">
        <v>0.68</v>
      </c>
      <c r="C36" s="1">
        <f t="shared" si="3"/>
        <v>6.3461077816252048E-3</v>
      </c>
      <c r="D36" s="1">
        <f t="shared" si="4"/>
        <v>0.19302903106928976</v>
      </c>
      <c r="E36" s="21">
        <f t="shared" si="2"/>
        <v>6.346192123482939E-4</v>
      </c>
    </row>
    <row r="37" spans="2:5" x14ac:dyDescent="0.25">
      <c r="B37" s="1">
        <v>0.7</v>
      </c>
      <c r="C37" s="1">
        <f t="shared" si="3"/>
        <v>7.2652974455431046E-3</v>
      </c>
      <c r="D37" s="1">
        <f t="shared" si="4"/>
        <v>0.22014825819769587</v>
      </c>
      <c r="E37" s="21">
        <f t="shared" si="2"/>
        <v>7.2654240016684199E-4</v>
      </c>
    </row>
    <row r="38" spans="2:5" x14ac:dyDescent="0.25">
      <c r="B38" s="1">
        <v>0.72</v>
      </c>
      <c r="C38" s="1">
        <f t="shared" si="3"/>
        <v>8.2725307449932634E-3</v>
      </c>
      <c r="D38" s="1">
        <f t="shared" si="4"/>
        <v>0.24949095705870314</v>
      </c>
      <c r="E38" s="21">
        <f t="shared" si="2"/>
        <v>8.272717572500723E-4</v>
      </c>
    </row>
    <row r="39" spans="2:5" x14ac:dyDescent="0.25">
      <c r="B39" s="1">
        <v>0.74</v>
      </c>
      <c r="C39" s="1">
        <f t="shared" si="3"/>
        <v>9.3903490389896718E-3</v>
      </c>
      <c r="D39" s="1">
        <f t="shared" si="4"/>
        <v>0.28154816434929675</v>
      </c>
      <c r="E39" s="21">
        <f t="shared" si="2"/>
        <v>9.3906222978384891E-4</v>
      </c>
    </row>
    <row r="40" spans="2:5" x14ac:dyDescent="0.25">
      <c r="B40" s="1">
        <v>0.76</v>
      </c>
      <c r="C40" s="1">
        <f t="shared" si="3"/>
        <v>1.064851590342347E-2</v>
      </c>
      <c r="D40" s="1">
        <f t="shared" si="4"/>
        <v>0.31693087906424794</v>
      </c>
      <c r="E40" s="21">
        <f t="shared" si="2"/>
        <v>1.0648914377978556E-3</v>
      </c>
    </row>
    <row r="41" spans="2:5" x14ac:dyDescent="0.25">
      <c r="B41" s="1">
        <v>0.78</v>
      </c>
      <c r="C41" s="1">
        <f t="shared" si="3"/>
        <v>1.2087334801729537E-2</v>
      </c>
      <c r="D41" s="1">
        <f t="shared" si="4"/>
        <v>0.35640851300956516</v>
      </c>
      <c r="E41" s="21">
        <f t="shared" si="2"/>
        <v>1.2087917616561479E-3</v>
      </c>
    </row>
    <row r="42" spans="2:5" x14ac:dyDescent="0.25">
      <c r="B42" s="1">
        <v>0.8</v>
      </c>
      <c r="C42" s="1">
        <f t="shared" si="3"/>
        <v>1.3762950151712611E-2</v>
      </c>
      <c r="D42" s="1">
        <f t="shared" si="4"/>
        <v>0.40096029582952925</v>
      </c>
      <c r="E42" s="21">
        <f t="shared" si="2"/>
        <v>1.3763810513203831E-3</v>
      </c>
    </row>
    <row r="43" spans="2:5" x14ac:dyDescent="0.25">
      <c r="B43" s="1">
        <v>0.82</v>
      </c>
      <c r="C43" s="1">
        <f t="shared" si="3"/>
        <v>1.5756174609781785E-2</v>
      </c>
      <c r="D43" s="1">
        <f t="shared" si="4"/>
        <v>0.45184315990943752</v>
      </c>
      <c r="E43" s="21">
        <f t="shared" si="2"/>
        <v>1.5757465557864273E-3</v>
      </c>
    </row>
    <row r="44" spans="2:5" x14ac:dyDescent="0.25">
      <c r="B44" s="1">
        <v>0.84</v>
      </c>
      <c r="C44" s="1">
        <f t="shared" si="3"/>
        <v>1.8187926681250459E-2</v>
      </c>
      <c r="D44" s="1">
        <f t="shared" si="4"/>
        <v>0.51067855755553127</v>
      </c>
      <c r="E44" s="21">
        <f t="shared" si="2"/>
        <v>1.8189912410953054E-3</v>
      </c>
    </row>
    <row r="45" spans="2:5" x14ac:dyDescent="0.25">
      <c r="B45" s="1">
        <v>0.86</v>
      </c>
      <c r="C45" s="1">
        <f t="shared" si="3"/>
        <v>2.1247883541922426E-2</v>
      </c>
      <c r="D45" s="1">
        <f t="shared" si="4"/>
        <v>0.57955548835427451</v>
      </c>
      <c r="E45" s="21">
        <f t="shared" si="2"/>
        <v>2.1251049741096684E-3</v>
      </c>
    </row>
    <row r="46" spans="2:5" x14ac:dyDescent="0.25">
      <c r="B46" s="1">
        <v>0.88</v>
      </c>
      <c r="C46" s="1">
        <f t="shared" si="3"/>
        <v>2.5251748259399649E-2</v>
      </c>
      <c r="D46" s="1">
        <f t="shared" si="4"/>
        <v>0.66113127995272591</v>
      </c>
      <c r="E46" s="21">
        <f t="shared" si="2"/>
        <v>2.5257063187780746E-3</v>
      </c>
    </row>
    <row r="47" spans="2:5" x14ac:dyDescent="0.25">
      <c r="B47" s="1">
        <v>0.9</v>
      </c>
      <c r="C47" s="1">
        <f t="shared" si="3"/>
        <v>3.0767123478400899E-2</v>
      </c>
      <c r="D47" s="1">
        <f t="shared" si="4"/>
        <v>0.75867175946611631</v>
      </c>
      <c r="E47" s="21">
        <f t="shared" si="2"/>
        <v>3.077673819818182E-3</v>
      </c>
    </row>
    <row r="48" spans="2:5" x14ac:dyDescent="0.25">
      <c r="B48" s="1">
        <v>0.92</v>
      </c>
      <c r="C48" s="1">
        <f t="shared" si="3"/>
        <v>3.8927753306885998E-2</v>
      </c>
      <c r="D48" s="1">
        <f t="shared" si="4"/>
        <v>0.87588621161479185</v>
      </c>
      <c r="E48" s="21">
        <f t="shared" si="2"/>
        <v>3.8947231619625316E-3</v>
      </c>
    </row>
    <row r="49" spans="2:5" x14ac:dyDescent="0.25">
      <c r="B49" s="1">
        <v>0.94</v>
      </c>
      <c r="C49" s="1">
        <f t="shared" si="3"/>
        <v>5.2373895576055235E-2</v>
      </c>
      <c r="D49" s="1">
        <f t="shared" si="4"/>
        <v>1.0162693097703939</v>
      </c>
      <c r="E49" s="21">
        <f>ATAN(0.001*TAN(PI()*(B49-0.5)))</f>
        <v>5.2421355626493561E-3</v>
      </c>
    </row>
    <row r="50" spans="2:5" x14ac:dyDescent="0.25">
      <c r="B50" s="1">
        <v>0.96</v>
      </c>
      <c r="C50" s="1">
        <f t="shared" si="3"/>
        <v>7.89934343802009E-2</v>
      </c>
      <c r="D50" s="1">
        <f t="shared" si="4"/>
        <v>1.1815618552565648</v>
      </c>
      <c r="E50" s="21">
        <f t="shared" si="2"/>
        <v>7.9156497591912553E-3</v>
      </c>
    </row>
    <row r="51" spans="2:5" x14ac:dyDescent="0.25">
      <c r="B51" s="1">
        <v>0.98</v>
      </c>
      <c r="C51" s="1">
        <f t="shared" si="3"/>
        <v>0.15762686445889482</v>
      </c>
      <c r="D51" s="1">
        <f t="shared" si="4"/>
        <v>1.3692999251754721</v>
      </c>
      <c r="E51" s="21">
        <f t="shared" si="2"/>
        <v>1.5893206532368167E-2</v>
      </c>
    </row>
    <row r="52" spans="2:5" x14ac:dyDescent="0.25">
      <c r="B52" s="1">
        <v>1</v>
      </c>
      <c r="C52" s="1">
        <f t="shared" si="3"/>
        <v>1.5707963267948906</v>
      </c>
      <c r="D52" s="1">
        <f t="shared" si="4"/>
        <v>1.5707963267948963</v>
      </c>
      <c r="E52" s="21">
        <f t="shared" si="2"/>
        <v>1.5707963267948353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B14" sqref="B14:I16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</row>
    <row r="6" spans="1:23" x14ac:dyDescent="0.25">
      <c r="B6" s="21">
        <v>1</v>
      </c>
      <c r="C6" s="21">
        <v>1430000000000000</v>
      </c>
      <c r="D6" s="21">
        <v>9.1800000000000007E-3</v>
      </c>
      <c r="E6" s="21">
        <v>1</v>
      </c>
      <c r="F6" s="21">
        <v>9.1800000000000007E-3</v>
      </c>
      <c r="G6" s="21">
        <v>1</v>
      </c>
      <c r="H6" s="21">
        <f>H7</f>
        <v>0.47345653191270098</v>
      </c>
      <c r="I6" s="21"/>
      <c r="J6" s="21"/>
      <c r="K6" s="21"/>
      <c r="L6" s="21"/>
      <c r="O6" s="21"/>
    </row>
    <row r="7" spans="1:23" x14ac:dyDescent="0.25">
      <c r="B7" s="21">
        <f t="shared" ref="B7:B8" si="0">C7*70</f>
        <v>1.001E+20</v>
      </c>
      <c r="C7" s="21">
        <v>1.43E+18</v>
      </c>
      <c r="D7" s="21">
        <v>9.1800000000000007E-3</v>
      </c>
      <c r="E7" s="21">
        <f>B7/550</f>
        <v>1.82E+17</v>
      </c>
      <c r="F7" s="21">
        <v>9.1800000000000007E-3</v>
      </c>
      <c r="G7" s="21">
        <f>B7/50000</f>
        <v>2002000000000000</v>
      </c>
      <c r="H7" s="21">
        <f>11331000000000*G7^-0.87436</f>
        <v>0.47345653191270098</v>
      </c>
      <c r="I7" s="21"/>
      <c r="J7" s="21"/>
      <c r="K7" s="21"/>
      <c r="L7" s="21"/>
      <c r="O7" s="21"/>
    </row>
    <row r="8" spans="1:23" x14ac:dyDescent="0.25">
      <c r="B8" s="21">
        <f t="shared" si="0"/>
        <v>1.001E+25</v>
      </c>
      <c r="C8" s="21">
        <v>1.4299999999999999E+23</v>
      </c>
      <c r="D8" s="21">
        <v>3.9000000000000002E-7</v>
      </c>
      <c r="E8" s="21">
        <f>B8/550</f>
        <v>1.82E+22</v>
      </c>
      <c r="F8" s="21">
        <v>3.9000000000000002E-7</v>
      </c>
      <c r="G8" s="21">
        <f>B8/50000</f>
        <v>2.002E+20</v>
      </c>
      <c r="H8" s="21">
        <f>11331000000000*G8^-0.87436</f>
        <v>2.0113150928700546E-5</v>
      </c>
      <c r="I8" s="21"/>
      <c r="J8" s="21"/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53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1.0031000000000001E+23</v>
      </c>
      <c r="M14" s="20" t="s">
        <v>20</v>
      </c>
      <c r="N14" s="20" t="s">
        <v>37</v>
      </c>
      <c r="P14" s="21">
        <f>$B$10/$B$11*P15</f>
        <v>3.0093000000000002E+23</v>
      </c>
      <c r="Q14" s="21">
        <f>$B$10/$B$11*Q15</f>
        <v>1.3848444876244586E+24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f>F14*$B$11/$B$10</f>
        <v>4231.4647377938509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424458.22784810123</v>
      </c>
      <c r="M15" s="20" t="s">
        <v>10</v>
      </c>
      <c r="N15" s="20" t="s">
        <v>28</v>
      </c>
      <c r="P15" s="21">
        <f>L15*3</f>
        <v>1273374.6835443038</v>
      </c>
      <c r="Q15" s="21">
        <v>5859920.6167110903</v>
      </c>
    </row>
    <row r="16" spans="1:23" x14ac:dyDescent="0.25">
      <c r="B16" s="21">
        <v>8.0669000000000001E-3</v>
      </c>
      <c r="C16" s="20" t="s">
        <v>21</v>
      </c>
      <c r="D16" s="20" t="s">
        <v>29</v>
      </c>
      <c r="F16" s="21">
        <v>1.1360000000000001E-3</v>
      </c>
      <c r="G16" s="20" t="s">
        <v>21</v>
      </c>
      <c r="H16" s="20" t="s">
        <v>29</v>
      </c>
      <c r="I16" s="21">
        <v>1.5640000000000001E-4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1.8468522198E-4</v>
      </c>
      <c r="C17" s="20" t="s">
        <v>8</v>
      </c>
      <c r="D17" s="20" t="s">
        <v>38</v>
      </c>
      <c r="F17" s="21">
        <f>F16*$B$10*4.14E-20</f>
        <v>2.6007811200000002E-5</v>
      </c>
      <c r="G17" s="20" t="s">
        <v>8</v>
      </c>
      <c r="H17" s="20" t="s">
        <v>38</v>
      </c>
      <c r="I17" s="21">
        <f>I16*$B$10*4.14E-20</f>
        <v>3.58065288E-6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/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0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0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0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54</v>
      </c>
      <c r="B22" s="24"/>
      <c r="C22" s="20" t="s">
        <v>8</v>
      </c>
      <c r="F22" s="24"/>
      <c r="G22" s="20" t="s">
        <v>8</v>
      </c>
      <c r="I22" s="24"/>
      <c r="J22" s="20" t="s">
        <v>8</v>
      </c>
      <c r="L22" s="24"/>
      <c r="M22" s="20" t="s">
        <v>8</v>
      </c>
      <c r="P22" s="24"/>
      <c r="Q22" s="24"/>
    </row>
    <row r="23" spans="1:17" x14ac:dyDescent="0.25">
      <c r="B23" s="23">
        <f>B22/4.14E-20</f>
        <v>0</v>
      </c>
      <c r="C23" s="20" t="s">
        <v>32</v>
      </c>
      <c r="F23" s="23">
        <f>F22/4.14E-20</f>
        <v>0</v>
      </c>
      <c r="G23" s="20" t="s">
        <v>32</v>
      </c>
      <c r="I23" s="23">
        <f>I22/4.14E-20</f>
        <v>0</v>
      </c>
      <c r="J23" s="20" t="s">
        <v>32</v>
      </c>
      <c r="L23" s="23">
        <f>L22/4.14E-20</f>
        <v>0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0</v>
      </c>
      <c r="C24" s="20" t="s">
        <v>21</v>
      </c>
      <c r="F24" s="23">
        <f>F23/$B$10</f>
        <v>0</v>
      </c>
      <c r="G24" s="20" t="s">
        <v>21</v>
      </c>
      <c r="I24" s="23">
        <f>I23/$B$10</f>
        <v>0</v>
      </c>
      <c r="J24" s="20" t="s">
        <v>21</v>
      </c>
      <c r="L24" s="23">
        <f>L23/$B$10</f>
        <v>0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</v>
      </c>
      <c r="C25" s="20" t="s">
        <v>31</v>
      </c>
      <c r="F25" s="25">
        <f>F24/F$16</f>
        <v>0</v>
      </c>
      <c r="G25" s="20" t="s">
        <v>31</v>
      </c>
      <c r="I25" s="25">
        <f>I24/I$16</f>
        <v>0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55</v>
      </c>
      <c r="B26" s="24"/>
      <c r="C26" s="20" t="s">
        <v>8</v>
      </c>
      <c r="F26" s="24"/>
      <c r="G26" s="20" t="s">
        <v>8</v>
      </c>
      <c r="I26" s="24"/>
      <c r="J26" s="20" t="s">
        <v>8</v>
      </c>
      <c r="L26" s="24"/>
      <c r="M26" s="20" t="s">
        <v>8</v>
      </c>
      <c r="P26" s="24"/>
      <c r="Q26" s="24"/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0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0</v>
      </c>
      <c r="Q27" s="23">
        <f>Q26/4.14E-20</f>
        <v>0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0</v>
      </c>
      <c r="J28" s="20" t="s">
        <v>21</v>
      </c>
      <c r="L28" s="23">
        <f>L27/$B$10</f>
        <v>0</v>
      </c>
      <c r="M28" s="20" t="s">
        <v>21</v>
      </c>
      <c r="P28" s="23">
        <f>P27/$B$10</f>
        <v>0</v>
      </c>
      <c r="Q28" s="23">
        <f>Q27/$B$10</f>
        <v>0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0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51</v>
      </c>
      <c r="B30" s="24"/>
      <c r="C30" s="20" t="s">
        <v>8</v>
      </c>
      <c r="F30" s="24"/>
      <c r="G30" s="20" t="s">
        <v>8</v>
      </c>
      <c r="I30" s="24"/>
      <c r="J30" s="20" t="s">
        <v>8</v>
      </c>
      <c r="L30" s="24"/>
      <c r="M30" s="20" t="s">
        <v>8</v>
      </c>
      <c r="P30" s="24"/>
      <c r="Q30" s="24"/>
    </row>
    <row r="31" spans="1:17" x14ac:dyDescent="0.25">
      <c r="A31" s="20" t="s">
        <v>52</v>
      </c>
      <c r="B31" s="23">
        <f>B30/4.14E-20</f>
        <v>0</v>
      </c>
      <c r="C31" s="20" t="s">
        <v>32</v>
      </c>
      <c r="F31" s="23">
        <f>F30/4.14E-20</f>
        <v>0</v>
      </c>
      <c r="G31" s="20" t="s">
        <v>32</v>
      </c>
      <c r="I31" s="23">
        <f>I30/4.14E-20</f>
        <v>0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0</v>
      </c>
      <c r="C32" s="20" t="s">
        <v>21</v>
      </c>
      <c r="F32" s="23">
        <f>F31/$B$10</f>
        <v>0</v>
      </c>
      <c r="G32" s="20" t="s">
        <v>21</v>
      </c>
      <c r="I32" s="23">
        <f>I31/$B$10</f>
        <v>0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0</v>
      </c>
      <c r="C33" s="20" t="s">
        <v>31</v>
      </c>
      <c r="F33" s="25">
        <f>F32/F$16</f>
        <v>0</v>
      </c>
      <c r="G33" s="20" t="s">
        <v>31</v>
      </c>
      <c r="I33" s="25">
        <f>I32/I$16</f>
        <v>0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L15" sqref="L15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</row>
    <row r="6" spans="1:23" x14ac:dyDescent="0.25">
      <c r="B6" s="21">
        <v>1</v>
      </c>
      <c r="C6" s="21">
        <v>1430000000000000</v>
      </c>
      <c r="D6" s="21">
        <v>5.1999999999999998E-3</v>
      </c>
      <c r="E6" s="21">
        <v>1</v>
      </c>
      <c r="F6" s="21">
        <v>5.1999999999999998E-3</v>
      </c>
      <c r="G6" s="21">
        <v>1</v>
      </c>
      <c r="H6" s="21">
        <f>H7</f>
        <v>0.19875307206599252</v>
      </c>
      <c r="I6" s="21"/>
      <c r="J6" s="21"/>
      <c r="K6" s="21"/>
      <c r="L6" s="21"/>
      <c r="O6" s="21"/>
    </row>
    <row r="7" spans="1:23" x14ac:dyDescent="0.25">
      <c r="B7" s="21">
        <f t="shared" ref="B7:B8" si="0">C7*70</f>
        <v>1.001E+20</v>
      </c>
      <c r="C7" s="21">
        <v>1.43E+18</v>
      </c>
      <c r="D7" s="21">
        <v>5.1999999999999998E-3</v>
      </c>
      <c r="E7" s="21">
        <f>B7/550</f>
        <v>1.82E+17</v>
      </c>
      <c r="F7" s="21">
        <v>5.1999999999999998E-3</v>
      </c>
      <c r="G7" s="21">
        <f>B7/50000</f>
        <v>2002000000000000</v>
      </c>
      <c r="H7" s="21">
        <f>456830000000*G7^-0.80786</f>
        <v>0.19875307206599252</v>
      </c>
      <c r="I7" s="21"/>
      <c r="J7" s="21"/>
      <c r="K7" s="21"/>
      <c r="L7" s="21"/>
      <c r="O7" s="21"/>
    </row>
    <row r="8" spans="1:23" x14ac:dyDescent="0.25">
      <c r="B8" s="21">
        <f t="shared" si="0"/>
        <v>1.001E+25</v>
      </c>
      <c r="C8" s="21">
        <v>1.4299999999999999E+23</v>
      </c>
      <c r="D8" s="21">
        <v>4.75E-7</v>
      </c>
      <c r="E8" s="21">
        <f>B8/550</f>
        <v>1.82E+22</v>
      </c>
      <c r="F8" s="21">
        <v>4.75E-7</v>
      </c>
      <c r="G8" s="21">
        <f>B8/50000</f>
        <v>2.002E+20</v>
      </c>
      <c r="H8" s="21">
        <f>456830000000*G8^-0.80786</f>
        <v>1.8155735625289133E-5</v>
      </c>
      <c r="I8" s="21"/>
      <c r="J8" s="21"/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56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9.9999999999999992E+22</v>
      </c>
      <c r="M14" s="20" t="s">
        <v>20</v>
      </c>
      <c r="N14" s="20" t="s">
        <v>37</v>
      </c>
      <c r="P14" s="21">
        <f>$B$10/$B$11*P15</f>
        <v>2.9999999999999997E+23</v>
      </c>
      <c r="Q14" s="21">
        <f>$B$10/$B$11*Q15</f>
        <v>1.3848444876244586E+24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f>F14*$B$11/$B$10</f>
        <v>4231.4647377938509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423146.47377938509</v>
      </c>
      <c r="M15" s="20" t="s">
        <v>10</v>
      </c>
      <c r="N15" s="20" t="s">
        <v>28</v>
      </c>
      <c r="P15" s="21">
        <f>L15*3</f>
        <v>1269439.4213381554</v>
      </c>
      <c r="Q15" s="21">
        <v>5859920.6167110903</v>
      </c>
    </row>
    <row r="16" spans="1:23" x14ac:dyDescent="0.25">
      <c r="B16" s="21">
        <v>4.7289999999999997E-3</v>
      </c>
      <c r="C16" s="20" t="s">
        <v>21</v>
      </c>
      <c r="D16" s="20" t="s">
        <v>29</v>
      </c>
      <c r="F16" s="21">
        <v>7.5679999999999996E-4</v>
      </c>
      <c r="G16" s="20" t="s">
        <v>21</v>
      </c>
      <c r="H16" s="20" t="s">
        <v>29</v>
      </c>
      <c r="I16" s="21">
        <v>1.211E-4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1.0826667180000001E-4</v>
      </c>
      <c r="C17" s="20" t="s">
        <v>8</v>
      </c>
      <c r="D17" s="20" t="s">
        <v>38</v>
      </c>
      <c r="F17" s="21">
        <f>F16*$B$10*4.14E-20</f>
        <v>1.7326330559999999E-5</v>
      </c>
      <c r="G17" s="20" t="s">
        <v>8</v>
      </c>
      <c r="H17" s="20" t="s">
        <v>38</v>
      </c>
      <c r="I17" s="21">
        <f>I16*$B$10*4.14E-20</f>
        <v>2.7724876200000001E-6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/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0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0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0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54</v>
      </c>
      <c r="B22" s="24"/>
      <c r="C22" s="20" t="s">
        <v>8</v>
      </c>
      <c r="F22" s="24"/>
      <c r="G22" s="20" t="s">
        <v>8</v>
      </c>
      <c r="I22" s="24"/>
      <c r="J22" s="20" t="s">
        <v>8</v>
      </c>
      <c r="L22" s="24"/>
      <c r="M22" s="20" t="s">
        <v>8</v>
      </c>
      <c r="P22" s="24"/>
      <c r="Q22" s="24"/>
    </row>
    <row r="23" spans="1:17" x14ac:dyDescent="0.25">
      <c r="B23" s="23">
        <f>B22/4.14E-20</f>
        <v>0</v>
      </c>
      <c r="C23" s="20" t="s">
        <v>32</v>
      </c>
      <c r="F23" s="23">
        <f>F22/4.14E-20</f>
        <v>0</v>
      </c>
      <c r="G23" s="20" t="s">
        <v>32</v>
      </c>
      <c r="I23" s="23">
        <f>I22/4.14E-20</f>
        <v>0</v>
      </c>
      <c r="J23" s="20" t="s">
        <v>32</v>
      </c>
      <c r="L23" s="23">
        <f>L22/4.14E-20</f>
        <v>0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0</v>
      </c>
      <c r="C24" s="20" t="s">
        <v>21</v>
      </c>
      <c r="F24" s="23">
        <f>F23/$B$10</f>
        <v>0</v>
      </c>
      <c r="G24" s="20" t="s">
        <v>21</v>
      </c>
      <c r="I24" s="23">
        <f>I23/$B$10</f>
        <v>0</v>
      </c>
      <c r="J24" s="20" t="s">
        <v>21</v>
      </c>
      <c r="L24" s="23">
        <f>L23/$B$10</f>
        <v>0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</v>
      </c>
      <c r="C25" s="20" t="s">
        <v>31</v>
      </c>
      <c r="F25" s="25">
        <f>F24/F$16</f>
        <v>0</v>
      </c>
      <c r="G25" s="20" t="s">
        <v>31</v>
      </c>
      <c r="I25" s="25">
        <f>I24/I$16</f>
        <v>0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55</v>
      </c>
      <c r="B26" s="24"/>
      <c r="C26" s="20" t="s">
        <v>8</v>
      </c>
      <c r="F26" s="24"/>
      <c r="G26" s="20" t="s">
        <v>8</v>
      </c>
      <c r="I26" s="24"/>
      <c r="J26" s="20" t="s">
        <v>8</v>
      </c>
      <c r="L26" s="24"/>
      <c r="M26" s="20" t="s">
        <v>8</v>
      </c>
      <c r="P26" s="24"/>
      <c r="Q26" s="24"/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0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0</v>
      </c>
      <c r="Q27" s="23">
        <f>Q26/4.14E-20</f>
        <v>0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0</v>
      </c>
      <c r="J28" s="20" t="s">
        <v>21</v>
      </c>
      <c r="L28" s="23">
        <f>L27/$B$10</f>
        <v>0</v>
      </c>
      <c r="M28" s="20" t="s">
        <v>21</v>
      </c>
      <c r="P28" s="23">
        <f>P27/$B$10</f>
        <v>0</v>
      </c>
      <c r="Q28" s="23">
        <f>Q27/$B$10</f>
        <v>0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0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51</v>
      </c>
      <c r="B30" s="24"/>
      <c r="C30" s="20" t="s">
        <v>8</v>
      </c>
      <c r="F30" s="24"/>
      <c r="G30" s="20" t="s">
        <v>8</v>
      </c>
      <c r="I30" s="24"/>
      <c r="J30" s="20" t="s">
        <v>8</v>
      </c>
      <c r="L30" s="24"/>
      <c r="M30" s="20" t="s">
        <v>8</v>
      </c>
      <c r="P30" s="24"/>
      <c r="Q30" s="24"/>
    </row>
    <row r="31" spans="1:17" x14ac:dyDescent="0.25">
      <c r="A31" s="20" t="s">
        <v>52</v>
      </c>
      <c r="B31" s="23">
        <f>B30/4.14E-20</f>
        <v>0</v>
      </c>
      <c r="C31" s="20" t="s">
        <v>32</v>
      </c>
      <c r="F31" s="23">
        <f>F30/4.14E-20</f>
        <v>0</v>
      </c>
      <c r="G31" s="20" t="s">
        <v>32</v>
      </c>
      <c r="I31" s="23">
        <f>I30/4.14E-20</f>
        <v>0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0</v>
      </c>
      <c r="C32" s="20" t="s">
        <v>21</v>
      </c>
      <c r="F32" s="23">
        <f>F31/$B$10</f>
        <v>0</v>
      </c>
      <c r="G32" s="20" t="s">
        <v>21</v>
      </c>
      <c r="I32" s="23">
        <f>I31/$B$10</f>
        <v>0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0</v>
      </c>
      <c r="C33" s="20" t="s">
        <v>31</v>
      </c>
      <c r="F33" s="25">
        <f>F32/F$16</f>
        <v>0</v>
      </c>
      <c r="G33" s="20" t="s">
        <v>31</v>
      </c>
      <c r="I33" s="25">
        <f>I32/I$16</f>
        <v>0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I56" sqref="I56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</row>
    <row r="6" spans="1:23" x14ac:dyDescent="0.25">
      <c r="B6" s="21">
        <v>1</v>
      </c>
      <c r="C6" s="21">
        <v>1430000000000000</v>
      </c>
      <c r="D6" s="21">
        <v>3.01E-4</v>
      </c>
      <c r="E6" s="21">
        <v>1</v>
      </c>
      <c r="F6" s="21">
        <v>3.01E-4</v>
      </c>
      <c r="G6" s="21">
        <v>1</v>
      </c>
      <c r="H6" s="21">
        <f>H7</f>
        <v>1.3407072058671306E-2</v>
      </c>
      <c r="I6" s="21"/>
      <c r="J6" s="21"/>
      <c r="K6" s="21"/>
      <c r="L6" s="21"/>
      <c r="O6" s="21"/>
    </row>
    <row r="7" spans="1:23" x14ac:dyDescent="0.25">
      <c r="B7" s="21">
        <f t="shared" ref="B7:B8" si="0">C7*70</f>
        <v>1.001E+20</v>
      </c>
      <c r="C7" s="21">
        <v>1.43E+18</v>
      </c>
      <c r="D7" s="21">
        <v>3.01E-4</v>
      </c>
      <c r="E7" s="21">
        <f>B7/550</f>
        <v>1.82E+17</v>
      </c>
      <c r="F7" s="21">
        <v>3.01E-4</v>
      </c>
      <c r="G7" s="21">
        <f>B7/50000</f>
        <v>2002000000000000</v>
      </c>
      <c r="H7" s="21">
        <f>101920000000*G7^-0.84181</f>
        <v>1.3407072058671306E-2</v>
      </c>
      <c r="I7" s="21"/>
      <c r="J7" s="21"/>
      <c r="K7" s="21"/>
      <c r="L7" s="21"/>
      <c r="O7" s="21"/>
    </row>
    <row r="8" spans="1:23" x14ac:dyDescent="0.25">
      <c r="B8" s="21">
        <f t="shared" si="0"/>
        <v>1.001E+25</v>
      </c>
      <c r="C8" s="21">
        <v>1.4299999999999999E+23</v>
      </c>
      <c r="D8" s="21">
        <v>1.8600000000000001E-8</v>
      </c>
      <c r="E8" s="21">
        <f>B8/550</f>
        <v>1.82E+22</v>
      </c>
      <c r="F8" s="21">
        <v>1.8600000000000001E-8</v>
      </c>
      <c r="G8" s="21">
        <f>B8/50000</f>
        <v>2.002E+20</v>
      </c>
      <c r="H8" s="21">
        <f>101920000000*G8^-0.84181</f>
        <v>8.2848365281331879E-7</v>
      </c>
      <c r="I8" s="21"/>
      <c r="J8" s="21"/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56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9.9999999999999992E+22</v>
      </c>
      <c r="M14" s="20" t="s">
        <v>20</v>
      </c>
      <c r="N14" s="20" t="s">
        <v>37</v>
      </c>
      <c r="P14" s="21">
        <f>$B$10/$B$11*P15</f>
        <v>9.9999999999999992E+22</v>
      </c>
      <c r="Q14" s="21">
        <f>$B$10/$B$11*Q15</f>
        <v>1.381668372818821E+24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f>F14*$B$11/$B$10</f>
        <v>4231.4647377938509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423146.47377938509</v>
      </c>
      <c r="M15" s="20" t="s">
        <v>10</v>
      </c>
      <c r="N15" s="20" t="s">
        <v>28</v>
      </c>
      <c r="P15" s="21">
        <f>I15*10</f>
        <v>423146.47377938509</v>
      </c>
      <c r="Q15" s="21">
        <v>5846480.9989078501</v>
      </c>
    </row>
    <row r="16" spans="1:23" x14ac:dyDescent="0.25">
      <c r="B16" s="21">
        <v>2.7500000000000002E-4</v>
      </c>
      <c r="C16" s="20" t="s">
        <v>21</v>
      </c>
      <c r="D16" s="20" t="s">
        <v>29</v>
      </c>
      <c r="F16" s="21">
        <v>3.964E-5</v>
      </c>
      <c r="G16" s="20" t="s">
        <v>21</v>
      </c>
      <c r="H16" s="20" t="s">
        <v>29</v>
      </c>
      <c r="I16" s="21">
        <v>5.7810000000000002E-6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6.2959050000000005E-6</v>
      </c>
      <c r="C17" s="20" t="s">
        <v>8</v>
      </c>
      <c r="D17" s="20" t="s">
        <v>38</v>
      </c>
      <c r="F17" s="21">
        <f>F16*$B$10*4.14E-20</f>
        <v>9.0752608800000008E-7</v>
      </c>
      <c r="G17" s="20" t="s">
        <v>8</v>
      </c>
      <c r="H17" s="20" t="s">
        <v>38</v>
      </c>
      <c r="I17" s="21">
        <f>I16*$B$10*4.14E-20</f>
        <v>1.323513702E-7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/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0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0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0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54</v>
      </c>
      <c r="B22" s="24"/>
      <c r="C22" s="20" t="s">
        <v>8</v>
      </c>
      <c r="F22" s="24"/>
      <c r="G22" s="20" t="s">
        <v>8</v>
      </c>
      <c r="I22" s="24"/>
      <c r="J22" s="20" t="s">
        <v>8</v>
      </c>
      <c r="L22" s="24"/>
      <c r="M22" s="20" t="s">
        <v>8</v>
      </c>
      <c r="P22" s="24"/>
      <c r="Q22" s="24"/>
    </row>
    <row r="23" spans="1:17" x14ac:dyDescent="0.25">
      <c r="B23" s="23">
        <f>B22/4.14E-20</f>
        <v>0</v>
      </c>
      <c r="C23" s="20" t="s">
        <v>32</v>
      </c>
      <c r="F23" s="23">
        <f>F22/4.14E-20</f>
        <v>0</v>
      </c>
      <c r="G23" s="20" t="s">
        <v>32</v>
      </c>
      <c r="I23" s="23">
        <f>I22/4.14E-20</f>
        <v>0</v>
      </c>
      <c r="J23" s="20" t="s">
        <v>32</v>
      </c>
      <c r="L23" s="23">
        <f>L22/4.14E-20</f>
        <v>0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0</v>
      </c>
      <c r="C24" s="20" t="s">
        <v>21</v>
      </c>
      <c r="F24" s="23">
        <f>F23/$B$10</f>
        <v>0</v>
      </c>
      <c r="G24" s="20" t="s">
        <v>21</v>
      </c>
      <c r="I24" s="23">
        <f>I23/$B$10</f>
        <v>0</v>
      </c>
      <c r="J24" s="20" t="s">
        <v>21</v>
      </c>
      <c r="L24" s="23">
        <f>L23/$B$10</f>
        <v>0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</v>
      </c>
      <c r="C25" s="20" t="s">
        <v>31</v>
      </c>
      <c r="F25" s="25">
        <f>F24/F$16</f>
        <v>0</v>
      </c>
      <c r="G25" s="20" t="s">
        <v>31</v>
      </c>
      <c r="I25" s="25">
        <f>I24/I$16</f>
        <v>0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55</v>
      </c>
      <c r="B26" s="24"/>
      <c r="C26" s="20" t="s">
        <v>8</v>
      </c>
      <c r="F26" s="24"/>
      <c r="G26" s="20" t="s">
        <v>8</v>
      </c>
      <c r="I26" s="24"/>
      <c r="J26" s="20" t="s">
        <v>8</v>
      </c>
      <c r="L26" s="24"/>
      <c r="M26" s="20" t="s">
        <v>8</v>
      </c>
      <c r="P26" s="24"/>
      <c r="Q26" s="24"/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0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0</v>
      </c>
      <c r="Q27" s="23">
        <f>Q26/4.14E-20</f>
        <v>0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0</v>
      </c>
      <c r="J28" s="20" t="s">
        <v>21</v>
      </c>
      <c r="L28" s="23">
        <f>L27/$B$10</f>
        <v>0</v>
      </c>
      <c r="M28" s="20" t="s">
        <v>21</v>
      </c>
      <c r="P28" s="23">
        <f>P27/$B$10</f>
        <v>0</v>
      </c>
      <c r="Q28" s="23">
        <f>Q27/$B$10</f>
        <v>0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0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51</v>
      </c>
      <c r="B30" s="24"/>
      <c r="C30" s="20" t="s">
        <v>8</v>
      </c>
      <c r="F30" s="24"/>
      <c r="G30" s="20" t="s">
        <v>8</v>
      </c>
      <c r="I30" s="24"/>
      <c r="J30" s="20" t="s">
        <v>8</v>
      </c>
      <c r="L30" s="24"/>
      <c r="M30" s="20" t="s">
        <v>8</v>
      </c>
      <c r="P30" s="24"/>
      <c r="Q30" s="24"/>
    </row>
    <row r="31" spans="1:17" x14ac:dyDescent="0.25">
      <c r="A31" s="20" t="s">
        <v>52</v>
      </c>
      <c r="B31" s="23">
        <f>B30/4.14E-20</f>
        <v>0</v>
      </c>
      <c r="C31" s="20" t="s">
        <v>32</v>
      </c>
      <c r="F31" s="23">
        <f>F30/4.14E-20</f>
        <v>0</v>
      </c>
      <c r="G31" s="20" t="s">
        <v>32</v>
      </c>
      <c r="I31" s="23">
        <f>I30/4.14E-20</f>
        <v>0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0</v>
      </c>
      <c r="C32" s="20" t="s">
        <v>21</v>
      </c>
      <c r="F32" s="23">
        <f>F31/$B$10</f>
        <v>0</v>
      </c>
      <c r="G32" s="20" t="s">
        <v>21</v>
      </c>
      <c r="I32" s="23">
        <f>I31/$B$10</f>
        <v>0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0</v>
      </c>
      <c r="C33" s="20" t="s">
        <v>31</v>
      </c>
      <c r="F33" s="25">
        <f>F32/F$16</f>
        <v>0</v>
      </c>
      <c r="G33" s="20" t="s">
        <v>31</v>
      </c>
      <c r="I33" s="25">
        <f>I32/I$16</f>
        <v>0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87"/>
  <sheetViews>
    <sheetView tabSelected="1" zoomScale="85" zoomScaleNormal="85" workbookViewId="0">
      <selection activeCell="V10" sqref="V10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9.140625" style="20"/>
    <col min="8" max="8" width="10" style="20" bestFit="1" customWidth="1"/>
    <col min="9" max="9" width="13.7109375" style="20" bestFit="1" customWidth="1"/>
    <col min="10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S3" s="21"/>
      <c r="T3" s="21"/>
      <c r="U3" s="21"/>
      <c r="V3" s="21"/>
      <c r="W3" s="21"/>
    </row>
    <row r="4" spans="1:23" x14ac:dyDescent="0.25">
      <c r="B4" s="28">
        <v>17689.906700000003</v>
      </c>
      <c r="C4" s="20" t="s">
        <v>18</v>
      </c>
      <c r="D4" s="20" t="s">
        <v>48</v>
      </c>
      <c r="S4" s="21"/>
      <c r="T4" s="21"/>
      <c r="U4" s="21"/>
      <c r="V4" s="21"/>
      <c r="W4" s="21"/>
    </row>
    <row r="5" spans="1:23" x14ac:dyDescent="0.25">
      <c r="B5" s="28">
        <v>4528.0357000000067</v>
      </c>
      <c r="C5" s="20" t="s">
        <v>18</v>
      </c>
      <c r="D5" s="20" t="s">
        <v>49</v>
      </c>
      <c r="Q5" s="21"/>
      <c r="R5" s="21"/>
      <c r="S5" s="21"/>
      <c r="T5" s="21"/>
      <c r="U5" s="21"/>
      <c r="V5" s="21"/>
      <c r="W5" s="21"/>
    </row>
    <row r="6" spans="1:23" x14ac:dyDescent="0.25">
      <c r="D6" s="21"/>
    </row>
    <row r="7" spans="1:23" x14ac:dyDescent="0.25">
      <c r="C7" s="20" t="s">
        <v>44</v>
      </c>
      <c r="D7" s="21"/>
      <c r="E7" s="20" t="s">
        <v>54</v>
      </c>
      <c r="G7" s="20" t="s">
        <v>55</v>
      </c>
    </row>
    <row r="8" spans="1:23" x14ac:dyDescent="0.25">
      <c r="B8" s="21">
        <v>1</v>
      </c>
      <c r="C8" s="21">
        <v>1430000000000000</v>
      </c>
      <c r="D8" s="21">
        <f>D9</f>
        <v>4.4999999999999998E-2</v>
      </c>
      <c r="E8" s="21">
        <v>1</v>
      </c>
      <c r="F8" s="21">
        <f>D8</f>
        <v>4.4999999999999998E-2</v>
      </c>
      <c r="G8" s="21">
        <v>1</v>
      </c>
      <c r="H8" s="21">
        <f>H9</f>
        <v>2.3548793578135392</v>
      </c>
      <c r="I8" s="21"/>
      <c r="J8" s="21"/>
      <c r="K8" s="21"/>
      <c r="L8" s="21"/>
      <c r="O8" s="21"/>
    </row>
    <row r="9" spans="1:23" x14ac:dyDescent="0.25">
      <c r="B9" s="21">
        <f t="shared" ref="B9" si="0">C9*70</f>
        <v>1.001E+20</v>
      </c>
      <c r="C9" s="21">
        <v>1.43E+18</v>
      </c>
      <c r="D9" s="21">
        <f>B18</f>
        <v>4.4999999999999998E-2</v>
      </c>
      <c r="E9" s="1">
        <f>B9/4000</f>
        <v>2.5025E+16</v>
      </c>
      <c r="F9" s="21">
        <f t="shared" ref="F9:F10" si="1">D9</f>
        <v>4.4999999999999998E-2</v>
      </c>
      <c r="G9" s="21">
        <f>B9/500000</f>
        <v>200200000000000</v>
      </c>
      <c r="H9" s="21">
        <f>1236000000000*G9^-0.8195</f>
        <v>2.3548793578135392</v>
      </c>
      <c r="I9" s="21"/>
      <c r="J9" s="21"/>
      <c r="K9" s="21"/>
      <c r="L9" s="21"/>
      <c r="O9" s="21"/>
    </row>
    <row r="10" spans="1:23" x14ac:dyDescent="0.25">
      <c r="B10" s="21">
        <v>1E+22</v>
      </c>
      <c r="C10" s="21">
        <v>1.4299999999999999E+23</v>
      </c>
      <c r="D10" s="21">
        <f>I18</f>
        <v>1.034E-3</v>
      </c>
      <c r="E10" s="21">
        <f>B10/4000</f>
        <v>2.5E+18</v>
      </c>
      <c r="F10" s="21">
        <f t="shared" si="1"/>
        <v>1.034E-3</v>
      </c>
      <c r="G10" s="21">
        <f>B10/500000</f>
        <v>2E+16</v>
      </c>
      <c r="H10" s="21">
        <f>1236000000000*G10^-0.8195</f>
        <v>5.41158381608388E-2</v>
      </c>
      <c r="I10" s="21"/>
      <c r="J10" s="21"/>
      <c r="K10" s="21"/>
      <c r="L10" s="21"/>
      <c r="O10" s="21"/>
    </row>
    <row r="11" spans="1:23" x14ac:dyDescent="0.25">
      <c r="R11" s="21"/>
      <c r="S11" s="21"/>
    </row>
    <row r="12" spans="1:23" x14ac:dyDescent="0.25">
      <c r="B12" s="22">
        <v>5.53E+17</v>
      </c>
      <c r="C12" s="20" t="s">
        <v>0</v>
      </c>
      <c r="D12" s="20" t="s">
        <v>26</v>
      </c>
      <c r="R12" s="21"/>
      <c r="S12" s="21"/>
    </row>
    <row r="13" spans="1:23" x14ac:dyDescent="0.25">
      <c r="B13" s="27">
        <f>B3/100</f>
        <v>2.34</v>
      </c>
      <c r="C13" s="20" t="s">
        <v>24</v>
      </c>
      <c r="D13" s="20" t="s">
        <v>25</v>
      </c>
      <c r="R13" s="21"/>
      <c r="S13" s="21"/>
    </row>
    <row r="15" spans="1:23" x14ac:dyDescent="0.25">
      <c r="B15" s="20" t="s">
        <v>39</v>
      </c>
    </row>
    <row r="16" spans="1:23" x14ac:dyDescent="0.25">
      <c r="A16" s="20" t="s">
        <v>45</v>
      </c>
      <c r="B16" s="21">
        <v>1E+20</v>
      </c>
      <c r="C16" s="20" t="s">
        <v>20</v>
      </c>
      <c r="D16" s="20" t="s">
        <v>27</v>
      </c>
      <c r="F16" s="21">
        <v>1E+21</v>
      </c>
      <c r="G16" s="20" t="s">
        <v>20</v>
      </c>
      <c r="H16" s="20" t="s">
        <v>30</v>
      </c>
      <c r="I16" s="21">
        <v>1E+22</v>
      </c>
      <c r="J16" s="20" t="s">
        <v>20</v>
      </c>
      <c r="K16" s="20" t="s">
        <v>37</v>
      </c>
      <c r="L16" s="21">
        <v>9.9999999999999992E+22</v>
      </c>
      <c r="M16" s="20" t="s">
        <v>20</v>
      </c>
      <c r="N16" s="20" t="s">
        <v>37</v>
      </c>
      <c r="P16" s="21">
        <v>9.9999999999999998E+23</v>
      </c>
      <c r="Q16" s="21">
        <v>1.0000000000000001E+25</v>
      </c>
    </row>
    <row r="17" spans="1:17" x14ac:dyDescent="0.25">
      <c r="A17" s="20" t="s">
        <v>46</v>
      </c>
      <c r="B17" s="23">
        <f>B16*$B$13/$B$12</f>
        <v>423.14647377938519</v>
      </c>
      <c r="C17" s="20" t="s">
        <v>10</v>
      </c>
      <c r="D17" s="20" t="s">
        <v>28</v>
      </c>
      <c r="F17" s="23">
        <f>F16*$B$13/$B$12</f>
        <v>4231.4647377938509</v>
      </c>
      <c r="G17" s="20" t="s">
        <v>10</v>
      </c>
      <c r="H17" s="20" t="s">
        <v>28</v>
      </c>
      <c r="I17" s="23">
        <f>I16*$B$13/$B$12</f>
        <v>42314.647377938512</v>
      </c>
      <c r="J17" s="20" t="s">
        <v>10</v>
      </c>
      <c r="K17" s="20" t="s">
        <v>28</v>
      </c>
      <c r="L17" s="23">
        <f>L16*$B$13/$B$12</f>
        <v>423146.47377938509</v>
      </c>
      <c r="M17" s="20" t="s">
        <v>10</v>
      </c>
      <c r="N17" s="20" t="s">
        <v>28</v>
      </c>
      <c r="P17" s="23">
        <f>P16*$B$13/$B$12</f>
        <v>4231464.7377938516</v>
      </c>
      <c r="Q17" s="23">
        <f>Q16*$B$13/$B$12</f>
        <v>42314647.377938516</v>
      </c>
    </row>
    <row r="18" spans="1:17" x14ac:dyDescent="0.25">
      <c r="B18" s="21">
        <v>4.4999999999999998E-2</v>
      </c>
      <c r="C18" s="20" t="s">
        <v>21</v>
      </c>
      <c r="D18" s="20" t="s">
        <v>29</v>
      </c>
      <c r="F18" s="21">
        <v>6.8729999999999998E-3</v>
      </c>
      <c r="G18" s="20" t="s">
        <v>21</v>
      </c>
      <c r="H18" s="20" t="s">
        <v>29</v>
      </c>
      <c r="I18" s="21">
        <v>1.034E-3</v>
      </c>
      <c r="J18" s="20" t="s">
        <v>21</v>
      </c>
      <c r="K18" s="20" t="s">
        <v>29</v>
      </c>
      <c r="L18" s="21"/>
      <c r="M18" s="20" t="s">
        <v>21</v>
      </c>
      <c r="N18" s="20" t="s">
        <v>29</v>
      </c>
    </row>
    <row r="19" spans="1:17" x14ac:dyDescent="0.25">
      <c r="B19" s="21">
        <f>B18*$B$12*4.14E-20</f>
        <v>1.0302390000000001E-3</v>
      </c>
      <c r="C19" s="20" t="s">
        <v>8</v>
      </c>
      <c r="D19" s="20" t="s">
        <v>38</v>
      </c>
      <c r="F19" s="21">
        <f>F18*$B$12*4.14E-20</f>
        <v>1.5735183660000002E-4</v>
      </c>
      <c r="G19" s="20" t="s">
        <v>8</v>
      </c>
      <c r="H19" s="20" t="s">
        <v>38</v>
      </c>
      <c r="I19" s="21">
        <f>I18*$B$12*4.14E-20</f>
        <v>2.3672602800000003E-5</v>
      </c>
      <c r="J19" s="20" t="s">
        <v>8</v>
      </c>
      <c r="K19" s="20" t="s">
        <v>38</v>
      </c>
      <c r="L19" s="21">
        <f>L18*$B$12*4.14E-20</f>
        <v>0</v>
      </c>
      <c r="M19" s="20" t="s">
        <v>8</v>
      </c>
      <c r="N19" s="20" t="s">
        <v>38</v>
      </c>
    </row>
    <row r="20" spans="1:17" x14ac:dyDescent="0.25">
      <c r="A20" s="20" t="s">
        <v>59</v>
      </c>
      <c r="B20" s="24"/>
      <c r="C20" s="20" t="s">
        <v>8</v>
      </c>
      <c r="F20" s="24"/>
      <c r="G20" s="20" t="s">
        <v>8</v>
      </c>
      <c r="H20" s="20" t="s">
        <v>40</v>
      </c>
      <c r="I20" s="24"/>
      <c r="J20" s="20" t="s">
        <v>8</v>
      </c>
      <c r="K20" s="20" t="s">
        <v>40</v>
      </c>
      <c r="L20" s="24"/>
      <c r="M20" s="20" t="s">
        <v>8</v>
      </c>
      <c r="N20" s="20" t="s">
        <v>40</v>
      </c>
      <c r="P20" s="24"/>
      <c r="Q20" s="24"/>
    </row>
    <row r="21" spans="1:17" x14ac:dyDescent="0.25">
      <c r="B21" s="23">
        <f>B20/4.14E-20</f>
        <v>0</v>
      </c>
      <c r="C21" s="20" t="s">
        <v>32</v>
      </c>
      <c r="F21" s="23">
        <f>F20/4.14E-20</f>
        <v>0</v>
      </c>
      <c r="G21" s="20" t="s">
        <v>32</v>
      </c>
      <c r="I21" s="23">
        <f>I20/4.14E-20</f>
        <v>0</v>
      </c>
      <c r="J21" s="20" t="s">
        <v>32</v>
      </c>
      <c r="L21" s="23">
        <f>L20/4.14E-20</f>
        <v>0</v>
      </c>
      <c r="M21" s="20" t="s">
        <v>32</v>
      </c>
      <c r="P21" s="23">
        <f>P20/4.14E-20</f>
        <v>0</v>
      </c>
      <c r="Q21" s="23">
        <f>Q20/4.14E-20</f>
        <v>0</v>
      </c>
    </row>
    <row r="22" spans="1:17" x14ac:dyDescent="0.25">
      <c r="B22" s="23">
        <f>B21/$B$12</f>
        <v>0</v>
      </c>
      <c r="C22" s="20" t="s">
        <v>21</v>
      </c>
      <c r="F22" s="23">
        <f>F21/$B$12</f>
        <v>0</v>
      </c>
      <c r="G22" s="20" t="s">
        <v>21</v>
      </c>
      <c r="I22" s="23">
        <f>I21/$B$12</f>
        <v>0</v>
      </c>
      <c r="J22" s="20" t="s">
        <v>21</v>
      </c>
      <c r="L22" s="23">
        <f>L21/$B$12</f>
        <v>0</v>
      </c>
      <c r="M22" s="20" t="s">
        <v>21</v>
      </c>
      <c r="P22" s="23">
        <f>P21/$B$12</f>
        <v>0</v>
      </c>
      <c r="Q22" s="23">
        <f>Q21/$B$12</f>
        <v>0</v>
      </c>
    </row>
    <row r="23" spans="1:17" x14ac:dyDescent="0.25">
      <c r="B23" s="25">
        <f>B22/B$18</f>
        <v>0</v>
      </c>
      <c r="C23" s="20" t="s">
        <v>31</v>
      </c>
      <c r="F23" s="25">
        <f>F22/F$18</f>
        <v>0</v>
      </c>
      <c r="G23" s="20" t="s">
        <v>31</v>
      </c>
      <c r="I23" s="25">
        <f>I22/I18</f>
        <v>0</v>
      </c>
      <c r="J23" s="20" t="s">
        <v>31</v>
      </c>
      <c r="L23" s="25" t="e">
        <f>L22/L18</f>
        <v>#DIV/0!</v>
      </c>
      <c r="M23" s="20" t="s">
        <v>31</v>
      </c>
      <c r="P23" s="25"/>
      <c r="Q23" s="25"/>
    </row>
    <row r="24" spans="1:17" x14ac:dyDescent="0.25">
      <c r="A24" s="20" t="s">
        <v>57</v>
      </c>
      <c r="B24" s="24">
        <v>1.0047599999999999E-3</v>
      </c>
      <c r="C24" s="20" t="s">
        <v>8</v>
      </c>
      <c r="F24" s="24">
        <v>9.3505499999999996E-4</v>
      </c>
      <c r="G24" s="20" t="s">
        <v>8</v>
      </c>
      <c r="I24" s="24">
        <v>8.1307000000000005E-4</v>
      </c>
      <c r="J24" s="20" t="s">
        <v>8</v>
      </c>
      <c r="L24" s="24">
        <v>4.1359799999999999E-4</v>
      </c>
      <c r="M24" s="20" t="s">
        <v>8</v>
      </c>
      <c r="P24" s="24"/>
      <c r="Q24" s="24"/>
    </row>
    <row r="25" spans="1:17" x14ac:dyDescent="0.25">
      <c r="A25" s="20" t="s">
        <v>58</v>
      </c>
      <c r="B25" s="23">
        <f>B24/4.14E-20</f>
        <v>2.42695652173913E+16</v>
      </c>
      <c r="C25" s="20" t="s">
        <v>32</v>
      </c>
      <c r="F25" s="23">
        <f>F24/4.14E-20</f>
        <v>2.2585869565217388E+16</v>
      </c>
      <c r="G25" s="20" t="s">
        <v>32</v>
      </c>
      <c r="I25" s="23">
        <f>I24/4.14E-20</f>
        <v>1.9639371980676328E+16</v>
      </c>
      <c r="J25" s="20" t="s">
        <v>32</v>
      </c>
      <c r="L25" s="23">
        <f>L24/4.14E-20</f>
        <v>9990289855072464</v>
      </c>
      <c r="M25" s="20" t="s">
        <v>32</v>
      </c>
      <c r="P25" s="23">
        <f>P24/4.14E-20</f>
        <v>0</v>
      </c>
      <c r="Q25" s="23">
        <f>Q24/4.14E-20</f>
        <v>0</v>
      </c>
    </row>
    <row r="26" spans="1:17" x14ac:dyDescent="0.25">
      <c r="B26" s="23">
        <f>B25/$B$12</f>
        <v>4.3887098042298914E-2</v>
      </c>
      <c r="C26" s="20" t="s">
        <v>21</v>
      </c>
      <c r="F26" s="23">
        <f>F25/$B$12</f>
        <v>4.0842440443431084E-2</v>
      </c>
      <c r="G26" s="20" t="s">
        <v>21</v>
      </c>
      <c r="I26" s="23">
        <f>I25/$B$12</f>
        <v>3.5514235046430975E-2</v>
      </c>
      <c r="J26" s="20" t="s">
        <v>21</v>
      </c>
      <c r="L26" s="23">
        <f>L25/$B$12</f>
        <v>1.8065623607725973E-2</v>
      </c>
      <c r="M26" s="20" t="s">
        <v>21</v>
      </c>
      <c r="P26" s="23">
        <f>P25/$B$12</f>
        <v>0</v>
      </c>
      <c r="Q26" s="23">
        <f>Q25/$B$12</f>
        <v>0</v>
      </c>
    </row>
    <row r="27" spans="1:17" x14ac:dyDescent="0.25">
      <c r="B27" s="25">
        <f>B26/B$18</f>
        <v>0.97526884538442038</v>
      </c>
      <c r="C27" s="20" t="s">
        <v>31</v>
      </c>
      <c r="F27" s="25">
        <f>F26/F$18</f>
        <v>5.9424473219018017</v>
      </c>
      <c r="G27" s="20" t="s">
        <v>31</v>
      </c>
      <c r="I27" s="25">
        <f>I26/I$18</f>
        <v>34.346455557476766</v>
      </c>
      <c r="J27" s="20" t="s">
        <v>31</v>
      </c>
      <c r="L27" s="25" t="e">
        <f>L26/L$18</f>
        <v>#DIV/0!</v>
      </c>
      <c r="M27" s="20" t="s">
        <v>31</v>
      </c>
      <c r="P27" s="25"/>
      <c r="Q27" s="25"/>
    </row>
    <row r="28" spans="1:17" x14ac:dyDescent="0.25">
      <c r="A28" s="20" t="s">
        <v>54</v>
      </c>
      <c r="B28" s="24">
        <v>2.36648E-4</v>
      </c>
      <c r="C28" s="20" t="s">
        <v>8</v>
      </c>
      <c r="F28" s="24">
        <v>1.03031E-4</v>
      </c>
      <c r="G28" s="20" t="s">
        <v>8</v>
      </c>
      <c r="I28" s="24">
        <v>2.4250999999999999E-5</v>
      </c>
      <c r="J28" s="20" t="s">
        <v>8</v>
      </c>
      <c r="L28" s="24"/>
      <c r="M28" s="20" t="s">
        <v>8</v>
      </c>
      <c r="P28" s="24"/>
      <c r="Q28" s="24"/>
    </row>
    <row r="29" spans="1:17" x14ac:dyDescent="0.25">
      <c r="B29" s="23">
        <f>B28/4.14E-20</f>
        <v>5716135265700483</v>
      </c>
      <c r="C29" s="20" t="s">
        <v>32</v>
      </c>
      <c r="F29" s="23">
        <f>F28/4.14E-20</f>
        <v>2488671497584541</v>
      </c>
      <c r="G29" s="20" t="s">
        <v>32</v>
      </c>
      <c r="I29" s="23">
        <f>I28/4.14E-20</f>
        <v>585772946859903.37</v>
      </c>
      <c r="J29" s="20" t="s">
        <v>32</v>
      </c>
      <c r="L29" s="23">
        <f>L28/4.14E-20</f>
        <v>0</v>
      </c>
      <c r="M29" s="20" t="s">
        <v>32</v>
      </c>
      <c r="P29" s="23">
        <f>P28/4.14E-20</f>
        <v>0</v>
      </c>
      <c r="Q29" s="23">
        <f>Q28/4.14E-20</f>
        <v>0</v>
      </c>
    </row>
    <row r="30" spans="1:17" x14ac:dyDescent="0.25">
      <c r="B30" s="23">
        <f>B29/$B$12</f>
        <v>1.0336591800543369E-2</v>
      </c>
      <c r="C30" s="20" t="s">
        <v>21</v>
      </c>
      <c r="F30" s="23">
        <f>F29/$B$12</f>
        <v>4.5003101222143597E-3</v>
      </c>
      <c r="G30" s="20" t="s">
        <v>21</v>
      </c>
      <c r="I30" s="23">
        <f>I29/$B$12</f>
        <v>1.0592639183723389E-3</v>
      </c>
      <c r="J30" s="20" t="s">
        <v>21</v>
      </c>
      <c r="L30" s="23">
        <f>L29/$B$12</f>
        <v>0</v>
      </c>
      <c r="M30" s="20" t="s">
        <v>21</v>
      </c>
      <c r="P30" s="23">
        <f>P29/$B$12</f>
        <v>0</v>
      </c>
      <c r="Q30" s="23">
        <f>Q29/$B$12</f>
        <v>0</v>
      </c>
    </row>
    <row r="31" spans="1:17" x14ac:dyDescent="0.25">
      <c r="B31" s="25">
        <f>B30/B$18</f>
        <v>0.22970204001207487</v>
      </c>
      <c r="C31" s="20" t="s">
        <v>31</v>
      </c>
      <c r="F31" s="25">
        <f>F30/F$18</f>
        <v>0.65478104498972212</v>
      </c>
      <c r="G31" s="20" t="s">
        <v>31</v>
      </c>
      <c r="I31" s="25">
        <f>I30/I$18</f>
        <v>1.0244331899152213</v>
      </c>
      <c r="J31" s="20" t="s">
        <v>31</v>
      </c>
      <c r="L31" s="25" t="e">
        <f>L30/L$18</f>
        <v>#DIV/0!</v>
      </c>
      <c r="M31" s="20" t="s">
        <v>31</v>
      </c>
      <c r="P31" s="25"/>
      <c r="Q31" s="25"/>
    </row>
    <row r="32" spans="1:17" x14ac:dyDescent="0.25">
      <c r="A32" s="20" t="s">
        <v>55</v>
      </c>
      <c r="B32" s="24">
        <v>1.0766899999999999E-3</v>
      </c>
      <c r="C32" s="20" t="s">
        <v>8</v>
      </c>
      <c r="F32" s="24">
        <v>1.6804100000000001E-4</v>
      </c>
      <c r="G32" s="20" t="s">
        <v>8</v>
      </c>
      <c r="I32" s="24">
        <v>2.54968E-5</v>
      </c>
      <c r="J32" s="20" t="s">
        <v>8</v>
      </c>
      <c r="L32" s="24"/>
      <c r="M32" s="20" t="s">
        <v>8</v>
      </c>
      <c r="P32" s="24"/>
      <c r="Q32" s="24"/>
    </row>
    <row r="33" spans="1:17" x14ac:dyDescent="0.25">
      <c r="B33" s="23">
        <f>B32/4.14E-20</f>
        <v>2.6007004830917872E+16</v>
      </c>
      <c r="C33" s="20" t="s">
        <v>32</v>
      </c>
      <c r="F33" s="23">
        <f>F32/4.14E-20</f>
        <v>4058961352657005</v>
      </c>
      <c r="G33" s="20" t="s">
        <v>32</v>
      </c>
      <c r="I33" s="23">
        <f>I32/4.14E-20</f>
        <v>615864734299516.87</v>
      </c>
      <c r="J33" s="20" t="s">
        <v>32</v>
      </c>
      <c r="L33" s="23">
        <f>L32/4.14E-20</f>
        <v>0</v>
      </c>
      <c r="M33" s="20" t="s">
        <v>32</v>
      </c>
      <c r="P33" s="23">
        <f>P32/4.14E-20</f>
        <v>0</v>
      </c>
      <c r="Q33" s="23">
        <f>Q32/4.14E-20</f>
        <v>0</v>
      </c>
    </row>
    <row r="34" spans="1:17" x14ac:dyDescent="0.25">
      <c r="B34" s="23">
        <f>B33/$B$12</f>
        <v>4.7028941828061249E-2</v>
      </c>
      <c r="C34" s="20" t="s">
        <v>21</v>
      </c>
      <c r="F34" s="23">
        <f>F33/$B$12</f>
        <v>7.339893946938526E-3</v>
      </c>
      <c r="G34" s="20" t="s">
        <v>21</v>
      </c>
      <c r="I34" s="23">
        <f>I33/$B$12</f>
        <v>1.113679447196233E-3</v>
      </c>
      <c r="J34" s="20" t="s">
        <v>21</v>
      </c>
      <c r="L34" s="23">
        <f>L33/$B$12</f>
        <v>0</v>
      </c>
      <c r="M34" s="20" t="s">
        <v>21</v>
      </c>
      <c r="P34" s="23">
        <f>P33/$B$12</f>
        <v>0</v>
      </c>
      <c r="Q34" s="23">
        <f>Q33/$B$12</f>
        <v>0</v>
      </c>
    </row>
    <row r="35" spans="1:17" x14ac:dyDescent="0.25">
      <c r="B35" s="25">
        <f>B34/B$18</f>
        <v>1.0450875961791388</v>
      </c>
      <c r="C35" s="20" t="s">
        <v>31</v>
      </c>
      <c r="F35" s="25">
        <f>F34/F$18</f>
        <v>1.0679316087499675</v>
      </c>
      <c r="G35" s="20" t="s">
        <v>31</v>
      </c>
      <c r="I35" s="25">
        <f>I34/I$18</f>
        <v>1.0770594266888134</v>
      </c>
      <c r="J35" s="20" t="s">
        <v>31</v>
      </c>
      <c r="L35" s="25" t="e">
        <f>L34/L$18</f>
        <v>#DIV/0!</v>
      </c>
      <c r="M35" s="20" t="s">
        <v>31</v>
      </c>
      <c r="P35" s="25"/>
      <c r="Q35" s="25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0"/>
      <c r="C37" s="29"/>
      <c r="D37" s="29"/>
      <c r="E37" s="29"/>
      <c r="F37" s="30"/>
      <c r="G37" s="29"/>
      <c r="H37" s="29"/>
      <c r="I37" s="30"/>
      <c r="J37" s="29"/>
      <c r="K37" s="29"/>
      <c r="L37" s="30"/>
      <c r="M37" s="29"/>
      <c r="N37" s="29"/>
      <c r="O37" s="29"/>
      <c r="P37" s="30"/>
      <c r="Q37" s="30"/>
    </row>
    <row r="38" spans="1:17" x14ac:dyDescent="0.25">
      <c r="A38" s="29"/>
      <c r="B38" s="30"/>
      <c r="C38" s="29"/>
      <c r="D38" s="29"/>
      <c r="E38" s="29"/>
      <c r="F38" s="30"/>
      <c r="G38" s="29"/>
      <c r="H38" s="29"/>
      <c r="I38" s="30"/>
      <c r="J38" s="29"/>
      <c r="K38" s="29"/>
      <c r="L38" s="30"/>
      <c r="M38" s="29"/>
      <c r="N38" s="29"/>
      <c r="O38" s="29"/>
      <c r="P38" s="30"/>
      <c r="Q38" s="30"/>
    </row>
    <row r="39" spans="1:17" x14ac:dyDescent="0.25">
      <c r="A39" s="29"/>
      <c r="B39" s="31"/>
      <c r="C39" s="29"/>
      <c r="D39" s="29"/>
      <c r="E39" s="29"/>
      <c r="F39" s="31"/>
      <c r="G39" s="29"/>
      <c r="H39" s="29"/>
      <c r="I39" s="31"/>
      <c r="J39" s="29"/>
      <c r="K39" s="29"/>
      <c r="L39" s="31"/>
      <c r="M39" s="29"/>
      <c r="N39" s="29"/>
      <c r="O39" s="29"/>
      <c r="P39" s="31"/>
      <c r="Q39" s="31"/>
    </row>
    <row r="40" spans="1:17" x14ac:dyDescent="0.25">
      <c r="A40" s="29"/>
      <c r="B40" s="30"/>
      <c r="C40" s="29"/>
      <c r="D40" s="29"/>
      <c r="E40" s="29"/>
      <c r="F40" s="30"/>
      <c r="G40" s="29"/>
      <c r="H40" s="29"/>
      <c r="I40" s="30"/>
      <c r="J40" s="29"/>
      <c r="K40" s="29"/>
      <c r="L40" s="30"/>
      <c r="M40" s="29"/>
      <c r="N40" s="29"/>
      <c r="O40" s="29"/>
      <c r="P40" s="30"/>
      <c r="Q40" s="30"/>
    </row>
    <row r="41" spans="1:17" x14ac:dyDescent="0.25">
      <c r="A41" s="29"/>
      <c r="B41" s="30"/>
      <c r="C41" s="29"/>
      <c r="D41" s="29"/>
      <c r="E41" s="29"/>
      <c r="F41" s="30"/>
      <c r="G41" s="29"/>
      <c r="H41" s="29"/>
      <c r="I41" s="30"/>
      <c r="J41" s="29"/>
      <c r="K41" s="29"/>
      <c r="L41" s="30"/>
      <c r="M41" s="29"/>
      <c r="N41" s="29"/>
      <c r="O41" s="29"/>
      <c r="P41" s="30"/>
      <c r="Q41" s="30"/>
    </row>
    <row r="42" spans="1:17" x14ac:dyDescent="0.25">
      <c r="A42" s="29"/>
      <c r="B42" s="30"/>
      <c r="C42" s="29"/>
      <c r="D42" s="29"/>
      <c r="E42" s="29"/>
      <c r="F42" s="30"/>
      <c r="G42" s="29"/>
      <c r="H42" s="29"/>
      <c r="I42" s="30"/>
      <c r="J42" s="29"/>
      <c r="K42" s="29"/>
      <c r="L42" s="30"/>
      <c r="M42" s="29"/>
      <c r="N42" s="29"/>
      <c r="O42" s="29"/>
      <c r="P42" s="30"/>
      <c r="Q42" s="30"/>
    </row>
    <row r="43" spans="1:17" x14ac:dyDescent="0.25">
      <c r="A43" s="29"/>
      <c r="B43" s="31"/>
      <c r="C43" s="29"/>
      <c r="D43" s="29"/>
      <c r="E43" s="29"/>
      <c r="F43" s="31"/>
      <c r="G43" s="29"/>
      <c r="H43" s="29"/>
      <c r="I43" s="31"/>
      <c r="J43" s="29"/>
      <c r="K43" s="29"/>
      <c r="L43" s="31"/>
      <c r="M43" s="29"/>
      <c r="N43" s="29"/>
      <c r="O43" s="29"/>
      <c r="P43" s="31"/>
      <c r="Q43" s="31"/>
    </row>
    <row r="45" spans="1:17" x14ac:dyDescent="0.25">
      <c r="F45" s="21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  <c r="P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  <c r="P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  <c r="P48" s="29"/>
    </row>
    <row r="49" spans="1:16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  <c r="P49" s="29"/>
    </row>
    <row r="50" spans="1:16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  <c r="P50" s="29"/>
    </row>
    <row r="51" spans="1:16" x14ac:dyDescent="0.25">
      <c r="A51" s="29"/>
      <c r="B51" s="30"/>
      <c r="C51" s="29"/>
      <c r="D51" s="29"/>
      <c r="E51" s="29"/>
      <c r="F51" s="30"/>
      <c r="G51" s="29"/>
      <c r="H51" s="29"/>
      <c r="I51" s="30"/>
      <c r="J51" s="29"/>
      <c r="K51" s="29"/>
      <c r="L51" s="30"/>
      <c r="M51" s="29"/>
      <c r="N51" s="29"/>
      <c r="O51" s="29"/>
      <c r="P51" s="29"/>
    </row>
    <row r="52" spans="1:16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  <c r="P52" s="29"/>
    </row>
    <row r="53" spans="1:16" x14ac:dyDescent="0.25">
      <c r="A53" s="29"/>
      <c r="B53" s="31"/>
      <c r="C53" s="29"/>
      <c r="D53" s="29"/>
      <c r="E53" s="29"/>
      <c r="F53" s="31"/>
      <c r="G53" s="29"/>
      <c r="H53" s="29"/>
      <c r="I53" s="31"/>
      <c r="J53" s="29"/>
      <c r="K53" s="29"/>
      <c r="L53" s="31"/>
      <c r="M53" s="29"/>
      <c r="N53" s="29"/>
      <c r="O53" s="29"/>
      <c r="P53" s="29"/>
    </row>
    <row r="54" spans="1:16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  <c r="P54" s="29"/>
    </row>
    <row r="55" spans="1:16" x14ac:dyDescent="0.25">
      <c r="A55" s="29"/>
      <c r="B55" s="30"/>
      <c r="C55" s="29"/>
      <c r="D55" s="29"/>
      <c r="E55" s="29"/>
      <c r="F55" s="30"/>
      <c r="G55" s="29"/>
      <c r="H55" s="29"/>
      <c r="I55" s="30"/>
      <c r="J55" s="29"/>
      <c r="K55" s="29"/>
      <c r="L55" s="30"/>
      <c r="M55" s="29"/>
      <c r="N55" s="29"/>
      <c r="O55" s="29"/>
      <c r="P55" s="29"/>
    </row>
    <row r="56" spans="1:16" x14ac:dyDescent="0.25">
      <c r="A56" s="29"/>
      <c r="B56" s="30"/>
      <c r="C56" s="29"/>
      <c r="D56" s="29"/>
      <c r="E56" s="29"/>
      <c r="F56" s="30"/>
      <c r="G56" s="29"/>
      <c r="H56" s="29"/>
      <c r="I56" s="30"/>
      <c r="J56" s="29"/>
      <c r="K56" s="29"/>
      <c r="L56" s="30"/>
      <c r="M56" s="29"/>
      <c r="N56" s="29"/>
      <c r="O56" s="29"/>
      <c r="P56" s="29"/>
    </row>
    <row r="57" spans="1:16" x14ac:dyDescent="0.25">
      <c r="A57" s="29"/>
      <c r="B57" s="31"/>
      <c r="C57" s="29"/>
      <c r="D57" s="29"/>
      <c r="E57" s="29"/>
      <c r="F57" s="31"/>
      <c r="G57" s="29"/>
      <c r="H57" s="29"/>
      <c r="I57" s="31"/>
      <c r="J57" s="29"/>
      <c r="K57" s="29"/>
      <c r="L57" s="31"/>
      <c r="M57" s="29"/>
      <c r="N57" s="29"/>
      <c r="O57" s="29"/>
      <c r="P57" s="29"/>
    </row>
    <row r="58" spans="1:16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</row>
    <row r="65" spans="3:10" x14ac:dyDescent="0.25">
      <c r="C65" s="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</row>
    <row r="72" spans="3:10" x14ac:dyDescent="0.25">
      <c r="C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  <c r="I76" s="21"/>
      <c r="J76" s="21"/>
    </row>
    <row r="77" spans="3:10" x14ac:dyDescent="0.25">
      <c r="C77" s="21"/>
      <c r="I77" s="21"/>
      <c r="J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4" x14ac:dyDescent="0.25">
      <c r="C81" s="21"/>
    </row>
    <row r="82" spans="3:34" x14ac:dyDescent="0.25">
      <c r="C82" s="21"/>
    </row>
    <row r="83" spans="3:34" x14ac:dyDescent="0.25">
      <c r="C83" s="21"/>
      <c r="AH83" s="21"/>
    </row>
    <row r="84" spans="3:34" x14ac:dyDescent="0.25">
      <c r="C84" s="21"/>
    </row>
    <row r="85" spans="3:34" x14ac:dyDescent="0.25">
      <c r="C85" s="21"/>
    </row>
    <row r="86" spans="3:34" x14ac:dyDescent="0.25">
      <c r="C86" s="21"/>
    </row>
    <row r="87" spans="3:34" x14ac:dyDescent="0.25">
      <c r="C87" s="21"/>
      <c r="AH87" s="21"/>
    </row>
    <row r="88" spans="3:34" x14ac:dyDescent="0.25">
      <c r="C88" s="21"/>
      <c r="AH88" s="21"/>
    </row>
    <row r="89" spans="3:34" x14ac:dyDescent="0.25">
      <c r="C89" s="21"/>
      <c r="AH89" s="21"/>
    </row>
    <row r="90" spans="3:34" x14ac:dyDescent="0.25">
      <c r="C90" s="21"/>
      <c r="AH90" s="21"/>
    </row>
    <row r="91" spans="3:34" x14ac:dyDescent="0.25">
      <c r="C91" s="21"/>
      <c r="AH91" s="21"/>
    </row>
    <row r="92" spans="3:34" x14ac:dyDescent="0.25">
      <c r="C92" s="21"/>
      <c r="AH92" s="21"/>
    </row>
    <row r="93" spans="3:34" x14ac:dyDescent="0.25">
      <c r="C93" s="21"/>
      <c r="AH93" s="21"/>
    </row>
    <row r="94" spans="3:34" x14ac:dyDescent="0.25">
      <c r="C94" s="21"/>
      <c r="AH94" s="21"/>
    </row>
    <row r="95" spans="3:34" x14ac:dyDescent="0.25">
      <c r="C95" s="21"/>
      <c r="AH95" s="21"/>
    </row>
    <row r="96" spans="3:34" x14ac:dyDescent="0.25">
      <c r="C96" s="21"/>
      <c r="AH96" s="21"/>
    </row>
    <row r="97" spans="3:34" x14ac:dyDescent="0.25">
      <c r="C97" s="21"/>
      <c r="AH97" s="21"/>
    </row>
    <row r="98" spans="3:34" x14ac:dyDescent="0.25">
      <c r="C98" s="21"/>
      <c r="AH98" s="21"/>
    </row>
    <row r="99" spans="3:34" x14ac:dyDescent="0.25">
      <c r="C99" s="21"/>
      <c r="AH99" s="21"/>
    </row>
    <row r="100" spans="3:34" x14ac:dyDescent="0.25">
      <c r="C100" s="21"/>
      <c r="AH100" s="21"/>
    </row>
    <row r="101" spans="3:34" x14ac:dyDescent="0.25">
      <c r="C101" s="21"/>
      <c r="AH101" s="21"/>
    </row>
    <row r="102" spans="3:34" x14ac:dyDescent="0.25">
      <c r="C102" s="21"/>
      <c r="AH102" s="21"/>
    </row>
    <row r="103" spans="3:34" x14ac:dyDescent="0.25">
      <c r="C103" s="21"/>
      <c r="AH103" s="21"/>
    </row>
    <row r="104" spans="3:34" x14ac:dyDescent="0.25">
      <c r="C104" s="21"/>
      <c r="AH104" s="21"/>
    </row>
    <row r="105" spans="3:34" x14ac:dyDescent="0.25">
      <c r="C105" s="21"/>
      <c r="AH105" s="21"/>
    </row>
    <row r="106" spans="3:34" x14ac:dyDescent="0.25">
      <c r="C106" s="21"/>
      <c r="AH106" s="21"/>
    </row>
    <row r="107" spans="3:34" x14ac:dyDescent="0.25">
      <c r="C107" s="21"/>
      <c r="AH107" s="21"/>
    </row>
    <row r="108" spans="3:34" x14ac:dyDescent="0.25">
      <c r="C108" s="21"/>
      <c r="AH108" s="21"/>
    </row>
    <row r="109" spans="3:34" x14ac:dyDescent="0.25">
      <c r="C109" s="21"/>
      <c r="AH109" s="21"/>
    </row>
    <row r="110" spans="3:34" x14ac:dyDescent="0.25">
      <c r="C110" s="21"/>
      <c r="AH110" s="21"/>
    </row>
    <row r="111" spans="3:34" x14ac:dyDescent="0.25">
      <c r="C111" s="21"/>
      <c r="AH111" s="21"/>
    </row>
    <row r="112" spans="3:34" x14ac:dyDescent="0.25">
      <c r="C112" s="21"/>
      <c r="AH112" s="21"/>
    </row>
    <row r="113" spans="3:34" x14ac:dyDescent="0.25">
      <c r="C113" s="21"/>
      <c r="AH113" s="21"/>
    </row>
    <row r="114" spans="3:34" x14ac:dyDescent="0.25">
      <c r="C114" s="21"/>
      <c r="AH114" s="21"/>
    </row>
    <row r="115" spans="3:34" x14ac:dyDescent="0.25">
      <c r="C115" s="21"/>
      <c r="AH115" s="21"/>
    </row>
    <row r="116" spans="3:34" x14ac:dyDescent="0.25">
      <c r="C116" s="21"/>
      <c r="AH116" s="21"/>
    </row>
    <row r="117" spans="3:34" x14ac:dyDescent="0.25">
      <c r="C117" s="21"/>
      <c r="AH117" s="21"/>
    </row>
    <row r="118" spans="3:34" x14ac:dyDescent="0.25">
      <c r="C118" s="21"/>
      <c r="AH118" s="21"/>
    </row>
    <row r="119" spans="3:34" x14ac:dyDescent="0.25">
      <c r="C119" s="21"/>
      <c r="AH119" s="21"/>
    </row>
    <row r="120" spans="3:34" x14ac:dyDescent="0.25">
      <c r="C120" s="21"/>
      <c r="AH120" s="21"/>
    </row>
    <row r="121" spans="3:34" x14ac:dyDescent="0.25">
      <c r="C121" s="21"/>
      <c r="AH121" s="21"/>
    </row>
    <row r="122" spans="3:34" x14ac:dyDescent="0.25">
      <c r="C122" s="21"/>
      <c r="AH122" s="21"/>
    </row>
    <row r="123" spans="3:34" x14ac:dyDescent="0.25">
      <c r="C123" s="21"/>
      <c r="AH123" s="21"/>
    </row>
    <row r="124" spans="3:34" x14ac:dyDescent="0.25">
      <c r="C124" s="21"/>
      <c r="AH124" s="21"/>
    </row>
    <row r="125" spans="3:34" x14ac:dyDescent="0.25">
      <c r="C125" s="21"/>
      <c r="AH125" s="21"/>
    </row>
    <row r="126" spans="3:34" x14ac:dyDescent="0.25">
      <c r="C126" s="21"/>
      <c r="AH126" s="21"/>
    </row>
    <row r="127" spans="3:34" x14ac:dyDescent="0.25">
      <c r="C127" s="21"/>
      <c r="AH127" s="21"/>
    </row>
    <row r="128" spans="3:34" x14ac:dyDescent="0.25">
      <c r="C128" s="21"/>
      <c r="AH128" s="21"/>
    </row>
    <row r="129" spans="3:34" x14ac:dyDescent="0.25">
      <c r="C129" s="21"/>
      <c r="AH129" s="21"/>
    </row>
    <row r="130" spans="3:34" x14ac:dyDescent="0.25">
      <c r="C130" s="21"/>
      <c r="AH130" s="21"/>
    </row>
    <row r="131" spans="3:34" x14ac:dyDescent="0.25">
      <c r="C131" s="21"/>
      <c r="AH131" s="21"/>
    </row>
    <row r="132" spans="3:34" x14ac:dyDescent="0.25">
      <c r="C132" s="21"/>
      <c r="AH132" s="21"/>
    </row>
    <row r="133" spans="3:34" x14ac:dyDescent="0.25">
      <c r="C133" s="21"/>
      <c r="AH133" s="21"/>
    </row>
    <row r="134" spans="3:34" x14ac:dyDescent="0.25">
      <c r="C134" s="21"/>
      <c r="AH134" s="21"/>
    </row>
    <row r="135" spans="3:34" x14ac:dyDescent="0.25">
      <c r="C135" s="21"/>
      <c r="AH135" s="21"/>
    </row>
    <row r="136" spans="3:34" x14ac:dyDescent="0.25">
      <c r="C136" s="21"/>
      <c r="AH136" s="21"/>
    </row>
    <row r="137" spans="3:34" x14ac:dyDescent="0.25">
      <c r="C137" s="21"/>
      <c r="AH137" s="21"/>
    </row>
    <row r="138" spans="3:34" x14ac:dyDescent="0.25">
      <c r="C138" s="21"/>
      <c r="AH138" s="21"/>
    </row>
    <row r="139" spans="3:34" x14ac:dyDescent="0.25">
      <c r="C139" s="21"/>
      <c r="AH139" s="21"/>
    </row>
    <row r="140" spans="3:34" x14ac:dyDescent="0.25">
      <c r="C140" s="21"/>
      <c r="AH140" s="21"/>
    </row>
    <row r="141" spans="3:34" x14ac:dyDescent="0.25">
      <c r="C141" s="21"/>
      <c r="AH141" s="21"/>
    </row>
    <row r="142" spans="3:34" x14ac:dyDescent="0.25">
      <c r="C142" s="21"/>
      <c r="AH142" s="21"/>
    </row>
    <row r="143" spans="3:34" x14ac:dyDescent="0.25">
      <c r="C143" s="21"/>
      <c r="AH143" s="21"/>
    </row>
    <row r="144" spans="3:34" x14ac:dyDescent="0.25">
      <c r="C144" s="21"/>
      <c r="AH144" s="21"/>
    </row>
    <row r="145" spans="3:34" x14ac:dyDescent="0.25">
      <c r="C145" s="21"/>
      <c r="AH145" s="21"/>
    </row>
    <row r="146" spans="3:34" x14ac:dyDescent="0.25">
      <c r="C146" s="21"/>
      <c r="AH146" s="21"/>
    </row>
    <row r="147" spans="3:34" x14ac:dyDescent="0.25">
      <c r="C147" s="21"/>
      <c r="AH147" s="21"/>
    </row>
    <row r="148" spans="3:34" x14ac:dyDescent="0.25">
      <c r="C148" s="21"/>
      <c r="AH148" s="21"/>
    </row>
    <row r="149" spans="3:34" x14ac:dyDescent="0.25">
      <c r="C149" s="21"/>
      <c r="AH149" s="21"/>
    </row>
    <row r="150" spans="3:34" x14ac:dyDescent="0.25">
      <c r="C150" s="21"/>
      <c r="AH150" s="21"/>
    </row>
    <row r="151" spans="3:34" x14ac:dyDescent="0.25">
      <c r="C151" s="21"/>
      <c r="AH151" s="21"/>
    </row>
    <row r="152" spans="3:34" x14ac:dyDescent="0.25">
      <c r="C152" s="21"/>
      <c r="AH152" s="21"/>
    </row>
    <row r="153" spans="3:34" x14ac:dyDescent="0.25">
      <c r="C153" s="21"/>
      <c r="AH153" s="21"/>
    </row>
    <row r="154" spans="3:34" x14ac:dyDescent="0.25">
      <c r="C154" s="21"/>
      <c r="AH154" s="21"/>
    </row>
    <row r="155" spans="3:34" x14ac:dyDescent="0.25">
      <c r="C155" s="21"/>
      <c r="AH155" s="21"/>
    </row>
    <row r="156" spans="3:34" x14ac:dyDescent="0.25">
      <c r="C156" s="21"/>
      <c r="AH156" s="21"/>
    </row>
    <row r="157" spans="3:34" x14ac:dyDescent="0.25">
      <c r="C157" s="21"/>
      <c r="AH157" s="21"/>
    </row>
    <row r="158" spans="3:34" x14ac:dyDescent="0.25">
      <c r="C158" s="21"/>
      <c r="AH158" s="21"/>
    </row>
    <row r="159" spans="3:34" x14ac:dyDescent="0.25">
      <c r="C159" s="21"/>
      <c r="AH159" s="21"/>
    </row>
    <row r="160" spans="3:34" x14ac:dyDescent="0.25">
      <c r="C160" s="21"/>
      <c r="AH160" s="21"/>
    </row>
    <row r="161" spans="3:34" x14ac:dyDescent="0.25">
      <c r="C161" s="21"/>
      <c r="AH161" s="21"/>
    </row>
    <row r="162" spans="3:34" x14ac:dyDescent="0.25">
      <c r="C162" s="21"/>
      <c r="AH162" s="21"/>
    </row>
    <row r="163" spans="3:34" x14ac:dyDescent="0.25">
      <c r="C163" s="21"/>
      <c r="AH163" s="21"/>
    </row>
    <row r="164" spans="3:34" x14ac:dyDescent="0.25">
      <c r="C164" s="21"/>
      <c r="AH164" s="21"/>
    </row>
    <row r="165" spans="3:34" x14ac:dyDescent="0.25">
      <c r="C165" s="21"/>
      <c r="AH165" s="21"/>
    </row>
    <row r="166" spans="3:34" x14ac:dyDescent="0.25">
      <c r="C166" s="21"/>
      <c r="AH166" s="21"/>
    </row>
    <row r="167" spans="3:34" x14ac:dyDescent="0.25">
      <c r="C167" s="21"/>
      <c r="AH167" s="21"/>
    </row>
    <row r="168" spans="3:34" x14ac:dyDescent="0.25">
      <c r="C168" s="21"/>
      <c r="AH168" s="21"/>
    </row>
    <row r="169" spans="3:34" x14ac:dyDescent="0.25">
      <c r="C169" s="21"/>
      <c r="AH169" s="21"/>
    </row>
    <row r="170" spans="3:34" x14ac:dyDescent="0.25">
      <c r="C170" s="21"/>
      <c r="AH170" s="21"/>
    </row>
    <row r="171" spans="3:34" x14ac:dyDescent="0.25">
      <c r="C171" s="21"/>
      <c r="AH171" s="21"/>
    </row>
    <row r="172" spans="3:34" x14ac:dyDescent="0.25">
      <c r="C172" s="21"/>
      <c r="AH172" s="21"/>
    </row>
    <row r="173" spans="3:34" x14ac:dyDescent="0.25">
      <c r="AH173" s="21"/>
    </row>
    <row r="174" spans="3:34" x14ac:dyDescent="0.25">
      <c r="AH174" s="21"/>
    </row>
    <row r="175" spans="3:34" x14ac:dyDescent="0.25">
      <c r="AH175" s="21"/>
    </row>
    <row r="176" spans="3:34" x14ac:dyDescent="0.25">
      <c r="AH176" s="21"/>
    </row>
    <row r="177" spans="34:34" x14ac:dyDescent="0.25">
      <c r="AH177" s="21"/>
    </row>
    <row r="178" spans="34:34" x14ac:dyDescent="0.25">
      <c r="AH178" s="21"/>
    </row>
    <row r="179" spans="34:34" x14ac:dyDescent="0.25">
      <c r="AH179" s="21"/>
    </row>
    <row r="180" spans="34:34" x14ac:dyDescent="0.25">
      <c r="AH180" s="21"/>
    </row>
    <row r="181" spans="34:34" x14ac:dyDescent="0.25">
      <c r="AH181" s="21"/>
    </row>
    <row r="182" spans="34:34" x14ac:dyDescent="0.25">
      <c r="AH182" s="21"/>
    </row>
    <row r="183" spans="34:34" x14ac:dyDescent="0.25">
      <c r="AH183" s="21"/>
    </row>
    <row r="184" spans="34:34" x14ac:dyDescent="0.25">
      <c r="AH184" s="21"/>
    </row>
    <row r="185" spans="34:34" x14ac:dyDescent="0.25">
      <c r="AH185" s="21"/>
    </row>
    <row r="186" spans="34:34" x14ac:dyDescent="0.25">
      <c r="AH186" s="21"/>
    </row>
    <row r="187" spans="34:34" x14ac:dyDescent="0.25">
      <c r="AH187" s="2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</row>
    <row r="6" spans="1:23" x14ac:dyDescent="0.25">
      <c r="B6" s="21">
        <v>1</v>
      </c>
      <c r="C6" s="21">
        <v>1430000000000000</v>
      </c>
      <c r="D6" s="21">
        <f>D7</f>
        <v>8.0669000000000001E-3</v>
      </c>
      <c r="E6" s="21">
        <v>1</v>
      </c>
      <c r="F6" s="21">
        <f>D6</f>
        <v>8.0669000000000001E-3</v>
      </c>
      <c r="G6" s="21">
        <v>1</v>
      </c>
      <c r="H6" s="21">
        <f>H7</f>
        <v>0.36921166459608229</v>
      </c>
      <c r="I6" s="21"/>
      <c r="J6" s="21"/>
      <c r="K6" s="21"/>
      <c r="L6" s="21"/>
      <c r="O6" s="21"/>
    </row>
    <row r="7" spans="1:23" x14ac:dyDescent="0.25">
      <c r="B7" s="21">
        <v>1E+20</v>
      </c>
      <c r="C7" s="21">
        <v>1.43E+18</v>
      </c>
      <c r="D7" s="21">
        <f>B16</f>
        <v>8.0669000000000001E-3</v>
      </c>
      <c r="E7" s="21">
        <f>B7/4600</f>
        <v>2.1739130434782608E+16</v>
      </c>
      <c r="F7" s="21">
        <f t="shared" ref="F7:F8" si="0">D7</f>
        <v>8.0669000000000001E-3</v>
      </c>
      <c r="G7" s="21">
        <f>B7/400000</f>
        <v>250000000000000</v>
      </c>
      <c r="H7" s="21">
        <f>785640000000*G7^-0.85623</f>
        <v>0.36921166459608229</v>
      </c>
      <c r="I7" s="21"/>
      <c r="J7" s="21"/>
      <c r="K7" s="21"/>
      <c r="L7" s="21"/>
      <c r="O7" s="21"/>
    </row>
    <row r="8" spans="1:23" x14ac:dyDescent="0.25">
      <c r="B8" s="21">
        <v>1E+22</v>
      </c>
      <c r="C8" s="21">
        <v>1.4299999999999999E+23</v>
      </c>
      <c r="D8" s="21">
        <f>I16</f>
        <v>1.5640000000000001E-4</v>
      </c>
      <c r="E8" s="21">
        <f>B8/4600</f>
        <v>2.173913043478261E+18</v>
      </c>
      <c r="F8" s="21">
        <f t="shared" si="0"/>
        <v>1.5640000000000001E-4</v>
      </c>
      <c r="G8" s="21">
        <f>B8/400000</f>
        <v>2.5E+16</v>
      </c>
      <c r="H8" s="21">
        <f>785640000000*G8^-0.85623</f>
        <v>7.158390949745126E-3</v>
      </c>
      <c r="I8" s="21"/>
      <c r="J8" s="21"/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53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9.9999999999999992E+22</v>
      </c>
      <c r="M14" s="20" t="s">
        <v>20</v>
      </c>
      <c r="N14" s="20" t="s">
        <v>37</v>
      </c>
      <c r="P14" s="21">
        <f>$B$10/$B$11*P15</f>
        <v>2.9999999999999997E+23</v>
      </c>
      <c r="Q14" s="21">
        <f>$B$10/$B$11*Q15</f>
        <v>1.3848444876244586E+24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f>F14*$B$11/$B$10</f>
        <v>4231.4647377938509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423146.47377938509</v>
      </c>
      <c r="M15" s="20" t="s">
        <v>10</v>
      </c>
      <c r="N15" s="20" t="s">
        <v>28</v>
      </c>
      <c r="P15" s="21">
        <f>L15*3</f>
        <v>1269439.4213381554</v>
      </c>
      <c r="Q15" s="21">
        <v>5859920.6167110903</v>
      </c>
    </row>
    <row r="16" spans="1:23" x14ac:dyDescent="0.25">
      <c r="B16" s="21">
        <v>8.0669000000000001E-3</v>
      </c>
      <c r="C16" s="20" t="s">
        <v>21</v>
      </c>
      <c r="D16" s="20" t="s">
        <v>29</v>
      </c>
      <c r="F16" s="21">
        <v>1.1360000000000001E-3</v>
      </c>
      <c r="G16" s="20" t="s">
        <v>21</v>
      </c>
      <c r="H16" s="20" t="s">
        <v>29</v>
      </c>
      <c r="I16" s="21">
        <v>1.5640000000000001E-4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1.8468522198E-4</v>
      </c>
      <c r="C17" s="20" t="s">
        <v>8</v>
      </c>
      <c r="D17" s="20" t="s">
        <v>38</v>
      </c>
      <c r="F17" s="21">
        <f>F16*$B$10*4.14E-20</f>
        <v>2.6007811200000002E-5</v>
      </c>
      <c r="G17" s="20" t="s">
        <v>8</v>
      </c>
      <c r="H17" s="20" t="s">
        <v>38</v>
      </c>
      <c r="I17" s="21">
        <f>I16*$B$10*4.14E-20</f>
        <v>3.58065288E-6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/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0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0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0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54</v>
      </c>
      <c r="B22" s="24"/>
      <c r="C22" s="20" t="s">
        <v>8</v>
      </c>
      <c r="F22" s="24"/>
      <c r="G22" s="20" t="s">
        <v>8</v>
      </c>
      <c r="I22" s="24"/>
      <c r="J22" s="20" t="s">
        <v>8</v>
      </c>
      <c r="L22" s="24"/>
      <c r="M22" s="20" t="s">
        <v>8</v>
      </c>
      <c r="P22" s="24"/>
      <c r="Q22" s="24"/>
    </row>
    <row r="23" spans="1:17" x14ac:dyDescent="0.25">
      <c r="B23" s="23">
        <f>B22/4.14E-20</f>
        <v>0</v>
      </c>
      <c r="C23" s="20" t="s">
        <v>32</v>
      </c>
      <c r="F23" s="23">
        <f>F22/4.14E-20</f>
        <v>0</v>
      </c>
      <c r="G23" s="20" t="s">
        <v>32</v>
      </c>
      <c r="I23" s="23">
        <f>I22/4.14E-20</f>
        <v>0</v>
      </c>
      <c r="J23" s="20" t="s">
        <v>32</v>
      </c>
      <c r="L23" s="23">
        <f>L22/4.14E-20</f>
        <v>0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0</v>
      </c>
      <c r="C24" s="20" t="s">
        <v>21</v>
      </c>
      <c r="F24" s="23">
        <f>F23/$B$10</f>
        <v>0</v>
      </c>
      <c r="G24" s="20" t="s">
        <v>21</v>
      </c>
      <c r="I24" s="23">
        <f>I23/$B$10</f>
        <v>0</v>
      </c>
      <c r="J24" s="20" t="s">
        <v>21</v>
      </c>
      <c r="L24" s="23">
        <f>L23/$B$10</f>
        <v>0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</v>
      </c>
      <c r="C25" s="20" t="s">
        <v>31</v>
      </c>
      <c r="F25" s="25">
        <f>F24/F$16</f>
        <v>0</v>
      </c>
      <c r="G25" s="20" t="s">
        <v>31</v>
      </c>
      <c r="I25" s="25">
        <f>I24/I$16</f>
        <v>0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55</v>
      </c>
      <c r="B26" s="24"/>
      <c r="C26" s="20" t="s">
        <v>8</v>
      </c>
      <c r="F26" s="24"/>
      <c r="G26" s="20" t="s">
        <v>8</v>
      </c>
      <c r="I26" s="24">
        <v>3.6240400000000002E-6</v>
      </c>
      <c r="J26" s="20" t="s">
        <v>8</v>
      </c>
      <c r="L26" s="24"/>
      <c r="M26" s="20" t="s">
        <v>8</v>
      </c>
      <c r="P26" s="24"/>
      <c r="Q26" s="24"/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87537198067632.844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0</v>
      </c>
      <c r="Q27" s="23">
        <f>Q26/4.14E-20</f>
        <v>0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1.5829511404635233E-4</v>
      </c>
      <c r="J28" s="20" t="s">
        <v>21</v>
      </c>
      <c r="L28" s="23">
        <f>L27/$B$10</f>
        <v>0</v>
      </c>
      <c r="M28" s="20" t="s">
        <v>21</v>
      </c>
      <c r="P28" s="23">
        <f>P27/$B$10</f>
        <v>0</v>
      </c>
      <c r="Q28" s="23">
        <f>Q27/$B$10</f>
        <v>0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1.0121170974830711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51</v>
      </c>
      <c r="B30" s="24">
        <v>1.8483400000000001E-4</v>
      </c>
      <c r="C30" s="20" t="s">
        <v>8</v>
      </c>
      <c r="F30" s="24">
        <v>2.7136900000000001E-5</v>
      </c>
      <c r="G30" s="20" t="s">
        <v>8</v>
      </c>
      <c r="I30" s="24">
        <v>3.7803E-6</v>
      </c>
      <c r="J30" s="20" t="s">
        <v>8</v>
      </c>
      <c r="L30" s="24"/>
      <c r="M30" s="20" t="s">
        <v>8</v>
      </c>
      <c r="P30" s="24"/>
      <c r="Q30" s="24"/>
    </row>
    <row r="31" spans="1:17" x14ac:dyDescent="0.25">
      <c r="A31" s="20" t="s">
        <v>52</v>
      </c>
      <c r="B31" s="23">
        <f>B30/4.14E-20</f>
        <v>4464589371980676.5</v>
      </c>
      <c r="C31" s="20" t="s">
        <v>32</v>
      </c>
      <c r="F31" s="23">
        <f>F30/4.14E-20</f>
        <v>655480676328502.37</v>
      </c>
      <c r="G31" s="20" t="s">
        <v>32</v>
      </c>
      <c r="I31" s="23">
        <f>I30/4.14E-20</f>
        <v>91311594202898.547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8.073398502677534E-3</v>
      </c>
      <c r="C32" s="20" t="s">
        <v>21</v>
      </c>
      <c r="F32" s="23">
        <f>F31/$B$10</f>
        <v>1.1853176787133858E-3</v>
      </c>
      <c r="G32" s="20" t="s">
        <v>21</v>
      </c>
      <c r="I32" s="23">
        <f>I31/$B$10</f>
        <v>1.6512042351337893E-4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1.0008055762036885</v>
      </c>
      <c r="C33" s="20" t="s">
        <v>31</v>
      </c>
      <c r="F33" s="25">
        <f>F32/F$16</f>
        <v>1.0434134495716423</v>
      </c>
      <c r="G33" s="20" t="s">
        <v>31</v>
      </c>
      <c r="I33" s="25">
        <f>I32/I$16</f>
        <v>1.0557571835893793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G7" sqref="G7:G8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</row>
    <row r="6" spans="1:23" x14ac:dyDescent="0.25">
      <c r="B6" s="21">
        <v>1</v>
      </c>
      <c r="C6" s="21">
        <v>1430000000000000</v>
      </c>
      <c r="D6" s="21">
        <f>D7</f>
        <v>4.7289999999999997E-3</v>
      </c>
      <c r="E6" s="21">
        <v>1</v>
      </c>
      <c r="F6" s="21">
        <f>D6</f>
        <v>4.7289999999999997E-3</v>
      </c>
      <c r="G6" s="21">
        <v>1</v>
      </c>
      <c r="H6" s="21">
        <f>H7</f>
        <v>0.2207030432513305</v>
      </c>
      <c r="I6" s="21"/>
      <c r="J6" s="21"/>
      <c r="K6" s="21"/>
      <c r="L6" s="21"/>
      <c r="O6" s="21"/>
    </row>
    <row r="7" spans="1:23" x14ac:dyDescent="0.25">
      <c r="B7" s="21">
        <f t="shared" ref="B7" si="0">C7*70</f>
        <v>1.001E+20</v>
      </c>
      <c r="C7" s="21">
        <v>1.43E+18</v>
      </c>
      <c r="D7" s="21">
        <f>B16</f>
        <v>4.7289999999999997E-3</v>
      </c>
      <c r="E7" s="21">
        <f>B7/4000</f>
        <v>2.5025E+16</v>
      </c>
      <c r="F7" s="21">
        <f t="shared" ref="F7:F8" si="1">D7</f>
        <v>4.7289999999999997E-3</v>
      </c>
      <c r="G7" s="21">
        <f>B7/500000</f>
        <v>200200000000000</v>
      </c>
      <c r="H7" s="21">
        <f>53411000000*G7^-0.79599</f>
        <v>0.2207030432513305</v>
      </c>
      <c r="I7" s="21"/>
      <c r="J7" s="21"/>
      <c r="K7" s="21"/>
      <c r="L7" s="21"/>
      <c r="O7" s="21"/>
    </row>
    <row r="8" spans="1:23" x14ac:dyDescent="0.25">
      <c r="B8" s="21">
        <v>1E+22</v>
      </c>
      <c r="C8" s="21">
        <v>1.4299999999999999E+23</v>
      </c>
      <c r="D8" s="21">
        <f>I16</f>
        <v>1.211E-4</v>
      </c>
      <c r="E8" s="21">
        <f>B8/4000</f>
        <v>2.5E+18</v>
      </c>
      <c r="F8" s="21">
        <f t="shared" si="1"/>
        <v>1.211E-4</v>
      </c>
      <c r="G8" s="21">
        <f>B8/500000</f>
        <v>2E+16</v>
      </c>
      <c r="H8" s="21">
        <f>53411000000*G8^-0.79599</f>
        <v>5.6516315771022434E-3</v>
      </c>
      <c r="I8" s="21"/>
      <c r="J8" s="21"/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56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9.9999999999999992E+22</v>
      </c>
      <c r="M14" s="20" t="s">
        <v>20</v>
      </c>
      <c r="N14" s="20" t="s">
        <v>37</v>
      </c>
      <c r="P14" s="21">
        <f>$B$10/$B$11*P15</f>
        <v>2.9999999999999997E+23</v>
      </c>
      <c r="Q14" s="21">
        <f>$B$10/$B$11*Q15</f>
        <v>1.3848444876244586E+24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v>1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423146.47377938509</v>
      </c>
      <c r="M15" s="20" t="s">
        <v>10</v>
      </c>
      <c r="N15" s="20" t="s">
        <v>28</v>
      </c>
      <c r="P15" s="21">
        <f>L15*3</f>
        <v>1269439.4213381554</v>
      </c>
      <c r="Q15" s="21">
        <v>5859920.6167110903</v>
      </c>
    </row>
    <row r="16" spans="1:23" x14ac:dyDescent="0.25">
      <c r="B16" s="21">
        <v>4.7289999999999997E-3</v>
      </c>
      <c r="C16" s="20" t="s">
        <v>21</v>
      </c>
      <c r="D16" s="20" t="s">
        <v>29</v>
      </c>
      <c r="F16" s="21">
        <v>7.5679999999999996E-4</v>
      </c>
      <c r="G16" s="20" t="s">
        <v>21</v>
      </c>
      <c r="H16" s="20" t="s">
        <v>29</v>
      </c>
      <c r="I16" s="21">
        <v>1.211E-4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1.0826667180000001E-4</v>
      </c>
      <c r="C17" s="20" t="s">
        <v>8</v>
      </c>
      <c r="D17" s="20" t="s">
        <v>38</v>
      </c>
      <c r="F17" s="21">
        <f>F16*$B$10*4.14E-20</f>
        <v>1.7326330559999999E-5</v>
      </c>
      <c r="G17" s="20" t="s">
        <v>8</v>
      </c>
      <c r="H17" s="20" t="s">
        <v>38</v>
      </c>
      <c r="I17" s="21">
        <f>I16*$B$10*4.14E-20</f>
        <v>2.7724876200000001E-6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>
        <v>1.33889E-5</v>
      </c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323403381642512.06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5.8481624166819538E-4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4.829201004691952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54</v>
      </c>
      <c r="B22" s="24"/>
      <c r="C22" s="20" t="s">
        <v>8</v>
      </c>
      <c r="F22" s="24"/>
      <c r="G22" s="20" t="s">
        <v>8</v>
      </c>
      <c r="I22" s="24"/>
      <c r="J22" s="20" t="s">
        <v>8</v>
      </c>
      <c r="L22" s="24"/>
      <c r="M22" s="20" t="s">
        <v>8</v>
      </c>
      <c r="P22" s="24"/>
      <c r="Q22" s="24"/>
    </row>
    <row r="23" spans="1:17" x14ac:dyDescent="0.25">
      <c r="B23" s="23">
        <f>B22/4.14E-20</f>
        <v>0</v>
      </c>
      <c r="C23" s="20" t="s">
        <v>32</v>
      </c>
      <c r="F23" s="23">
        <f>F22/4.14E-20</f>
        <v>0</v>
      </c>
      <c r="G23" s="20" t="s">
        <v>32</v>
      </c>
      <c r="I23" s="23">
        <f>I22/4.14E-20</f>
        <v>0</v>
      </c>
      <c r="J23" s="20" t="s">
        <v>32</v>
      </c>
      <c r="L23" s="23">
        <f>L22/4.14E-20</f>
        <v>0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0</v>
      </c>
      <c r="C24" s="20" t="s">
        <v>21</v>
      </c>
      <c r="F24" s="23">
        <f>F23/$B$10</f>
        <v>0</v>
      </c>
      <c r="G24" s="20" t="s">
        <v>21</v>
      </c>
      <c r="I24" s="23">
        <f>I23/$B$10</f>
        <v>0</v>
      </c>
      <c r="J24" s="20" t="s">
        <v>21</v>
      </c>
      <c r="L24" s="23">
        <f>L23/$B$10</f>
        <v>0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</v>
      </c>
      <c r="C25" s="20" t="s">
        <v>31</v>
      </c>
      <c r="F25" s="25">
        <f>F24/F$16</f>
        <v>0</v>
      </c>
      <c r="G25" s="20" t="s">
        <v>31</v>
      </c>
      <c r="I25" s="25">
        <f>I24/I$16</f>
        <v>0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55</v>
      </c>
      <c r="B26" s="24"/>
      <c r="C26" s="20" t="s">
        <v>8</v>
      </c>
      <c r="F26" s="24"/>
      <c r="G26" s="20" t="s">
        <v>8</v>
      </c>
      <c r="I26" s="24">
        <v>2.6846600000000001E-6</v>
      </c>
      <c r="J26" s="20" t="s">
        <v>8</v>
      </c>
      <c r="L26" s="24"/>
      <c r="M26" s="20" t="s">
        <v>8</v>
      </c>
      <c r="P26" s="24"/>
      <c r="Q26" s="24"/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64846859903381.641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0</v>
      </c>
      <c r="Q27" s="23">
        <f>Q26/4.14E-20</f>
        <v>0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1.1726376112727241E-4</v>
      </c>
      <c r="J28" s="20" t="s">
        <v>21</v>
      </c>
      <c r="L28" s="23">
        <f>L27/$B$10</f>
        <v>0</v>
      </c>
      <c r="M28" s="20" t="s">
        <v>21</v>
      </c>
      <c r="P28" s="23">
        <f>P27/$B$10</f>
        <v>0</v>
      </c>
      <c r="Q28" s="23">
        <f>Q27/$B$10</f>
        <v>0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0.96832172689737739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51</v>
      </c>
      <c r="B30" s="24">
        <v>1.06727E-4</v>
      </c>
      <c r="C30" s="20" t="s">
        <v>8</v>
      </c>
      <c r="F30" s="24">
        <v>1.7510799999999998E-5</v>
      </c>
      <c r="G30" s="20" t="s">
        <v>8</v>
      </c>
      <c r="I30" s="24">
        <v>2.7998899999999998E-6</v>
      </c>
      <c r="J30" s="20" t="s">
        <v>8</v>
      </c>
      <c r="L30" s="24"/>
      <c r="M30" s="20" t="s">
        <v>8</v>
      </c>
      <c r="P30" s="24"/>
      <c r="Q30" s="24"/>
    </row>
    <row r="31" spans="1:17" x14ac:dyDescent="0.25">
      <c r="A31" s="20" t="s">
        <v>52</v>
      </c>
      <c r="B31" s="23">
        <f>B30/4.14E-20</f>
        <v>2577946859903381.5</v>
      </c>
      <c r="C31" s="20" t="s">
        <v>32</v>
      </c>
      <c r="F31" s="23">
        <f>F30/4.14E-20</f>
        <v>422966183574879.19</v>
      </c>
      <c r="G31" s="20" t="s">
        <v>32</v>
      </c>
      <c r="I31" s="23">
        <f>I30/4.14E-20</f>
        <v>67630193236714.969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4.6617483904220283E-3</v>
      </c>
      <c r="C32" s="20" t="s">
        <v>21</v>
      </c>
      <c r="F32" s="23">
        <f>F31/$B$10</f>
        <v>7.6485747481894976E-4</v>
      </c>
      <c r="G32" s="20" t="s">
        <v>21</v>
      </c>
      <c r="I32" s="23">
        <f>I31/$B$10</f>
        <v>1.2229691362877933E-4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0.985778894147183</v>
      </c>
      <c r="C33" s="20" t="s">
        <v>31</v>
      </c>
      <c r="F33" s="25">
        <f>F32/F$16</f>
        <v>1.0106467690525236</v>
      </c>
      <c r="G33" s="20" t="s">
        <v>31</v>
      </c>
      <c r="I33" s="25">
        <f>I32/I$16</f>
        <v>1.0098836798412827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zoomScale="85" zoomScaleNormal="85" workbookViewId="0">
      <selection activeCell="K8" sqref="K8"/>
    </sheetView>
  </sheetViews>
  <sheetFormatPr defaultRowHeight="15" x14ac:dyDescent="0.25"/>
  <cols>
    <col min="1" max="2" width="9.140625" style="20"/>
    <col min="3" max="3" width="11.140625" style="20" customWidth="1"/>
    <col min="4" max="5" width="9.140625" style="20"/>
    <col min="6" max="6" width="9" style="20" bestFit="1" customWidth="1"/>
    <col min="7" max="7" width="10.7109375" style="20" bestFit="1" customWidth="1"/>
    <col min="8" max="8" width="10" style="20" bestFit="1" customWidth="1"/>
    <col min="9" max="9" width="13.7109375" style="20" bestFit="1" customWidth="1"/>
    <col min="10" max="10" width="10.7109375" style="20" bestFit="1" customWidth="1"/>
    <col min="11" max="12" width="9.140625" style="20"/>
    <col min="13" max="13" width="10.7109375" style="20" bestFit="1" customWidth="1"/>
    <col min="14" max="16384" width="9.140625" style="20"/>
  </cols>
  <sheetData>
    <row r="2" spans="1:23" x14ac:dyDescent="0.25">
      <c r="B2" s="26">
        <v>5.08</v>
      </c>
      <c r="C2" s="20" t="s">
        <v>12</v>
      </c>
      <c r="D2" s="20" t="s">
        <v>22</v>
      </c>
    </row>
    <row r="3" spans="1:23" x14ac:dyDescent="0.25">
      <c r="B3" s="26">
        <v>234</v>
      </c>
      <c r="C3" s="20" t="s">
        <v>12</v>
      </c>
      <c r="D3" s="20" t="s">
        <v>23</v>
      </c>
      <c r="Q3" s="21"/>
      <c r="R3" s="21"/>
      <c r="S3" s="21"/>
      <c r="T3" s="21"/>
      <c r="U3" s="21"/>
      <c r="V3" s="21"/>
      <c r="W3" s="21"/>
    </row>
    <row r="4" spans="1:23" x14ac:dyDescent="0.25">
      <c r="D4" s="21"/>
    </row>
    <row r="5" spans="1:23" x14ac:dyDescent="0.25">
      <c r="C5" s="20" t="s">
        <v>44</v>
      </c>
      <c r="D5" s="21"/>
      <c r="E5" s="20" t="s">
        <v>54</v>
      </c>
      <c r="G5" s="20" t="s">
        <v>55</v>
      </c>
    </row>
    <row r="6" spans="1:23" x14ac:dyDescent="0.25">
      <c r="B6" s="21">
        <v>1</v>
      </c>
      <c r="C6" s="21">
        <v>1430000000000000</v>
      </c>
      <c r="D6" s="21">
        <f>D7</f>
        <v>2.7500000000000002E-4</v>
      </c>
      <c r="E6" s="21">
        <v>1</v>
      </c>
      <c r="F6" s="21">
        <f>D6</f>
        <v>2.7500000000000002E-4</v>
      </c>
      <c r="G6" s="21">
        <v>1</v>
      </c>
      <c r="H6" s="21">
        <f>H7</f>
        <v>1.4300534139395986E-2</v>
      </c>
      <c r="I6" s="21"/>
      <c r="J6" s="21"/>
      <c r="K6" s="21"/>
      <c r="L6" s="21"/>
      <c r="O6" s="21"/>
    </row>
    <row r="7" spans="1:23" x14ac:dyDescent="0.25">
      <c r="B7" s="21">
        <f t="shared" ref="B7" si="0">C7*70</f>
        <v>1.001E+20</v>
      </c>
      <c r="C7" s="21">
        <v>1.43E+18</v>
      </c>
      <c r="D7" s="21">
        <f>B16</f>
        <v>2.7500000000000002E-4</v>
      </c>
      <c r="E7" s="21">
        <f>B7/4500</f>
        <v>2.2244444444444444E+16</v>
      </c>
      <c r="F7" s="21">
        <f t="shared" ref="F7:F8" si="1">D7</f>
        <v>2.7500000000000002E-4</v>
      </c>
      <c r="G7" s="21">
        <f>B7/500000</f>
        <v>200200000000000</v>
      </c>
      <c r="H7" s="21">
        <f>14195000000*G7^-0.83885</f>
        <v>1.4300534139395986E-2</v>
      </c>
      <c r="I7" s="21"/>
      <c r="J7" s="21"/>
      <c r="K7" s="21"/>
      <c r="L7" s="21"/>
      <c r="O7" s="21"/>
    </row>
    <row r="8" spans="1:23" x14ac:dyDescent="0.25">
      <c r="B8" s="21">
        <v>1E+22</v>
      </c>
      <c r="C8" s="21">
        <v>1.4299999999999999E+23</v>
      </c>
      <c r="D8" s="21">
        <f>I16</f>
        <v>5.7810000000000002E-6</v>
      </c>
      <c r="E8" s="21">
        <f>B8/4500</f>
        <v>2.2222222222222223E+18</v>
      </c>
      <c r="F8" s="21">
        <f t="shared" si="1"/>
        <v>5.7810000000000002E-6</v>
      </c>
      <c r="G8" s="21">
        <f>B8/500000</f>
        <v>2E+16</v>
      </c>
      <c r="H8" s="21">
        <f>14195000000*G8^-0.83885</f>
        <v>3.0061897175778801E-4</v>
      </c>
      <c r="I8" s="21"/>
      <c r="J8" s="21"/>
      <c r="K8" s="21"/>
      <c r="L8" s="21"/>
      <c r="O8" s="21"/>
    </row>
    <row r="9" spans="1:23" x14ac:dyDescent="0.25">
      <c r="R9" s="21"/>
      <c r="S9" s="21"/>
    </row>
    <row r="10" spans="1:23" x14ac:dyDescent="0.25">
      <c r="B10" s="22">
        <v>5.53E+17</v>
      </c>
      <c r="C10" s="20" t="s">
        <v>0</v>
      </c>
      <c r="D10" s="20" t="s">
        <v>26</v>
      </c>
      <c r="R10" s="21"/>
      <c r="S10" s="21"/>
    </row>
    <row r="11" spans="1:23" x14ac:dyDescent="0.25">
      <c r="B11" s="27">
        <f>B3/100</f>
        <v>2.34</v>
      </c>
      <c r="C11" s="20" t="s">
        <v>24</v>
      </c>
      <c r="D11" s="20" t="s">
        <v>25</v>
      </c>
      <c r="R11" s="21"/>
      <c r="S11" s="21"/>
    </row>
    <row r="13" spans="1:23" x14ac:dyDescent="0.25">
      <c r="B13" s="20" t="s">
        <v>56</v>
      </c>
    </row>
    <row r="14" spans="1:23" x14ac:dyDescent="0.25">
      <c r="A14" s="20" t="s">
        <v>45</v>
      </c>
      <c r="B14" s="21">
        <v>1E+20</v>
      </c>
      <c r="C14" s="20" t="s">
        <v>20</v>
      </c>
      <c r="D14" s="20" t="s">
        <v>27</v>
      </c>
      <c r="F14" s="21">
        <v>1E+21</v>
      </c>
      <c r="G14" s="20" t="s">
        <v>20</v>
      </c>
      <c r="H14" s="20" t="s">
        <v>30</v>
      </c>
      <c r="I14" s="21">
        <v>1E+22</v>
      </c>
      <c r="J14" s="20" t="s">
        <v>20</v>
      </c>
      <c r="K14" s="20" t="s">
        <v>37</v>
      </c>
      <c r="L14" s="21">
        <v>9.9999999999999992E+22</v>
      </c>
      <c r="M14" s="20" t="s">
        <v>20</v>
      </c>
      <c r="N14" s="20" t="s">
        <v>37</v>
      </c>
      <c r="P14" s="21">
        <f>$B$10/$B$11*P15</f>
        <v>9.9999999999999992E+22</v>
      </c>
      <c r="Q14" s="21">
        <f>$B$10/$B$11*Q15</f>
        <v>1.381668372818821E+24</v>
      </c>
    </row>
    <row r="15" spans="1:23" x14ac:dyDescent="0.25">
      <c r="A15" s="20" t="s">
        <v>46</v>
      </c>
      <c r="B15" s="23">
        <f>B14*$B$11/$B$10</f>
        <v>423.14647377938519</v>
      </c>
      <c r="C15" s="20" t="s">
        <v>10</v>
      </c>
      <c r="D15" s="20" t="s">
        <v>28</v>
      </c>
      <c r="F15" s="23">
        <f>F14*$B$11/$B$10</f>
        <v>4231.4647377938509</v>
      </c>
      <c r="G15" s="20" t="s">
        <v>10</v>
      </c>
      <c r="H15" s="20" t="s">
        <v>28</v>
      </c>
      <c r="I15" s="23">
        <f>I14*$B$11/$B$10</f>
        <v>42314.647377938512</v>
      </c>
      <c r="J15" s="20" t="s">
        <v>10</v>
      </c>
      <c r="K15" s="20" t="s">
        <v>28</v>
      </c>
      <c r="L15" s="23">
        <f>L14*$B$11/$B$10</f>
        <v>423146.47377938509</v>
      </c>
      <c r="M15" s="20" t="s">
        <v>10</v>
      </c>
      <c r="N15" s="20" t="s">
        <v>28</v>
      </c>
      <c r="P15" s="21">
        <f>I15*10</f>
        <v>423146.47377938509</v>
      </c>
      <c r="Q15" s="21">
        <v>5846480.9989078501</v>
      </c>
    </row>
    <row r="16" spans="1:23" x14ac:dyDescent="0.25">
      <c r="B16" s="21">
        <v>2.7500000000000002E-4</v>
      </c>
      <c r="C16" s="20" t="s">
        <v>21</v>
      </c>
      <c r="D16" s="20" t="s">
        <v>29</v>
      </c>
      <c r="F16" s="21">
        <v>3.964E-5</v>
      </c>
      <c r="G16" s="20" t="s">
        <v>21</v>
      </c>
      <c r="H16" s="20" t="s">
        <v>29</v>
      </c>
      <c r="I16" s="21">
        <v>5.7810000000000002E-6</v>
      </c>
      <c r="J16" s="20" t="s">
        <v>21</v>
      </c>
      <c r="K16" s="20" t="s">
        <v>29</v>
      </c>
      <c r="L16" s="21"/>
      <c r="M16" s="20" t="s">
        <v>21</v>
      </c>
      <c r="N16" s="20" t="s">
        <v>29</v>
      </c>
    </row>
    <row r="17" spans="1:17" x14ac:dyDescent="0.25">
      <c r="B17" s="21">
        <f>B16*$B$10*4.14E-20</f>
        <v>6.2959050000000005E-6</v>
      </c>
      <c r="C17" s="20" t="s">
        <v>8</v>
      </c>
      <c r="D17" s="20" t="s">
        <v>38</v>
      </c>
      <c r="F17" s="21">
        <f>F16*$B$10*4.14E-20</f>
        <v>9.0752608800000008E-7</v>
      </c>
      <c r="G17" s="20" t="s">
        <v>8</v>
      </c>
      <c r="H17" s="20" t="s">
        <v>38</v>
      </c>
      <c r="I17" s="21">
        <f>I16*$B$10*4.14E-20</f>
        <v>1.323513702E-7</v>
      </c>
      <c r="J17" s="20" t="s">
        <v>8</v>
      </c>
      <c r="K17" s="20" t="s">
        <v>38</v>
      </c>
      <c r="L17" s="21">
        <f>L16*$B$10*4.14E-20</f>
        <v>0</v>
      </c>
      <c r="M17" s="20" t="s">
        <v>8</v>
      </c>
      <c r="N17" s="20" t="s">
        <v>38</v>
      </c>
    </row>
    <row r="18" spans="1:17" x14ac:dyDescent="0.25">
      <c r="A18" s="20" t="s">
        <v>50</v>
      </c>
      <c r="B18" s="24"/>
      <c r="C18" s="20" t="s">
        <v>8</v>
      </c>
      <c r="F18" s="24"/>
      <c r="G18" s="20" t="s">
        <v>8</v>
      </c>
      <c r="I18" s="24"/>
      <c r="J18" s="20" t="s">
        <v>8</v>
      </c>
      <c r="L18" s="24"/>
      <c r="M18" s="20" t="s">
        <v>8</v>
      </c>
      <c r="P18" s="24"/>
      <c r="Q18" s="24"/>
    </row>
    <row r="19" spans="1:17" x14ac:dyDescent="0.25">
      <c r="B19" s="23">
        <f>B18/4.14E-20</f>
        <v>0</v>
      </c>
      <c r="C19" s="20" t="s">
        <v>32</v>
      </c>
      <c r="F19" s="23">
        <f>F18/4.14E-20</f>
        <v>0</v>
      </c>
      <c r="G19" s="20" t="s">
        <v>32</v>
      </c>
      <c r="I19" s="23">
        <f>I18/4.14E-20</f>
        <v>0</v>
      </c>
      <c r="J19" s="20" t="s">
        <v>32</v>
      </c>
      <c r="L19" s="23">
        <f>L18/4.14E-20</f>
        <v>0</v>
      </c>
      <c r="M19" s="20" t="s">
        <v>32</v>
      </c>
      <c r="P19" s="23">
        <f>P18/4.14E-20</f>
        <v>0</v>
      </c>
      <c r="Q19" s="23">
        <f>Q18/4.14E-20</f>
        <v>0</v>
      </c>
    </row>
    <row r="20" spans="1:17" x14ac:dyDescent="0.25">
      <c r="B20" s="23">
        <f>B19/$B$10</f>
        <v>0</v>
      </c>
      <c r="C20" s="20" t="s">
        <v>21</v>
      </c>
      <c r="F20" s="23">
        <f>F19/$B$10</f>
        <v>0</v>
      </c>
      <c r="G20" s="20" t="s">
        <v>21</v>
      </c>
      <c r="I20" s="23">
        <f>I19/$B$10</f>
        <v>0</v>
      </c>
      <c r="J20" s="20" t="s">
        <v>21</v>
      </c>
      <c r="L20" s="23">
        <f>L19/$B$10</f>
        <v>0</v>
      </c>
      <c r="M20" s="20" t="s">
        <v>21</v>
      </c>
      <c r="P20" s="23">
        <f>P19/$B$10</f>
        <v>0</v>
      </c>
      <c r="Q20" s="23">
        <f>Q19/$B$10</f>
        <v>0</v>
      </c>
    </row>
    <row r="21" spans="1:17" x14ac:dyDescent="0.25">
      <c r="B21" s="25">
        <f>B20/B$16</f>
        <v>0</v>
      </c>
      <c r="C21" s="20" t="s">
        <v>31</v>
      </c>
      <c r="F21" s="25">
        <f>F20/F$16</f>
        <v>0</v>
      </c>
      <c r="G21" s="20" t="s">
        <v>31</v>
      </c>
      <c r="I21" s="25">
        <f>I20/I$16</f>
        <v>0</v>
      </c>
      <c r="J21" s="20" t="s">
        <v>31</v>
      </c>
      <c r="L21" s="25" t="e">
        <f>L20/L$16</f>
        <v>#DIV/0!</v>
      </c>
      <c r="M21" s="20" t="s">
        <v>31</v>
      </c>
      <c r="P21" s="25"/>
      <c r="Q21" s="25"/>
    </row>
    <row r="22" spans="1:17" x14ac:dyDescent="0.25">
      <c r="A22" s="20" t="s">
        <v>54</v>
      </c>
      <c r="B22" s="24"/>
      <c r="C22" s="20" t="s">
        <v>8</v>
      </c>
      <c r="F22" s="24"/>
      <c r="G22" s="20" t="s">
        <v>8</v>
      </c>
      <c r="I22" s="24"/>
      <c r="J22" s="20" t="s">
        <v>8</v>
      </c>
      <c r="L22" s="24"/>
      <c r="M22" s="20" t="s">
        <v>8</v>
      </c>
      <c r="P22" s="24"/>
      <c r="Q22" s="24"/>
    </row>
    <row r="23" spans="1:17" x14ac:dyDescent="0.25">
      <c r="B23" s="23">
        <f>B22/4.14E-20</f>
        <v>0</v>
      </c>
      <c r="C23" s="20" t="s">
        <v>32</v>
      </c>
      <c r="F23" s="23">
        <f>F22/4.14E-20</f>
        <v>0</v>
      </c>
      <c r="G23" s="20" t="s">
        <v>32</v>
      </c>
      <c r="I23" s="23">
        <f>I22/4.14E-20</f>
        <v>0</v>
      </c>
      <c r="J23" s="20" t="s">
        <v>32</v>
      </c>
      <c r="L23" s="23">
        <f>L22/4.14E-20</f>
        <v>0</v>
      </c>
      <c r="M23" s="20" t="s">
        <v>32</v>
      </c>
      <c r="P23" s="23">
        <f>P22/4.14E-20</f>
        <v>0</v>
      </c>
      <c r="Q23" s="23">
        <f>Q22/4.14E-20</f>
        <v>0</v>
      </c>
    </row>
    <row r="24" spans="1:17" x14ac:dyDescent="0.25">
      <c r="B24" s="23">
        <f>B23/$B$10</f>
        <v>0</v>
      </c>
      <c r="C24" s="20" t="s">
        <v>21</v>
      </c>
      <c r="F24" s="23">
        <f>F23/$B$10</f>
        <v>0</v>
      </c>
      <c r="G24" s="20" t="s">
        <v>21</v>
      </c>
      <c r="I24" s="23">
        <f>I23/$B$10</f>
        <v>0</v>
      </c>
      <c r="J24" s="20" t="s">
        <v>21</v>
      </c>
      <c r="L24" s="23">
        <f>L23/$B$10</f>
        <v>0</v>
      </c>
      <c r="M24" s="20" t="s">
        <v>21</v>
      </c>
      <c r="P24" s="23">
        <f>P23/$B$10</f>
        <v>0</v>
      </c>
      <c r="Q24" s="23">
        <f>Q23/$B$10</f>
        <v>0</v>
      </c>
    </row>
    <row r="25" spans="1:17" x14ac:dyDescent="0.25">
      <c r="B25" s="25">
        <f>B24/B$16</f>
        <v>0</v>
      </c>
      <c r="C25" s="20" t="s">
        <v>31</v>
      </c>
      <c r="F25" s="25">
        <f>F24/F$16</f>
        <v>0</v>
      </c>
      <c r="G25" s="20" t="s">
        <v>31</v>
      </c>
      <c r="I25" s="25">
        <f>I24/I$16</f>
        <v>0</v>
      </c>
      <c r="J25" s="20" t="s">
        <v>31</v>
      </c>
      <c r="L25" s="25" t="e">
        <f>L24/L$16</f>
        <v>#DIV/0!</v>
      </c>
      <c r="M25" s="20" t="s">
        <v>31</v>
      </c>
      <c r="P25" s="25"/>
      <c r="Q25" s="25"/>
    </row>
    <row r="26" spans="1:17" x14ac:dyDescent="0.25">
      <c r="A26" s="20" t="s">
        <v>55</v>
      </c>
      <c r="B26" s="24"/>
      <c r="C26" s="20" t="s">
        <v>8</v>
      </c>
      <c r="F26" s="24"/>
      <c r="G26" s="20" t="s">
        <v>8</v>
      </c>
      <c r="I26" s="24">
        <v>1.30538E-7</v>
      </c>
      <c r="J26" s="20" t="s">
        <v>8</v>
      </c>
      <c r="L26" s="24"/>
      <c r="M26" s="20" t="s">
        <v>8</v>
      </c>
      <c r="P26" s="24">
        <v>1.0516200000000001E-8</v>
      </c>
      <c r="Q26" s="24">
        <v>1.51389E-9</v>
      </c>
    </row>
    <row r="27" spans="1:17" x14ac:dyDescent="0.25">
      <c r="B27" s="23">
        <f>B26/4.14E-20</f>
        <v>0</v>
      </c>
      <c r="C27" s="20" t="s">
        <v>32</v>
      </c>
      <c r="F27" s="23">
        <f>F26/4.14E-20</f>
        <v>0</v>
      </c>
      <c r="G27" s="20" t="s">
        <v>32</v>
      </c>
      <c r="I27" s="23">
        <f>I26/4.14E-20</f>
        <v>3153091787439.6133</v>
      </c>
      <c r="J27" s="20" t="s">
        <v>32</v>
      </c>
      <c r="L27" s="23">
        <f>L26/4.14E-20</f>
        <v>0</v>
      </c>
      <c r="M27" s="20" t="s">
        <v>32</v>
      </c>
      <c r="P27" s="23">
        <f>P26/4.14E-20</f>
        <v>254014492753.6232</v>
      </c>
      <c r="Q27" s="23">
        <f>Q26/4.14E-20</f>
        <v>36567391304.347824</v>
      </c>
    </row>
    <row r="28" spans="1:17" x14ac:dyDescent="0.25">
      <c r="B28" s="23">
        <f>B27/$B$10</f>
        <v>0</v>
      </c>
      <c r="C28" s="20" t="s">
        <v>21</v>
      </c>
      <c r="F28" s="23">
        <f>F27/$B$10</f>
        <v>0</v>
      </c>
      <c r="G28" s="20" t="s">
        <v>21</v>
      </c>
      <c r="I28" s="23">
        <f>I27/$B$10</f>
        <v>5.7017934673410725E-6</v>
      </c>
      <c r="J28" s="20" t="s">
        <v>21</v>
      </c>
      <c r="L28" s="23">
        <f>L27/$B$10</f>
        <v>0</v>
      </c>
      <c r="M28" s="20" t="s">
        <v>21</v>
      </c>
      <c r="P28" s="23">
        <f>P27/$B$10</f>
        <v>4.5933904657074717E-7</v>
      </c>
      <c r="Q28" s="23">
        <f>Q27/$B$10</f>
        <v>6.612548156301596E-8</v>
      </c>
    </row>
    <row r="29" spans="1:17" x14ac:dyDescent="0.25">
      <c r="B29" s="25">
        <f>B28/B$16</f>
        <v>0</v>
      </c>
      <c r="C29" s="20" t="s">
        <v>31</v>
      </c>
      <c r="F29" s="25">
        <f>F28/F$16</f>
        <v>0</v>
      </c>
      <c r="G29" s="20" t="s">
        <v>31</v>
      </c>
      <c r="I29" s="25">
        <f>I28/I$16</f>
        <v>0.98629881808356212</v>
      </c>
      <c r="J29" s="20" t="s">
        <v>31</v>
      </c>
      <c r="L29" s="25" t="e">
        <f>L28/L$16</f>
        <v>#DIV/0!</v>
      </c>
      <c r="M29" s="20" t="s">
        <v>31</v>
      </c>
      <c r="P29" s="25"/>
      <c r="Q29" s="25"/>
    </row>
    <row r="30" spans="1:17" x14ac:dyDescent="0.25">
      <c r="A30" s="20" t="s">
        <v>51</v>
      </c>
      <c r="B30" s="24">
        <v>6.2732700000000002E-6</v>
      </c>
      <c r="C30" s="20" t="s">
        <v>8</v>
      </c>
      <c r="F30" s="24">
        <v>9.3825600000000003E-7</v>
      </c>
      <c r="G30" s="20" t="s">
        <v>8</v>
      </c>
      <c r="I30" s="24">
        <v>1.3612700000000001E-7</v>
      </c>
      <c r="J30" s="20" t="s">
        <v>8</v>
      </c>
      <c r="L30" s="24"/>
      <c r="M30" s="20" t="s">
        <v>8</v>
      </c>
      <c r="P30" s="24"/>
      <c r="Q30" s="24"/>
    </row>
    <row r="31" spans="1:17" x14ac:dyDescent="0.25">
      <c r="A31" s="20" t="s">
        <v>52</v>
      </c>
      <c r="B31" s="23">
        <f>B30/4.14E-20</f>
        <v>151528260869565.22</v>
      </c>
      <c r="C31" s="20" t="s">
        <v>32</v>
      </c>
      <c r="F31" s="23">
        <f>F30/4.14E-20</f>
        <v>22663188405797.102</v>
      </c>
      <c r="G31" s="20" t="s">
        <v>32</v>
      </c>
      <c r="I31" s="23">
        <f>I30/4.14E-20</f>
        <v>3288091787439.6138</v>
      </c>
      <c r="J31" s="20" t="s">
        <v>32</v>
      </c>
      <c r="L31" s="23">
        <f>L30/4.14E-20</f>
        <v>0</v>
      </c>
      <c r="M31" s="20" t="s">
        <v>32</v>
      </c>
      <c r="P31" s="23">
        <f>P30/4.14E-20</f>
        <v>0</v>
      </c>
      <c r="Q31" s="23">
        <f>Q30/4.14E-20</f>
        <v>0</v>
      </c>
    </row>
    <row r="32" spans="1:17" x14ac:dyDescent="0.25">
      <c r="B32" s="23">
        <f>B31/$B$10</f>
        <v>2.740113216447834E-4</v>
      </c>
      <c r="C32" s="20" t="s">
        <v>21</v>
      </c>
      <c r="F32" s="23">
        <f>F31/$B$10</f>
        <v>4.0982257515003802E-5</v>
      </c>
      <c r="G32" s="20" t="s">
        <v>21</v>
      </c>
      <c r="I32" s="23">
        <f>I31/$B$10</f>
        <v>5.9459164329830271E-6</v>
      </c>
      <c r="J32" s="20" t="s">
        <v>21</v>
      </c>
      <c r="L32" s="23">
        <f>L31/$B$10</f>
        <v>0</v>
      </c>
      <c r="M32" s="20" t="s">
        <v>21</v>
      </c>
      <c r="P32" s="23">
        <f>P31/$B$10</f>
        <v>0</v>
      </c>
      <c r="Q32" s="23">
        <f>Q31/$B$10</f>
        <v>0</v>
      </c>
    </row>
    <row r="33" spans="1:17" x14ac:dyDescent="0.25">
      <c r="B33" s="25">
        <f>B32/B$16</f>
        <v>0.99640480598103054</v>
      </c>
      <c r="C33" s="20" t="s">
        <v>31</v>
      </c>
      <c r="F33" s="25">
        <f>F32/F$16</f>
        <v>1.0338611885722453</v>
      </c>
      <c r="G33" s="20" t="s">
        <v>31</v>
      </c>
      <c r="I33" s="25">
        <f>I32/I$16</f>
        <v>1.0285273193189806</v>
      </c>
      <c r="J33" s="20" t="s">
        <v>31</v>
      </c>
      <c r="L33" s="25" t="e">
        <f>L32/L$16</f>
        <v>#DIV/0!</v>
      </c>
      <c r="M33" s="20" t="s">
        <v>31</v>
      </c>
      <c r="P33" s="25"/>
      <c r="Q33" s="25"/>
    </row>
    <row r="34" spans="1:17" x14ac:dyDescent="0.25">
      <c r="A34" s="29"/>
      <c r="B34" s="30"/>
      <c r="C34" s="29"/>
      <c r="D34" s="29"/>
      <c r="E34" s="29"/>
      <c r="F34" s="30"/>
      <c r="G34" s="29"/>
      <c r="H34" s="29"/>
      <c r="I34" s="30"/>
      <c r="J34" s="29"/>
      <c r="K34" s="29"/>
      <c r="L34" s="30"/>
      <c r="M34" s="29"/>
      <c r="N34" s="29"/>
      <c r="O34" s="29"/>
      <c r="P34" s="30"/>
      <c r="Q34" s="30"/>
    </row>
    <row r="35" spans="1:17" x14ac:dyDescent="0.25">
      <c r="A35" s="29"/>
      <c r="B35" s="30"/>
      <c r="C35" s="29"/>
      <c r="D35" s="29"/>
      <c r="E35" s="29"/>
      <c r="F35" s="30"/>
      <c r="G35" s="29"/>
      <c r="H35" s="29"/>
      <c r="I35" s="30"/>
      <c r="J35" s="29"/>
      <c r="K35" s="29"/>
      <c r="L35" s="30"/>
      <c r="M35" s="29"/>
      <c r="N35" s="29"/>
      <c r="O35" s="29"/>
      <c r="P35" s="30"/>
      <c r="Q35" s="30"/>
    </row>
    <row r="36" spans="1:17" x14ac:dyDescent="0.25">
      <c r="A36" s="29"/>
      <c r="B36" s="30"/>
      <c r="C36" s="29"/>
      <c r="D36" s="29"/>
      <c r="E36" s="29"/>
      <c r="F36" s="30"/>
      <c r="G36" s="29"/>
      <c r="H36" s="29"/>
      <c r="I36" s="30"/>
      <c r="J36" s="29"/>
      <c r="K36" s="29"/>
      <c r="L36" s="30"/>
      <c r="M36" s="29"/>
      <c r="N36" s="29"/>
      <c r="O36" s="29"/>
      <c r="P36" s="30"/>
      <c r="Q36" s="30"/>
    </row>
    <row r="37" spans="1:17" x14ac:dyDescent="0.25">
      <c r="A37" s="29"/>
      <c r="B37" s="31"/>
      <c r="C37" s="29"/>
      <c r="D37" s="29"/>
      <c r="E37" s="29"/>
      <c r="F37" s="31"/>
      <c r="G37" s="29"/>
      <c r="H37" s="29"/>
      <c r="I37" s="31"/>
      <c r="J37" s="29"/>
      <c r="K37" s="29"/>
      <c r="L37" s="31"/>
      <c r="M37" s="29"/>
      <c r="N37" s="29"/>
      <c r="O37" s="29"/>
      <c r="P37" s="31"/>
      <c r="Q37" s="31"/>
    </row>
    <row r="38" spans="1:17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3" spans="1:17" x14ac:dyDescent="0.25">
      <c r="A43" s="29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</row>
    <row r="44" spans="1:17" x14ac:dyDescent="0.25">
      <c r="A44" s="29"/>
      <c r="B44" s="30"/>
      <c r="C44" s="29"/>
      <c r="D44" s="29"/>
      <c r="E44" s="29"/>
      <c r="F44" s="30"/>
      <c r="G44" s="29"/>
      <c r="H44" s="29"/>
      <c r="I44" s="30"/>
      <c r="J44" s="29"/>
      <c r="K44" s="29"/>
      <c r="L44" s="30"/>
      <c r="M44" s="29"/>
      <c r="N44" s="29"/>
      <c r="O44" s="29"/>
    </row>
    <row r="45" spans="1:17" x14ac:dyDescent="0.25">
      <c r="A45" s="29"/>
      <c r="B45" s="30"/>
      <c r="C45" s="29"/>
      <c r="D45" s="29"/>
      <c r="E45" s="29"/>
      <c r="F45" s="30"/>
      <c r="G45" s="29"/>
      <c r="H45" s="29"/>
      <c r="I45" s="30"/>
      <c r="J45" s="29"/>
      <c r="K45" s="29"/>
      <c r="L45" s="30"/>
      <c r="M45" s="29"/>
      <c r="N45" s="29"/>
      <c r="O45" s="29"/>
    </row>
    <row r="46" spans="1:17" x14ac:dyDescent="0.25">
      <c r="A46" s="29"/>
      <c r="B46" s="30"/>
      <c r="C46" s="29"/>
      <c r="D46" s="29"/>
      <c r="E46" s="29"/>
      <c r="F46" s="30"/>
      <c r="G46" s="29"/>
      <c r="H46" s="29"/>
      <c r="I46" s="30"/>
      <c r="J46" s="29"/>
      <c r="K46" s="29"/>
      <c r="L46" s="30"/>
      <c r="M46" s="29"/>
      <c r="N46" s="29"/>
      <c r="O46" s="29"/>
    </row>
    <row r="47" spans="1:17" x14ac:dyDescent="0.25">
      <c r="A47" s="29"/>
      <c r="B47" s="30"/>
      <c r="C47" s="29"/>
      <c r="D47" s="29"/>
      <c r="E47" s="29"/>
      <c r="F47" s="30"/>
      <c r="G47" s="29"/>
      <c r="H47" s="29"/>
      <c r="I47" s="30"/>
      <c r="J47" s="29"/>
      <c r="K47" s="29"/>
      <c r="L47" s="30"/>
      <c r="M47" s="29"/>
      <c r="N47" s="29"/>
      <c r="O47" s="29"/>
    </row>
    <row r="48" spans="1:17" x14ac:dyDescent="0.25">
      <c r="A48" s="29"/>
      <c r="B48" s="30"/>
      <c r="C48" s="29"/>
      <c r="D48" s="29"/>
      <c r="E48" s="29"/>
      <c r="F48" s="30"/>
      <c r="G48" s="29"/>
      <c r="H48" s="29"/>
      <c r="I48" s="30"/>
      <c r="J48" s="29"/>
      <c r="K48" s="29"/>
      <c r="L48" s="30"/>
      <c r="M48" s="29"/>
      <c r="N48" s="29"/>
      <c r="O48" s="29"/>
    </row>
    <row r="49" spans="1:15" x14ac:dyDescent="0.25">
      <c r="A49" s="29"/>
      <c r="B49" s="30"/>
      <c r="C49" s="29"/>
      <c r="D49" s="29"/>
      <c r="E49" s="29"/>
      <c r="F49" s="30"/>
      <c r="G49" s="29"/>
      <c r="H49" s="29"/>
      <c r="I49" s="30"/>
      <c r="J49" s="29"/>
      <c r="K49" s="29"/>
      <c r="L49" s="30"/>
      <c r="M49" s="29"/>
      <c r="N49" s="29"/>
      <c r="O49" s="29"/>
    </row>
    <row r="50" spans="1:15" x14ac:dyDescent="0.25">
      <c r="A50" s="29"/>
      <c r="B50" s="30"/>
      <c r="C50" s="29"/>
      <c r="D50" s="29"/>
      <c r="E50" s="29"/>
      <c r="F50" s="30"/>
      <c r="G50" s="29"/>
      <c r="H50" s="29"/>
      <c r="I50" s="30"/>
      <c r="J50" s="29"/>
      <c r="K50" s="29"/>
      <c r="L50" s="30"/>
      <c r="M50" s="29"/>
      <c r="N50" s="29"/>
      <c r="O50" s="29"/>
    </row>
    <row r="51" spans="1:15" x14ac:dyDescent="0.25">
      <c r="A51" s="29"/>
      <c r="B51" s="31"/>
      <c r="C51" s="29"/>
      <c r="D51" s="29"/>
      <c r="E51" s="29"/>
      <c r="F51" s="31"/>
      <c r="G51" s="29"/>
      <c r="H51" s="29"/>
      <c r="I51" s="31"/>
      <c r="J51" s="29"/>
      <c r="K51" s="29"/>
      <c r="L51" s="31"/>
      <c r="M51" s="29"/>
      <c r="N51" s="29"/>
      <c r="O51" s="29"/>
    </row>
    <row r="52" spans="1:15" x14ac:dyDescent="0.25">
      <c r="A52" s="29"/>
      <c r="B52" s="30"/>
      <c r="C52" s="29"/>
      <c r="D52" s="29"/>
      <c r="E52" s="29"/>
      <c r="F52" s="30"/>
      <c r="G52" s="29"/>
      <c r="H52" s="29"/>
      <c r="I52" s="30"/>
      <c r="J52" s="29"/>
      <c r="K52" s="29"/>
      <c r="L52" s="30"/>
      <c r="M52" s="29"/>
      <c r="N52" s="29"/>
      <c r="O52" s="29"/>
    </row>
    <row r="53" spans="1:15" x14ac:dyDescent="0.25">
      <c r="A53" s="29"/>
      <c r="B53" s="30"/>
      <c r="C53" s="29"/>
      <c r="D53" s="29"/>
      <c r="E53" s="29"/>
      <c r="F53" s="30"/>
      <c r="G53" s="29"/>
      <c r="H53" s="29"/>
      <c r="I53" s="30"/>
      <c r="J53" s="29"/>
      <c r="K53" s="29"/>
      <c r="L53" s="30"/>
      <c r="M53" s="29"/>
      <c r="N53" s="29"/>
      <c r="O53" s="29"/>
    </row>
    <row r="54" spans="1:15" x14ac:dyDescent="0.25">
      <c r="A54" s="29"/>
      <c r="B54" s="30"/>
      <c r="C54" s="29"/>
      <c r="D54" s="29"/>
      <c r="E54" s="29"/>
      <c r="F54" s="30"/>
      <c r="G54" s="29"/>
      <c r="H54" s="29"/>
      <c r="I54" s="30"/>
      <c r="J54" s="29"/>
      <c r="K54" s="29"/>
      <c r="L54" s="30"/>
      <c r="M54" s="29"/>
      <c r="N54" s="29"/>
      <c r="O54" s="29"/>
    </row>
    <row r="55" spans="1:15" x14ac:dyDescent="0.25">
      <c r="A55" s="29"/>
      <c r="B55" s="31"/>
      <c r="C55" s="29"/>
      <c r="D55" s="29"/>
      <c r="E55" s="29"/>
      <c r="F55" s="31"/>
      <c r="G55" s="29"/>
      <c r="H55" s="29"/>
      <c r="I55" s="31"/>
      <c r="J55" s="29"/>
      <c r="K55" s="29"/>
      <c r="L55" s="31"/>
      <c r="M55" s="29"/>
      <c r="N55" s="29"/>
      <c r="O55" s="29"/>
    </row>
    <row r="63" spans="1:15" x14ac:dyDescent="0.25">
      <c r="C63" s="21"/>
    </row>
    <row r="64" spans="1:15" x14ac:dyDescent="0.25">
      <c r="C64" s="21"/>
    </row>
    <row r="65" spans="3:10" x14ac:dyDescent="0.25">
      <c r="C65" s="21"/>
    </row>
    <row r="66" spans="3:10" x14ac:dyDescent="0.25">
      <c r="C66" s="21"/>
    </row>
    <row r="67" spans="3:10" x14ac:dyDescent="0.25">
      <c r="C67" s="21"/>
    </row>
    <row r="68" spans="3:10" x14ac:dyDescent="0.25">
      <c r="C68" s="21"/>
    </row>
    <row r="69" spans="3:10" x14ac:dyDescent="0.25">
      <c r="C69" s="21"/>
    </row>
    <row r="70" spans="3:10" x14ac:dyDescent="0.25">
      <c r="C70" s="21"/>
    </row>
    <row r="71" spans="3:10" x14ac:dyDescent="0.25">
      <c r="C71" s="21"/>
      <c r="I71" s="21"/>
      <c r="J71" s="21"/>
    </row>
    <row r="72" spans="3:10" x14ac:dyDescent="0.25">
      <c r="C72" s="21"/>
      <c r="I72" s="21"/>
      <c r="J72" s="21"/>
    </row>
    <row r="73" spans="3:10" x14ac:dyDescent="0.25">
      <c r="C73" s="21"/>
      <c r="I73" s="21"/>
      <c r="J73" s="21"/>
    </row>
    <row r="74" spans="3:10" x14ac:dyDescent="0.25">
      <c r="C74" s="21"/>
      <c r="I74" s="21"/>
      <c r="J74" s="21"/>
    </row>
    <row r="75" spans="3:10" x14ac:dyDescent="0.25">
      <c r="C75" s="21"/>
      <c r="I75" s="21"/>
      <c r="J75" s="21"/>
    </row>
    <row r="76" spans="3:10" x14ac:dyDescent="0.25">
      <c r="C76" s="21"/>
    </row>
    <row r="77" spans="3:10" x14ac:dyDescent="0.25">
      <c r="C77" s="21"/>
    </row>
    <row r="78" spans="3:10" x14ac:dyDescent="0.25">
      <c r="C78" s="21"/>
    </row>
    <row r="79" spans="3:10" x14ac:dyDescent="0.25">
      <c r="C79" s="21"/>
    </row>
    <row r="80" spans="3:10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1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1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  <row r="123" spans="3:3" x14ac:dyDescent="0.25">
      <c r="C123" s="21"/>
    </row>
    <row r="124" spans="3:3" x14ac:dyDescent="0.25">
      <c r="C124" s="21"/>
    </row>
    <row r="125" spans="3:3" x14ac:dyDescent="0.25">
      <c r="C125" s="21"/>
    </row>
    <row r="126" spans="3:3" x14ac:dyDescent="0.25">
      <c r="C126" s="21"/>
    </row>
    <row r="127" spans="3:3" x14ac:dyDescent="0.25">
      <c r="C127" s="21"/>
    </row>
    <row r="128" spans="3:3" x14ac:dyDescent="0.25">
      <c r="C128" s="21"/>
    </row>
    <row r="129" spans="3:3" x14ac:dyDescent="0.25">
      <c r="C129" s="21"/>
    </row>
    <row r="130" spans="3:3" x14ac:dyDescent="0.25">
      <c r="C130" s="21"/>
    </row>
    <row r="131" spans="3:3" x14ac:dyDescent="0.25">
      <c r="C131" s="21"/>
    </row>
    <row r="132" spans="3:3" x14ac:dyDescent="0.25">
      <c r="C132" s="21"/>
    </row>
    <row r="133" spans="3:3" x14ac:dyDescent="0.25">
      <c r="C133" s="21"/>
    </row>
    <row r="134" spans="3:3" x14ac:dyDescent="0.25">
      <c r="C134" s="21"/>
    </row>
    <row r="135" spans="3:3" x14ac:dyDescent="0.25">
      <c r="C135" s="21"/>
    </row>
    <row r="136" spans="3:3" x14ac:dyDescent="0.25">
      <c r="C136" s="21"/>
    </row>
    <row r="137" spans="3:3" x14ac:dyDescent="0.25">
      <c r="C137" s="21"/>
    </row>
    <row r="138" spans="3:3" x14ac:dyDescent="0.25">
      <c r="C138" s="21"/>
    </row>
    <row r="139" spans="3:3" x14ac:dyDescent="0.25">
      <c r="C139" s="21"/>
    </row>
    <row r="140" spans="3:3" x14ac:dyDescent="0.25">
      <c r="C140" s="21"/>
    </row>
    <row r="141" spans="3:3" x14ac:dyDescent="0.25">
      <c r="C141" s="21"/>
    </row>
    <row r="142" spans="3:3" x14ac:dyDescent="0.25">
      <c r="C142" s="21"/>
    </row>
    <row r="143" spans="3:3" x14ac:dyDescent="0.25">
      <c r="C143" s="21"/>
    </row>
    <row r="144" spans="3:3" x14ac:dyDescent="0.25">
      <c r="C144" s="21"/>
    </row>
    <row r="145" spans="3:3" x14ac:dyDescent="0.25">
      <c r="C145" s="21"/>
    </row>
    <row r="146" spans="3:3" x14ac:dyDescent="0.25">
      <c r="C146" s="21"/>
    </row>
    <row r="147" spans="3:3" x14ac:dyDescent="0.25">
      <c r="C147" s="21"/>
    </row>
    <row r="148" spans="3:3" x14ac:dyDescent="0.25">
      <c r="C148" s="21"/>
    </row>
    <row r="149" spans="3:3" x14ac:dyDescent="0.25">
      <c r="C149" s="21"/>
    </row>
    <row r="150" spans="3:3" x14ac:dyDescent="0.25">
      <c r="C150" s="21"/>
    </row>
    <row r="151" spans="3:3" x14ac:dyDescent="0.25">
      <c r="C151" s="21"/>
    </row>
    <row r="152" spans="3:3" x14ac:dyDescent="0.25">
      <c r="C152" s="21"/>
    </row>
    <row r="153" spans="3:3" x14ac:dyDescent="0.25">
      <c r="C153" s="21"/>
    </row>
    <row r="154" spans="3:3" x14ac:dyDescent="0.25">
      <c r="C154" s="21"/>
    </row>
    <row r="155" spans="3:3" x14ac:dyDescent="0.25">
      <c r="C155" s="21"/>
    </row>
    <row r="156" spans="3:3" x14ac:dyDescent="0.25">
      <c r="C156" s="21"/>
    </row>
    <row r="157" spans="3:3" x14ac:dyDescent="0.25">
      <c r="C157" s="21"/>
    </row>
    <row r="158" spans="3:3" x14ac:dyDescent="0.25">
      <c r="C158" s="21"/>
    </row>
    <row r="159" spans="3:3" x14ac:dyDescent="0.25">
      <c r="C159" s="21"/>
    </row>
    <row r="160" spans="3:3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  <row r="167" spans="3:3" x14ac:dyDescent="0.25">
      <c r="C167" s="21"/>
    </row>
    <row r="168" spans="3:3" x14ac:dyDescent="0.25">
      <c r="C168" s="21"/>
    </row>
    <row r="169" spans="3:3" x14ac:dyDescent="0.25">
      <c r="C169" s="21"/>
    </row>
    <row r="170" spans="3:3" x14ac:dyDescent="0.25">
      <c r="C170" s="2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7"/>
  <sheetViews>
    <sheetView topLeftCell="A10" zoomScale="85" zoomScaleNormal="85" workbookViewId="0">
      <selection activeCell="I68" sqref="I68"/>
    </sheetView>
  </sheetViews>
  <sheetFormatPr defaultRowHeight="15" x14ac:dyDescent="0.25"/>
  <cols>
    <col min="3" max="3" width="12" style="1" bestFit="1" customWidth="1"/>
    <col min="4" max="4" width="13.140625" bestFit="1" customWidth="1"/>
    <col min="9" max="9" width="18.85546875" bestFit="1" customWidth="1"/>
    <col min="22" max="22" width="12.28515625" bestFit="1" customWidth="1"/>
  </cols>
  <sheetData>
    <row r="2" spans="2:21" ht="15.75" customHeight="1" x14ac:dyDescent="0.25">
      <c r="B2" t="s">
        <v>11</v>
      </c>
      <c r="F2" s="2"/>
    </row>
    <row r="3" spans="2:21" ht="15.75" customHeight="1" x14ac:dyDescent="0.25">
      <c r="B3">
        <v>123.52</v>
      </c>
      <c r="C3" s="1" t="s">
        <v>12</v>
      </c>
      <c r="D3" t="s">
        <v>13</v>
      </c>
      <c r="F3" s="2"/>
    </row>
    <row r="4" spans="2:21" ht="15.75" customHeight="1" x14ac:dyDescent="0.25">
      <c r="B4">
        <v>5.08</v>
      </c>
      <c r="C4" s="1" t="s">
        <v>12</v>
      </c>
      <c r="D4" t="s">
        <v>14</v>
      </c>
      <c r="F4" s="2"/>
    </row>
    <row r="5" spans="2:21" ht="15.75" customHeight="1" x14ac:dyDescent="0.25">
      <c r="B5" s="19">
        <v>17618.843300000004</v>
      </c>
      <c r="C5" s="1" t="s">
        <v>18</v>
      </c>
      <c r="D5" t="s">
        <v>19</v>
      </c>
      <c r="F5" s="2"/>
    </row>
    <row r="6" spans="2:21" ht="15.75" customHeight="1" x14ac:dyDescent="0.25">
      <c r="B6" s="1">
        <v>2.79E+17</v>
      </c>
      <c r="C6" s="1" t="s">
        <v>0</v>
      </c>
      <c r="D6" t="s">
        <v>15</v>
      </c>
      <c r="F6" s="2"/>
    </row>
    <row r="7" spans="2:21" x14ac:dyDescent="0.25">
      <c r="F7" s="2" t="s">
        <v>9</v>
      </c>
      <c r="O7" s="1"/>
    </row>
    <row r="8" spans="2:21" x14ac:dyDescent="0.25">
      <c r="B8" s="3" t="s">
        <v>4</v>
      </c>
      <c r="C8" s="4">
        <v>2.121125655361E+17</v>
      </c>
      <c r="D8" s="5" t="s">
        <v>0</v>
      </c>
      <c r="E8" s="6">
        <f>C8/C10</f>
        <v>0.75976347979139303</v>
      </c>
      <c r="F8" s="4">
        <v>9.1267100000000001E-7</v>
      </c>
      <c r="G8" s="4" t="s">
        <v>8</v>
      </c>
      <c r="H8" s="5"/>
      <c r="I8" s="7" t="s">
        <v>5</v>
      </c>
      <c r="O8" s="1"/>
    </row>
    <row r="9" spans="2:21" x14ac:dyDescent="0.25">
      <c r="B9" s="8"/>
      <c r="C9" s="9">
        <v>6.70698E+16</v>
      </c>
      <c r="D9" s="10" t="s">
        <v>0</v>
      </c>
      <c r="E9" s="11">
        <f>C9/C10</f>
        <v>0.24023652020860703</v>
      </c>
      <c r="F9" s="11"/>
      <c r="G9" s="11"/>
      <c r="H9" s="10"/>
      <c r="I9" s="12" t="s">
        <v>1</v>
      </c>
      <c r="J9" s="1"/>
      <c r="O9" s="1"/>
    </row>
    <row r="10" spans="2:21" x14ac:dyDescent="0.25">
      <c r="B10" s="13"/>
      <c r="C10" s="14">
        <f>SUM(C8:C9)</f>
        <v>2.791823655361E+17</v>
      </c>
      <c r="D10" s="15" t="s">
        <v>0</v>
      </c>
      <c r="E10" s="15"/>
      <c r="F10" s="15"/>
      <c r="G10" s="15"/>
      <c r="H10" s="15"/>
      <c r="I10" s="16" t="s">
        <v>2</v>
      </c>
      <c r="J10" s="1"/>
      <c r="O10" s="1"/>
    </row>
    <row r="11" spans="2:21" x14ac:dyDescent="0.25">
      <c r="B11" s="3">
        <v>0.308</v>
      </c>
      <c r="C11" s="4">
        <v>1.813666102E+17</v>
      </c>
      <c r="D11" s="5" t="s">
        <v>0</v>
      </c>
      <c r="E11" s="6">
        <f>C11/C14</f>
        <v>0.64904629117765</v>
      </c>
      <c r="F11" s="4">
        <v>1.2295E-6</v>
      </c>
      <c r="G11" s="4" t="s">
        <v>8</v>
      </c>
      <c r="H11" s="6">
        <f>F11/F14</f>
        <v>0.20473138476345576</v>
      </c>
      <c r="I11" s="7" t="s">
        <v>5</v>
      </c>
      <c r="J11" s="1"/>
      <c r="N11" s="1"/>
      <c r="O11" s="1"/>
    </row>
    <row r="12" spans="2:21" x14ac:dyDescent="0.25">
      <c r="B12" s="8" t="s">
        <v>16</v>
      </c>
      <c r="C12" s="9">
        <v>7.91406E+16</v>
      </c>
      <c r="D12" s="10" t="s">
        <v>0</v>
      </c>
      <c r="E12" s="11">
        <f>C12/C14</f>
        <v>0.28321592852692534</v>
      </c>
      <c r="F12" s="11"/>
      <c r="G12" s="11"/>
      <c r="H12" s="10"/>
      <c r="I12" s="12" t="s">
        <v>1</v>
      </c>
      <c r="J12" s="1"/>
      <c r="N12" s="1"/>
      <c r="O12" s="1"/>
      <c r="U12" s="1"/>
    </row>
    <row r="13" spans="2:21" x14ac:dyDescent="0.25">
      <c r="B13" s="8"/>
      <c r="C13" s="9">
        <v>1.892834419E+16</v>
      </c>
      <c r="D13" s="10" t="s">
        <v>0</v>
      </c>
      <c r="E13" s="11">
        <f>C13/C14</f>
        <v>6.7737780295424627E-2</v>
      </c>
      <c r="F13" s="9">
        <v>4.7759299999999999E-6</v>
      </c>
      <c r="G13" s="9" t="s">
        <v>8</v>
      </c>
      <c r="H13" s="11">
        <f>F13/F14</f>
        <v>0.79526861523654424</v>
      </c>
      <c r="I13" s="12" t="s">
        <v>3</v>
      </c>
      <c r="J13" s="1"/>
      <c r="N13" s="1"/>
      <c r="O13" s="1"/>
    </row>
    <row r="14" spans="2:21" x14ac:dyDescent="0.25">
      <c r="B14" s="13"/>
      <c r="C14" s="14">
        <f>SUM(C11:C13)</f>
        <v>2.7943555439E+17</v>
      </c>
      <c r="D14" s="15" t="s">
        <v>0</v>
      </c>
      <c r="E14" s="17"/>
      <c r="F14" s="14">
        <v>6.0054299999999997E-6</v>
      </c>
      <c r="G14" s="14" t="s">
        <v>8</v>
      </c>
      <c r="H14" s="15"/>
      <c r="I14" s="16" t="s">
        <v>2</v>
      </c>
      <c r="J14" s="1"/>
      <c r="N14" s="1"/>
      <c r="O14" s="1"/>
    </row>
    <row r="15" spans="2:21" x14ac:dyDescent="0.25">
      <c r="B15" s="3">
        <v>0.01</v>
      </c>
      <c r="C15" s="4">
        <v>1.0143597462E+17</v>
      </c>
      <c r="D15" s="5" t="s">
        <v>0</v>
      </c>
      <c r="E15" s="6">
        <f>C15/C18</f>
        <v>0.3628521754949377</v>
      </c>
      <c r="F15" s="4">
        <v>7.8295899999999999E-7</v>
      </c>
      <c r="G15" s="4" t="s">
        <v>8</v>
      </c>
      <c r="H15" s="6">
        <f>F15/F18</f>
        <v>0.32228757954704496</v>
      </c>
      <c r="I15" s="7" t="s">
        <v>5</v>
      </c>
      <c r="J15" s="1"/>
      <c r="N15" s="1"/>
      <c r="O15" s="1"/>
    </row>
    <row r="16" spans="2:21" x14ac:dyDescent="0.25">
      <c r="B16" s="8" t="s">
        <v>17</v>
      </c>
      <c r="C16" s="9">
        <v>1.75214E+17</v>
      </c>
      <c r="D16" s="10" t="s">
        <v>0</v>
      </c>
      <c r="E16" s="11">
        <f>C16/C18</f>
        <v>0.62676758729180349</v>
      </c>
      <c r="F16" s="11"/>
      <c r="G16" s="11"/>
      <c r="H16" s="10"/>
      <c r="I16" s="12" t="s">
        <v>1</v>
      </c>
      <c r="J16" s="1"/>
      <c r="N16" s="1"/>
      <c r="O16" s="1"/>
    </row>
    <row r="17" spans="2:18" x14ac:dyDescent="0.25">
      <c r="B17" s="8"/>
      <c r="C17" s="9">
        <v>2901813878000000</v>
      </c>
      <c r="D17" s="10" t="s">
        <v>0</v>
      </c>
      <c r="E17" s="11">
        <f>C17/C18</f>
        <v>1.0380237213258824E-2</v>
      </c>
      <c r="F17" s="9">
        <v>1.6464199999999999E-6</v>
      </c>
      <c r="G17" s="9" t="s">
        <v>8</v>
      </c>
      <c r="H17" s="11">
        <f>F17/F18</f>
        <v>0.67771200882529703</v>
      </c>
      <c r="I17" s="12" t="s">
        <v>3</v>
      </c>
      <c r="J17" s="1"/>
      <c r="N17" s="1"/>
      <c r="O17" s="1"/>
    </row>
    <row r="18" spans="2:18" x14ac:dyDescent="0.25">
      <c r="B18" s="13"/>
      <c r="C18" s="14">
        <f>SUM(C15:C17)</f>
        <v>2.79551788498E+17</v>
      </c>
      <c r="D18" s="15" t="s">
        <v>0</v>
      </c>
      <c r="E18" s="15"/>
      <c r="F18" s="14">
        <v>2.4293799999999999E-6</v>
      </c>
      <c r="G18" s="14" t="s">
        <v>8</v>
      </c>
      <c r="H18" s="15"/>
      <c r="I18" s="16" t="s">
        <v>2</v>
      </c>
      <c r="J18" s="1"/>
      <c r="N18" s="1"/>
      <c r="O18" s="1"/>
    </row>
    <row r="19" spans="2:18" x14ac:dyDescent="0.25">
      <c r="J19" s="1"/>
      <c r="N19" s="1"/>
      <c r="O19" s="1"/>
    </row>
    <row r="20" spans="2:18" x14ac:dyDescent="0.25">
      <c r="B20" t="s">
        <v>6</v>
      </c>
      <c r="J20" s="1"/>
      <c r="N20" s="1"/>
      <c r="O20" s="1"/>
    </row>
    <row r="21" spans="2:18" x14ac:dyDescent="0.25">
      <c r="B21">
        <v>123.1</v>
      </c>
      <c r="C21" s="1" t="s">
        <v>12</v>
      </c>
      <c r="D21" t="s">
        <v>13</v>
      </c>
      <c r="J21" s="1"/>
      <c r="N21" s="1"/>
      <c r="O21" s="1"/>
    </row>
    <row r="22" spans="2:18" x14ac:dyDescent="0.25">
      <c r="B22">
        <v>5.0599999999999996</v>
      </c>
      <c r="C22" s="1" t="s">
        <v>12</v>
      </c>
      <c r="D22" t="s">
        <v>14</v>
      </c>
      <c r="J22" s="1"/>
      <c r="N22" s="1"/>
      <c r="O22" s="1"/>
    </row>
    <row r="23" spans="2:18" x14ac:dyDescent="0.25">
      <c r="B23">
        <v>4500</v>
      </c>
      <c r="C23" s="1" t="s">
        <v>18</v>
      </c>
      <c r="D23" t="s">
        <v>19</v>
      </c>
      <c r="J23" s="1"/>
      <c r="N23" s="1"/>
      <c r="O23" s="1"/>
    </row>
    <row r="24" spans="2:18" x14ac:dyDescent="0.25">
      <c r="B24" s="1">
        <v>2.79242E+17</v>
      </c>
      <c r="C24" s="1" t="s">
        <v>0</v>
      </c>
      <c r="D24" t="s">
        <v>15</v>
      </c>
      <c r="J24" s="1"/>
      <c r="N24" s="1"/>
      <c r="O24" s="1"/>
    </row>
    <row r="25" spans="2:18" x14ac:dyDescent="0.25">
      <c r="F25" s="2" t="s">
        <v>9</v>
      </c>
      <c r="J25" s="1"/>
      <c r="N25" s="1"/>
      <c r="O25" s="1"/>
    </row>
    <row r="26" spans="2:18" x14ac:dyDescent="0.25">
      <c r="B26" s="3" t="s">
        <v>7</v>
      </c>
      <c r="C26" s="4">
        <v>2.16282416344E+17</v>
      </c>
      <c r="D26" s="5" t="s">
        <v>0</v>
      </c>
      <c r="E26" s="6">
        <f>C26/C28</f>
        <v>0.77426691466720299</v>
      </c>
      <c r="F26" s="4">
        <v>8.8247199999999999E-7</v>
      </c>
      <c r="G26" s="4" t="s">
        <v>8</v>
      </c>
      <c r="H26" s="5"/>
      <c r="I26" s="7" t="s">
        <v>5</v>
      </c>
      <c r="J26" s="1"/>
      <c r="N26" s="1"/>
      <c r="O26" s="1"/>
    </row>
    <row r="27" spans="2:18" x14ac:dyDescent="0.25">
      <c r="B27" s="8"/>
      <c r="C27" s="9">
        <v>6.30559E+16</v>
      </c>
      <c r="D27" s="10" t="s">
        <v>0</v>
      </c>
      <c r="E27" s="11">
        <f>C27/C28</f>
        <v>0.22573308533279701</v>
      </c>
      <c r="F27" s="11"/>
      <c r="G27" s="11"/>
      <c r="H27" s="10"/>
      <c r="I27" s="12" t="s">
        <v>1</v>
      </c>
      <c r="J27" s="1"/>
      <c r="N27" s="1"/>
      <c r="O27" s="1"/>
      <c r="R27" s="1"/>
    </row>
    <row r="28" spans="2:18" x14ac:dyDescent="0.25">
      <c r="B28" s="13"/>
      <c r="C28" s="14">
        <f>SUM(C26:C27)</f>
        <v>2.79338316344E+17</v>
      </c>
      <c r="D28" s="15" t="s">
        <v>0</v>
      </c>
      <c r="E28" s="17"/>
      <c r="F28" s="17"/>
      <c r="G28" s="17"/>
      <c r="H28" s="14"/>
      <c r="I28" s="16" t="s">
        <v>2</v>
      </c>
      <c r="J28" s="1"/>
      <c r="N28" s="1"/>
      <c r="O28" s="1"/>
    </row>
    <row r="29" spans="2:18" x14ac:dyDescent="0.25">
      <c r="B29" s="3">
        <v>0.308</v>
      </c>
      <c r="C29" s="4">
        <v>1.85183947E+17</v>
      </c>
      <c r="D29" s="5" t="s">
        <v>0</v>
      </c>
      <c r="E29" s="6">
        <f>C29/C32</f>
        <v>0.66287795614518974</v>
      </c>
      <c r="F29" s="4">
        <v>9.4266799999999995E-7</v>
      </c>
      <c r="G29" s="4" t="s">
        <v>8</v>
      </c>
      <c r="H29" s="6">
        <f>F29/F32</f>
        <v>0.40369491670592267</v>
      </c>
      <c r="I29" s="7" t="s">
        <v>5</v>
      </c>
      <c r="J29" s="1"/>
      <c r="N29" s="1"/>
      <c r="O29" s="1"/>
    </row>
    <row r="30" spans="2:18" x14ac:dyDescent="0.25">
      <c r="B30" s="8" t="s">
        <v>16</v>
      </c>
      <c r="C30" s="1">
        <v>7.54668E+16</v>
      </c>
      <c r="D30" s="10" t="s">
        <v>0</v>
      </c>
      <c r="E30" s="11">
        <f>C30/C32</f>
        <v>0.27013830815917217</v>
      </c>
      <c r="F30" s="11"/>
      <c r="G30" s="11"/>
      <c r="H30" s="10"/>
      <c r="I30" s="12" t="s">
        <v>1</v>
      </c>
      <c r="J30" s="1"/>
      <c r="N30" s="1"/>
      <c r="O30" s="1"/>
      <c r="P30" s="1"/>
    </row>
    <row r="31" spans="2:18" x14ac:dyDescent="0.25">
      <c r="B31" s="8"/>
      <c r="C31" s="9">
        <v>1.8712815E+16</v>
      </c>
      <c r="D31" s="10" t="s">
        <v>0</v>
      </c>
      <c r="E31" s="11">
        <f>C31/C32</f>
        <v>6.6983735695638078E-2</v>
      </c>
      <c r="F31" s="9">
        <v>1.39243E-6</v>
      </c>
      <c r="G31" s="9" t="s">
        <v>8</v>
      </c>
      <c r="H31" s="11">
        <f>F31/F32</f>
        <v>0.59630422679970885</v>
      </c>
      <c r="I31" s="12" t="s">
        <v>3</v>
      </c>
      <c r="N31" s="1"/>
      <c r="O31" s="1"/>
    </row>
    <row r="32" spans="2:18" x14ac:dyDescent="0.25">
      <c r="B32" s="13"/>
      <c r="C32" s="14">
        <f>SUM(C29:C31)</f>
        <v>2.79363562E+17</v>
      </c>
      <c r="D32" s="15" t="s">
        <v>0</v>
      </c>
      <c r="E32" s="15"/>
      <c r="F32" s="14">
        <v>2.3350999999999999E-6</v>
      </c>
      <c r="G32" s="14" t="s">
        <v>8</v>
      </c>
      <c r="H32" s="14"/>
      <c r="I32" s="16" t="s">
        <v>2</v>
      </c>
      <c r="J32" s="1"/>
      <c r="N32" s="1"/>
      <c r="O32" s="1"/>
    </row>
    <row r="33" spans="2:18" x14ac:dyDescent="0.25">
      <c r="B33" s="3">
        <v>0.01</v>
      </c>
      <c r="C33" s="4">
        <v>1.0205868378E+17</v>
      </c>
      <c r="D33" s="5" t="s">
        <v>0</v>
      </c>
      <c r="E33" s="6">
        <f>C33/C36</f>
        <v>0.36506023682780764</v>
      </c>
      <c r="F33" s="4">
        <v>5.8108000000000001E-7</v>
      </c>
      <c r="G33" s="4" t="s">
        <v>8</v>
      </c>
      <c r="H33" s="6">
        <f>F33/F36</f>
        <v>0.44908495115617664</v>
      </c>
      <c r="I33" s="7" t="s">
        <v>5</v>
      </c>
      <c r="J33" s="1"/>
      <c r="N33" s="1"/>
      <c r="O33" s="1"/>
    </row>
    <row r="34" spans="2:18" x14ac:dyDescent="0.25">
      <c r="B34" s="8" t="s">
        <v>17</v>
      </c>
      <c r="C34" s="9">
        <v>1.73352E+17</v>
      </c>
      <c r="D34" s="10" t="s">
        <v>0</v>
      </c>
      <c r="E34" s="11">
        <f>C34/C36</f>
        <v>0.62007386173028023</v>
      </c>
      <c r="F34" s="11"/>
      <c r="G34" s="11"/>
      <c r="H34" s="10"/>
      <c r="I34" s="12" t="s">
        <v>1</v>
      </c>
      <c r="J34" s="1"/>
      <c r="N34" s="1"/>
      <c r="O34" s="1"/>
      <c r="Q34" s="1"/>
    </row>
    <row r="35" spans="2:18" x14ac:dyDescent="0.25">
      <c r="B35" s="8"/>
      <c r="C35" s="9">
        <v>4156010930000000</v>
      </c>
      <c r="D35" s="10" t="s">
        <v>0</v>
      </c>
      <c r="E35" s="11">
        <f>C35/C36</f>
        <v>1.486590144191214E-2</v>
      </c>
      <c r="F35" s="9">
        <v>7.1284000000000002E-7</v>
      </c>
      <c r="G35" s="9" t="s">
        <v>8</v>
      </c>
      <c r="H35" s="11">
        <f>F35/F36</f>
        <v>0.55091504884382347</v>
      </c>
      <c r="I35" s="12" t="s">
        <v>3</v>
      </c>
      <c r="J35" s="1"/>
      <c r="N35" s="1"/>
      <c r="O35" s="1"/>
      <c r="Q35" s="1"/>
    </row>
    <row r="36" spans="2:18" x14ac:dyDescent="0.25">
      <c r="B36" s="13"/>
      <c r="C36" s="14">
        <f>SUM(C33:C35)</f>
        <v>2.7956669471E+17</v>
      </c>
      <c r="D36" s="15" t="s">
        <v>0</v>
      </c>
      <c r="E36" s="15"/>
      <c r="F36" s="14">
        <v>1.2939199999999999E-6</v>
      </c>
      <c r="G36" s="14" t="s">
        <v>8</v>
      </c>
      <c r="H36" s="14"/>
      <c r="I36" s="16" t="s">
        <v>2</v>
      </c>
      <c r="J36" s="1"/>
      <c r="N36" s="1"/>
      <c r="O36" s="1"/>
      <c r="Q36" s="1"/>
      <c r="R36" s="1"/>
    </row>
    <row r="37" spans="2:18" x14ac:dyDescent="0.25">
      <c r="J37" s="1"/>
      <c r="N37" s="1"/>
      <c r="O37" s="1"/>
      <c r="Q37" s="1"/>
      <c r="R37" s="1"/>
    </row>
    <row r="38" spans="2:18" x14ac:dyDescent="0.25">
      <c r="D38" s="1"/>
      <c r="E38" s="1"/>
      <c r="J38" s="1"/>
      <c r="N38" s="1"/>
      <c r="O38" s="1"/>
      <c r="Q38" s="1"/>
      <c r="R38" s="1"/>
    </row>
    <row r="39" spans="2:18" x14ac:dyDescent="0.25">
      <c r="D39" s="1"/>
      <c r="E39" s="1"/>
      <c r="J39" s="1"/>
      <c r="N39" s="1"/>
      <c r="O39" s="1"/>
      <c r="Q39" s="1"/>
      <c r="R39" s="1"/>
    </row>
    <row r="40" spans="2:18" x14ac:dyDescent="0.25">
      <c r="D40" s="18" t="s">
        <v>42</v>
      </c>
      <c r="E40" s="1">
        <v>1E-8</v>
      </c>
      <c r="F40" t="s">
        <v>35</v>
      </c>
      <c r="G40" s="1"/>
      <c r="J40" s="1"/>
      <c r="N40" s="1"/>
      <c r="O40" s="1"/>
      <c r="Q40" s="1"/>
      <c r="R40" s="1"/>
    </row>
    <row r="41" spans="2:18" x14ac:dyDescent="0.25">
      <c r="D41" s="1" t="s">
        <v>41</v>
      </c>
      <c r="E41" s="1">
        <f>PI()*(1.1^2)*100</f>
        <v>380.13271108436504</v>
      </c>
      <c r="F41" t="s">
        <v>18</v>
      </c>
      <c r="N41" s="1"/>
      <c r="O41" s="1"/>
      <c r="Q41" s="1"/>
      <c r="R41" s="1"/>
    </row>
    <row r="42" spans="2:18" x14ac:dyDescent="0.25">
      <c r="C42" s="18"/>
      <c r="D42" s="1" t="s">
        <v>33</v>
      </c>
      <c r="E42" s="1">
        <v>1</v>
      </c>
      <c r="F42" t="s">
        <v>36</v>
      </c>
      <c r="H42" s="1"/>
      <c r="N42" s="1"/>
      <c r="O42" s="1"/>
      <c r="Q42" s="1"/>
      <c r="R42" s="1"/>
    </row>
    <row r="43" spans="2:18" x14ac:dyDescent="0.25">
      <c r="D43" s="1" t="s">
        <v>34</v>
      </c>
      <c r="E43" s="1">
        <f>E40*E42/E41</f>
        <v>2.6306602163949638E-11</v>
      </c>
      <c r="F43" t="s">
        <v>43</v>
      </c>
      <c r="H43" s="1"/>
      <c r="N43" s="1"/>
      <c r="O43" s="1"/>
      <c r="Q43" s="1"/>
      <c r="R43" s="1"/>
    </row>
    <row r="44" spans="2:18" x14ac:dyDescent="0.25">
      <c r="D44" s="1"/>
      <c r="E44" s="1"/>
      <c r="H44" s="1"/>
      <c r="N44" s="1"/>
      <c r="O44" s="1"/>
      <c r="Q44" s="1"/>
      <c r="R44" s="1"/>
    </row>
    <row r="45" spans="2:18" x14ac:dyDescent="0.25">
      <c r="D45" s="1"/>
      <c r="E45" s="1"/>
      <c r="H45" s="1"/>
      <c r="N45" s="1"/>
      <c r="O45" s="1"/>
      <c r="Q45" s="1"/>
    </row>
    <row r="46" spans="2:18" x14ac:dyDescent="0.25">
      <c r="D46" s="1"/>
      <c r="E46" s="1"/>
      <c r="H46" s="1"/>
      <c r="N46" s="1"/>
      <c r="O46" s="1"/>
      <c r="Q46" s="1"/>
    </row>
    <row r="47" spans="2:18" x14ac:dyDescent="0.25">
      <c r="D47" s="1"/>
      <c r="E47" s="1"/>
      <c r="H47" s="1"/>
      <c r="N47" s="1"/>
      <c r="O47" s="1"/>
      <c r="Q47" s="1"/>
    </row>
    <row r="48" spans="2:18" x14ac:dyDescent="0.25">
      <c r="D48" s="1"/>
      <c r="E48" s="1"/>
      <c r="H48" s="1"/>
      <c r="N48" s="1"/>
      <c r="O48" s="1"/>
      <c r="Q48" s="1"/>
    </row>
    <row r="49" spans="4:22" x14ac:dyDescent="0.25">
      <c r="D49" s="1"/>
      <c r="E49" s="1"/>
      <c r="H49" s="1"/>
      <c r="N49" s="1"/>
      <c r="O49" s="1"/>
      <c r="Q49" s="1"/>
    </row>
    <row r="50" spans="4:22" x14ac:dyDescent="0.25">
      <c r="D50" s="1"/>
      <c r="E50" s="1"/>
      <c r="H50" s="1"/>
      <c r="N50" s="1"/>
      <c r="O50" s="1"/>
      <c r="Q50" s="1"/>
    </row>
    <row r="51" spans="4:22" x14ac:dyDescent="0.25">
      <c r="D51" s="1"/>
      <c r="E51" s="1"/>
      <c r="H51" s="1"/>
      <c r="N51" s="1"/>
      <c r="O51" s="1"/>
    </row>
    <row r="52" spans="4:22" x14ac:dyDescent="0.25">
      <c r="D52" s="1"/>
      <c r="E52" s="1"/>
      <c r="H52" s="1"/>
      <c r="N52" s="1"/>
    </row>
    <row r="53" spans="4:22" x14ac:dyDescent="0.25">
      <c r="D53" s="1"/>
      <c r="E53" s="1"/>
      <c r="H53" s="1"/>
      <c r="N53" s="1"/>
      <c r="V53">
        <f>0.00000008/380</f>
        <v>2.1052631578947368E-10</v>
      </c>
    </row>
    <row r="54" spans="4:22" x14ac:dyDescent="0.25">
      <c r="D54" s="1"/>
      <c r="E54" s="1"/>
      <c r="H54" s="1"/>
      <c r="N54" s="1"/>
    </row>
    <row r="55" spans="4:22" x14ac:dyDescent="0.25">
      <c r="D55" s="1"/>
      <c r="E55" s="1"/>
      <c r="H55" s="1"/>
      <c r="N55" s="1"/>
    </row>
    <row r="56" spans="4:22" x14ac:dyDescent="0.25">
      <c r="D56" s="1"/>
      <c r="E56" s="1"/>
      <c r="H56" s="1"/>
      <c r="N56" s="1"/>
    </row>
    <row r="57" spans="4:22" x14ac:dyDescent="0.25">
      <c r="D57" s="1"/>
      <c r="E57" s="1"/>
      <c r="H57" s="1"/>
      <c r="N57" s="1"/>
    </row>
    <row r="58" spans="4:22" x14ac:dyDescent="0.25">
      <c r="D58" s="1"/>
      <c r="E58" s="1"/>
      <c r="H58" s="1"/>
      <c r="N58" s="1"/>
    </row>
    <row r="59" spans="4:22" x14ac:dyDescent="0.25">
      <c r="D59" s="1"/>
      <c r="E59" s="1"/>
      <c r="H59" s="1"/>
      <c r="N59" s="1"/>
    </row>
    <row r="60" spans="4:22" x14ac:dyDescent="0.25">
      <c r="D60" s="1"/>
      <c r="E60" s="1"/>
      <c r="H60" s="1"/>
      <c r="N60" s="1"/>
    </row>
    <row r="61" spans="4:22" x14ac:dyDescent="0.25">
      <c r="D61" s="1"/>
      <c r="E61" s="1"/>
      <c r="H61" s="1"/>
      <c r="N61" s="1"/>
    </row>
    <row r="62" spans="4:22" x14ac:dyDescent="0.25">
      <c r="D62" s="1"/>
      <c r="E62" s="1"/>
      <c r="H62" s="1"/>
      <c r="N62" s="1"/>
    </row>
    <row r="63" spans="4:22" x14ac:dyDescent="0.25">
      <c r="D63" s="1"/>
      <c r="E63" s="1"/>
      <c r="H63" s="1"/>
      <c r="N63" s="1"/>
    </row>
    <row r="64" spans="4:22" x14ac:dyDescent="0.25">
      <c r="D64" s="1"/>
      <c r="E64" s="1"/>
      <c r="H64" s="1"/>
      <c r="N64" s="1"/>
    </row>
    <row r="65" spans="4:14" x14ac:dyDescent="0.25">
      <c r="D65" s="1"/>
      <c r="E65" s="1"/>
      <c r="H65" s="1"/>
      <c r="N65" s="1"/>
    </row>
    <row r="66" spans="4:14" x14ac:dyDescent="0.25">
      <c r="D66" s="1"/>
      <c r="E66" s="1"/>
      <c r="H66" s="1"/>
      <c r="K66" s="1"/>
      <c r="L66" s="1"/>
      <c r="N66" s="1"/>
    </row>
    <row r="67" spans="4:14" x14ac:dyDescent="0.25">
      <c r="D67" s="1"/>
      <c r="E67" s="1"/>
      <c r="H67" s="1"/>
      <c r="K67" s="1"/>
      <c r="L67" s="1"/>
      <c r="N67" s="1"/>
    </row>
    <row r="68" spans="4:14" x14ac:dyDescent="0.25">
      <c r="D68" s="1"/>
      <c r="E68" s="1"/>
      <c r="H68" s="1"/>
      <c r="K68" s="1"/>
      <c r="L68" s="1"/>
      <c r="N68" s="1"/>
    </row>
    <row r="69" spans="4:14" x14ac:dyDescent="0.25">
      <c r="D69" s="1"/>
      <c r="E69" s="1"/>
      <c r="H69" s="1"/>
      <c r="K69" s="1"/>
      <c r="L69" s="1"/>
      <c r="N69" s="1"/>
    </row>
    <row r="70" spans="4:14" x14ac:dyDescent="0.25">
      <c r="D70" s="1"/>
      <c r="E70" s="1"/>
      <c r="H70" s="1"/>
      <c r="K70" s="1"/>
      <c r="L70" s="1"/>
      <c r="N70" s="1"/>
    </row>
    <row r="71" spans="4:14" x14ac:dyDescent="0.25">
      <c r="D71" s="1"/>
      <c r="E71" s="1"/>
      <c r="H71" s="1"/>
      <c r="K71" s="1"/>
      <c r="L71" s="1"/>
      <c r="N71" s="1"/>
    </row>
    <row r="72" spans="4:14" x14ac:dyDescent="0.25">
      <c r="D72" s="1"/>
      <c r="E72" s="1"/>
      <c r="H72" s="1"/>
      <c r="K72" s="1"/>
      <c r="L72" s="1"/>
      <c r="N72" s="1"/>
    </row>
    <row r="73" spans="4:14" x14ac:dyDescent="0.25">
      <c r="D73" s="1"/>
      <c r="E73" s="1"/>
      <c r="H73" s="1"/>
      <c r="K73" s="1"/>
      <c r="L73" s="1"/>
      <c r="N73" s="1"/>
    </row>
    <row r="74" spans="4:14" x14ac:dyDescent="0.25">
      <c r="D74" s="1"/>
      <c r="E74" s="1"/>
      <c r="H74" s="1"/>
      <c r="K74" s="1"/>
      <c r="L74" s="1"/>
      <c r="N74" s="1"/>
    </row>
    <row r="75" spans="4:14" x14ac:dyDescent="0.25">
      <c r="D75" s="1"/>
      <c r="E75" s="1"/>
      <c r="H75" s="1"/>
      <c r="K75" s="1"/>
      <c r="L75" s="1"/>
      <c r="N75" s="1"/>
    </row>
    <row r="76" spans="4:14" x14ac:dyDescent="0.25">
      <c r="D76" s="1"/>
      <c r="E76" s="1"/>
      <c r="H76" s="1"/>
      <c r="K76" s="1"/>
      <c r="L76" s="1"/>
      <c r="N76" s="1"/>
    </row>
    <row r="77" spans="4:14" x14ac:dyDescent="0.25">
      <c r="D77" s="1"/>
      <c r="E77" s="1"/>
      <c r="H77" s="1"/>
      <c r="K77" s="1"/>
      <c r="L77" s="1"/>
      <c r="N77" s="1"/>
    </row>
    <row r="78" spans="4:14" x14ac:dyDescent="0.25">
      <c r="D78" s="1"/>
      <c r="H78" s="1"/>
      <c r="L78" s="1"/>
    </row>
    <row r="79" spans="4:14" x14ac:dyDescent="0.25">
      <c r="D79" s="1"/>
      <c r="H79" s="1"/>
      <c r="L79" s="1"/>
    </row>
    <row r="80" spans="4:14" x14ac:dyDescent="0.25">
      <c r="D80" s="1"/>
      <c r="H80" s="1"/>
      <c r="L80" s="1"/>
    </row>
    <row r="81" spans="4:12" x14ac:dyDescent="0.25">
      <c r="D81" s="1"/>
      <c r="H81" s="1"/>
      <c r="L81" s="1"/>
    </row>
    <row r="82" spans="4:12" x14ac:dyDescent="0.25">
      <c r="D82" s="1"/>
      <c r="H82" s="1"/>
    </row>
    <row r="83" spans="4:12" x14ac:dyDescent="0.25">
      <c r="D83" s="1"/>
      <c r="H83" s="1"/>
    </row>
    <row r="84" spans="4:12" x14ac:dyDescent="0.25">
      <c r="D84" s="1"/>
      <c r="H84" s="1"/>
    </row>
    <row r="85" spans="4:12" x14ac:dyDescent="0.25">
      <c r="D85" s="1"/>
      <c r="H85" s="1"/>
    </row>
    <row r="86" spans="4:12" x14ac:dyDescent="0.25">
      <c r="D86" s="1"/>
      <c r="H86" s="1"/>
    </row>
    <row r="87" spans="4:12" x14ac:dyDescent="0.25">
      <c r="D87" s="1"/>
      <c r="H87" s="1"/>
    </row>
    <row r="88" spans="4:12" x14ac:dyDescent="0.25">
      <c r="D88" s="1"/>
      <c r="H88" s="1"/>
    </row>
    <row r="89" spans="4:12" x14ac:dyDescent="0.25">
      <c r="D89" s="1"/>
      <c r="H89" s="1"/>
    </row>
    <row r="90" spans="4:12" x14ac:dyDescent="0.25">
      <c r="D90" s="1"/>
      <c r="H90" s="1"/>
    </row>
    <row r="91" spans="4:12" x14ac:dyDescent="0.25">
      <c r="D91" s="1"/>
      <c r="H91" s="1"/>
    </row>
    <row r="92" spans="4:12" x14ac:dyDescent="0.25">
      <c r="D92" s="1"/>
      <c r="H92" s="1"/>
    </row>
    <row r="93" spans="4:12" x14ac:dyDescent="0.25">
      <c r="D93" s="1"/>
      <c r="H93" s="1"/>
    </row>
    <row r="94" spans="4:12" x14ac:dyDescent="0.25">
      <c r="D94" s="1"/>
      <c r="H94" s="1"/>
    </row>
    <row r="95" spans="4:12" x14ac:dyDescent="0.25">
      <c r="D95" s="1"/>
      <c r="H95" s="1"/>
    </row>
    <row r="96" spans="4:12" x14ac:dyDescent="0.25">
      <c r="D96" s="1"/>
      <c r="H96" s="1"/>
    </row>
    <row r="97" spans="4:8" x14ac:dyDescent="0.25">
      <c r="D97" s="1"/>
      <c r="H97" s="1"/>
    </row>
    <row r="98" spans="4:8" x14ac:dyDescent="0.25">
      <c r="D98" s="1"/>
      <c r="H98" s="1"/>
    </row>
    <row r="99" spans="4:8" x14ac:dyDescent="0.25">
      <c r="D99" s="1"/>
      <c r="H99" s="1"/>
    </row>
    <row r="100" spans="4:8" x14ac:dyDescent="0.25">
      <c r="D100" s="1"/>
      <c r="H100" s="1"/>
    </row>
    <row r="101" spans="4:8" x14ac:dyDescent="0.25">
      <c r="D101" s="1"/>
      <c r="H101" s="1"/>
    </row>
    <row r="102" spans="4:8" x14ac:dyDescent="0.25">
      <c r="D102" s="1"/>
      <c r="H102" s="1"/>
    </row>
    <row r="103" spans="4:8" x14ac:dyDescent="0.25">
      <c r="D103" s="1"/>
      <c r="H103" s="1"/>
    </row>
    <row r="104" spans="4:8" x14ac:dyDescent="0.25">
      <c r="H104" s="1"/>
    </row>
    <row r="105" spans="4:8" x14ac:dyDescent="0.25">
      <c r="H105" s="1"/>
    </row>
    <row r="106" spans="4:8" x14ac:dyDescent="0.25">
      <c r="H106" s="1"/>
    </row>
    <row r="107" spans="4:8" x14ac:dyDescent="0.25">
      <c r="H107" s="1"/>
    </row>
    <row r="108" spans="4:8" x14ac:dyDescent="0.25">
      <c r="H108" s="1"/>
    </row>
    <row r="109" spans="4:8" x14ac:dyDescent="0.25">
      <c r="H109" s="1"/>
    </row>
    <row r="110" spans="4:8" x14ac:dyDescent="0.25">
      <c r="H110" s="1"/>
    </row>
    <row r="111" spans="4:8" x14ac:dyDescent="0.25">
      <c r="H111" s="1"/>
    </row>
    <row r="112" spans="4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H2 No Scat</vt:lpstr>
      <vt:lpstr>CO2 No Scat</vt:lpstr>
      <vt:lpstr>CO No Scat</vt:lpstr>
      <vt:lpstr>CH4 No Scat</vt:lpstr>
      <vt:lpstr>H2 0.308</vt:lpstr>
      <vt:lpstr>CO2 0.308</vt:lpstr>
      <vt:lpstr>CO 0.308</vt:lpstr>
      <vt:lpstr>CH4 0.308</vt:lpstr>
      <vt:lpstr>PSD experiment study</vt:lpstr>
      <vt:lpstr>SynRad reflections by roughness</vt:lpstr>
    </vt:vector>
  </TitlesOfParts>
  <Company>Argonne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Jason A.</dc:creator>
  <cp:lastModifiedBy>Carter, Jason A.</cp:lastModifiedBy>
  <dcterms:created xsi:type="dcterms:W3CDTF">2015-08-11T18:20:11Z</dcterms:created>
  <dcterms:modified xsi:type="dcterms:W3CDTF">2015-12-17T20:59:35Z</dcterms:modified>
</cp:coreProperties>
</file>