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2 - SYNRAD\5 - PSD References\4 - Grobner\"/>
    </mc:Choice>
  </mc:AlternateContent>
  <bookViews>
    <workbookView xWindow="0" yWindow="0" windowWidth="28800" windowHeight="14235" tabRatio="650" activeTab="4"/>
  </bookViews>
  <sheets>
    <sheet name="H2 No Scat" sheetId="9" r:id="rId1"/>
    <sheet name="CO2 No Scat" sheetId="10" r:id="rId2"/>
    <sheet name="CO No Scat" sheetId="11" r:id="rId3"/>
    <sheet name="CH4 No Scat" sheetId="12" r:id="rId4"/>
    <sheet name="H2 0.308" sheetId="6" r:id="rId5"/>
    <sheet name="CO2 0.308" sheetId="14" r:id="rId6"/>
    <sheet name="CO 0.308" sheetId="15" r:id="rId7"/>
    <sheet name="CH4 0.308" sheetId="1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6" l="1"/>
  <c r="G8" i="14"/>
  <c r="G8" i="15"/>
  <c r="G8" i="16"/>
  <c r="B31" i="9" l="1"/>
  <c r="G8" i="9"/>
  <c r="H8" i="9" s="1"/>
  <c r="G7" i="9"/>
  <c r="H7" i="9" s="1"/>
  <c r="E8" i="9"/>
  <c r="E7" i="9"/>
  <c r="E25" i="14" l="1"/>
  <c r="G7" i="15"/>
  <c r="G7" i="14"/>
  <c r="G7" i="6"/>
  <c r="J9" i="16" l="1"/>
  <c r="H8" i="16" l="1"/>
  <c r="G7" i="16"/>
  <c r="H7" i="16" s="1"/>
  <c r="E8" i="16"/>
  <c r="E7" i="16"/>
  <c r="H8" i="15"/>
  <c r="H7" i="15"/>
  <c r="E8" i="15"/>
  <c r="E7" i="15"/>
  <c r="H8" i="14"/>
  <c r="H7" i="14"/>
  <c r="E8" i="14"/>
  <c r="E7" i="14"/>
  <c r="H8" i="6"/>
  <c r="H7" i="6"/>
  <c r="E8" i="6"/>
  <c r="E7" i="6"/>
  <c r="G8" i="12"/>
  <c r="G7" i="12"/>
  <c r="H7" i="12" s="1"/>
  <c r="H8" i="12"/>
  <c r="E8" i="12"/>
  <c r="E7" i="12"/>
  <c r="H8" i="11"/>
  <c r="H7" i="11"/>
  <c r="G8" i="11"/>
  <c r="G7" i="11"/>
  <c r="E8" i="11"/>
  <c r="E7" i="11"/>
  <c r="H8" i="10"/>
  <c r="H7" i="10"/>
  <c r="G8" i="10"/>
  <c r="G7" i="10"/>
  <c r="E8" i="10"/>
  <c r="E7" i="10"/>
  <c r="E27" i="9"/>
  <c r="H6" i="16" l="1"/>
  <c r="F8" i="16"/>
  <c r="F7" i="16"/>
  <c r="F6" i="16"/>
  <c r="F8" i="15"/>
  <c r="F7" i="15"/>
  <c r="F6" i="15"/>
  <c r="F8" i="14"/>
  <c r="F7" i="14"/>
  <c r="F6" i="14"/>
  <c r="F8" i="6"/>
  <c r="F7" i="6"/>
  <c r="F6" i="6"/>
  <c r="F8" i="12"/>
  <c r="F7" i="12"/>
  <c r="F6" i="12"/>
  <c r="F8" i="11"/>
  <c r="F7" i="11"/>
  <c r="F6" i="11"/>
  <c r="F8" i="10"/>
  <c r="F7" i="10"/>
  <c r="F6" i="10"/>
  <c r="F7" i="9"/>
  <c r="F8" i="9"/>
  <c r="F6" i="9"/>
  <c r="D8" i="16"/>
  <c r="B8" i="16"/>
  <c r="C8" i="16" s="1"/>
  <c r="D7" i="16"/>
  <c r="D6" i="16" s="1"/>
  <c r="B7" i="16"/>
  <c r="C7" i="16" s="1"/>
  <c r="C6" i="16"/>
  <c r="D8" i="15"/>
  <c r="B8" i="15"/>
  <c r="C8" i="15" s="1"/>
  <c r="D7" i="15"/>
  <c r="D6" i="15" s="1"/>
  <c r="C7" i="15"/>
  <c r="B7" i="15"/>
  <c r="C6" i="15"/>
  <c r="D8" i="14"/>
  <c r="B8" i="14"/>
  <c r="C8" i="14" s="1"/>
  <c r="D7" i="14"/>
  <c r="C7" i="14"/>
  <c r="B7" i="14"/>
  <c r="D6" i="14"/>
  <c r="C6" i="14"/>
  <c r="D8" i="6"/>
  <c r="B8" i="6"/>
  <c r="C8" i="6" s="1"/>
  <c r="D7" i="6"/>
  <c r="D6" i="6" s="1"/>
  <c r="C7" i="6"/>
  <c r="B7" i="6"/>
  <c r="C6" i="6"/>
  <c r="D8" i="12"/>
  <c r="B8" i="12"/>
  <c r="C8" i="12" s="1"/>
  <c r="D7" i="12"/>
  <c r="B7" i="12"/>
  <c r="C7" i="12" s="1"/>
  <c r="D6" i="12"/>
  <c r="C6" i="12"/>
  <c r="D8" i="11"/>
  <c r="B8" i="11"/>
  <c r="C8" i="11" s="1"/>
  <c r="D7" i="11"/>
  <c r="D6" i="11" s="1"/>
  <c r="B7" i="11"/>
  <c r="C7" i="11" s="1"/>
  <c r="C6" i="11"/>
  <c r="D8" i="10"/>
  <c r="B8" i="10"/>
  <c r="C8" i="10" s="1"/>
  <c r="D7" i="10"/>
  <c r="B7" i="10"/>
  <c r="C7" i="10" s="1"/>
  <c r="D6" i="10"/>
  <c r="C6" i="10"/>
  <c r="C7" i="9"/>
  <c r="C8" i="9"/>
  <c r="C6" i="9"/>
  <c r="D6" i="9"/>
  <c r="D8" i="9"/>
  <c r="D7" i="9"/>
  <c r="B8" i="9"/>
  <c r="B7" i="9"/>
  <c r="O31" i="16" l="1"/>
  <c r="O32" i="16" s="1"/>
  <c r="N31" i="16"/>
  <c r="N32" i="16" s="1"/>
  <c r="K31" i="16"/>
  <c r="K32" i="16" s="1"/>
  <c r="K33" i="16" s="1"/>
  <c r="H31" i="16"/>
  <c r="H32" i="16" s="1"/>
  <c r="H33" i="16" s="1"/>
  <c r="E31" i="16"/>
  <c r="E32" i="16" s="1"/>
  <c r="E33" i="16" s="1"/>
  <c r="B31" i="16"/>
  <c r="B32" i="16" s="1"/>
  <c r="B33" i="16" s="1"/>
  <c r="O27" i="16"/>
  <c r="O28" i="16" s="1"/>
  <c r="N27" i="16"/>
  <c r="N28" i="16" s="1"/>
  <c r="K27" i="16"/>
  <c r="K28" i="16" s="1"/>
  <c r="K29" i="16" s="1"/>
  <c r="H27" i="16"/>
  <c r="H28" i="16" s="1"/>
  <c r="H29" i="16" s="1"/>
  <c r="E27" i="16"/>
  <c r="E28" i="16" s="1"/>
  <c r="E29" i="16" s="1"/>
  <c r="B27" i="16"/>
  <c r="B28" i="16" s="1"/>
  <c r="B29" i="16" s="1"/>
  <c r="O23" i="16"/>
  <c r="O24" i="16" s="1"/>
  <c r="N23" i="16"/>
  <c r="N24" i="16" s="1"/>
  <c r="K23" i="16"/>
  <c r="K24" i="16" s="1"/>
  <c r="K25" i="16" s="1"/>
  <c r="H23" i="16"/>
  <c r="H24" i="16" s="1"/>
  <c r="H25" i="16" s="1"/>
  <c r="E23" i="16"/>
  <c r="E24" i="16" s="1"/>
  <c r="E25" i="16" s="1"/>
  <c r="B23" i="16"/>
  <c r="B24" i="16" s="1"/>
  <c r="B25" i="16" s="1"/>
  <c r="O19" i="16"/>
  <c r="O20" i="16" s="1"/>
  <c r="N19" i="16"/>
  <c r="N20" i="16" s="1"/>
  <c r="K19" i="16"/>
  <c r="K20" i="16" s="1"/>
  <c r="K21" i="16" s="1"/>
  <c r="H19" i="16"/>
  <c r="H20" i="16" s="1"/>
  <c r="H21" i="16" s="1"/>
  <c r="E19" i="16"/>
  <c r="E20" i="16" s="1"/>
  <c r="E21" i="16" s="1"/>
  <c r="B19" i="16"/>
  <c r="B20" i="16" s="1"/>
  <c r="B21" i="16" s="1"/>
  <c r="K17" i="16"/>
  <c r="H17" i="16"/>
  <c r="E17" i="16"/>
  <c r="B17" i="16"/>
  <c r="B11" i="16"/>
  <c r="O14" i="16" s="1"/>
  <c r="O31" i="15"/>
  <c r="O32" i="15" s="1"/>
  <c r="N31" i="15"/>
  <c r="N32" i="15" s="1"/>
  <c r="K31" i="15"/>
  <c r="K32" i="15" s="1"/>
  <c r="K33" i="15" s="1"/>
  <c r="H31" i="15"/>
  <c r="H32" i="15" s="1"/>
  <c r="H33" i="15" s="1"/>
  <c r="E31" i="15"/>
  <c r="E32" i="15" s="1"/>
  <c r="E33" i="15" s="1"/>
  <c r="B31" i="15"/>
  <c r="B32" i="15" s="1"/>
  <c r="B33" i="15" s="1"/>
  <c r="O27" i="15"/>
  <c r="O28" i="15" s="1"/>
  <c r="N27" i="15"/>
  <c r="N28" i="15" s="1"/>
  <c r="K27" i="15"/>
  <c r="K28" i="15" s="1"/>
  <c r="K29" i="15" s="1"/>
  <c r="H27" i="15"/>
  <c r="H28" i="15" s="1"/>
  <c r="H29" i="15" s="1"/>
  <c r="E27" i="15"/>
  <c r="E28" i="15" s="1"/>
  <c r="E29" i="15" s="1"/>
  <c r="B27" i="15"/>
  <c r="B28" i="15" s="1"/>
  <c r="B29" i="15" s="1"/>
  <c r="O23" i="15"/>
  <c r="O24" i="15" s="1"/>
  <c r="N23" i="15"/>
  <c r="N24" i="15" s="1"/>
  <c r="K23" i="15"/>
  <c r="K24" i="15" s="1"/>
  <c r="K25" i="15" s="1"/>
  <c r="H23" i="15"/>
  <c r="H24" i="15" s="1"/>
  <c r="H25" i="15" s="1"/>
  <c r="E23" i="15"/>
  <c r="E24" i="15" s="1"/>
  <c r="E25" i="15" s="1"/>
  <c r="B23" i="15"/>
  <c r="B24" i="15" s="1"/>
  <c r="B25" i="15" s="1"/>
  <c r="O19" i="15"/>
  <c r="O20" i="15" s="1"/>
  <c r="N19" i="15"/>
  <c r="N20" i="15" s="1"/>
  <c r="K19" i="15"/>
  <c r="K20" i="15" s="1"/>
  <c r="K21" i="15" s="1"/>
  <c r="H19" i="15"/>
  <c r="H20" i="15" s="1"/>
  <c r="H21" i="15" s="1"/>
  <c r="E19" i="15"/>
  <c r="E20" i="15" s="1"/>
  <c r="E21" i="15" s="1"/>
  <c r="B19" i="15"/>
  <c r="B20" i="15" s="1"/>
  <c r="B21" i="15" s="1"/>
  <c r="K17" i="15"/>
  <c r="H17" i="15"/>
  <c r="E17" i="15"/>
  <c r="B17" i="15"/>
  <c r="B11" i="15"/>
  <c r="O14" i="15" s="1"/>
  <c r="H6" i="14"/>
  <c r="O31" i="14"/>
  <c r="O32" i="14" s="1"/>
  <c r="N31" i="14"/>
  <c r="N32" i="14" s="1"/>
  <c r="K31" i="14"/>
  <c r="K32" i="14" s="1"/>
  <c r="K33" i="14" s="1"/>
  <c r="H31" i="14"/>
  <c r="H32" i="14" s="1"/>
  <c r="H33" i="14" s="1"/>
  <c r="E31" i="14"/>
  <c r="E32" i="14" s="1"/>
  <c r="E33" i="14" s="1"/>
  <c r="B31" i="14"/>
  <c r="B32" i="14" s="1"/>
  <c r="B33" i="14" s="1"/>
  <c r="O27" i="14"/>
  <c r="O28" i="14" s="1"/>
  <c r="N27" i="14"/>
  <c r="N28" i="14" s="1"/>
  <c r="K27" i="14"/>
  <c r="K28" i="14" s="1"/>
  <c r="K29" i="14" s="1"/>
  <c r="H27" i="14"/>
  <c r="H28" i="14" s="1"/>
  <c r="H29" i="14" s="1"/>
  <c r="E27" i="14"/>
  <c r="E28" i="14" s="1"/>
  <c r="E29" i="14" s="1"/>
  <c r="B27" i="14"/>
  <c r="B28" i="14" s="1"/>
  <c r="B29" i="14" s="1"/>
  <c r="O23" i="14"/>
  <c r="O24" i="14" s="1"/>
  <c r="N23" i="14"/>
  <c r="N24" i="14" s="1"/>
  <c r="K23" i="14"/>
  <c r="K24" i="14" s="1"/>
  <c r="K25" i="14" s="1"/>
  <c r="H23" i="14"/>
  <c r="H24" i="14" s="1"/>
  <c r="H25" i="14" s="1"/>
  <c r="E23" i="14"/>
  <c r="E24" i="14" s="1"/>
  <c r="B23" i="14"/>
  <c r="B24" i="14" s="1"/>
  <c r="B25" i="14" s="1"/>
  <c r="O19" i="14"/>
  <c r="O20" i="14" s="1"/>
  <c r="N19" i="14"/>
  <c r="N20" i="14" s="1"/>
  <c r="K19" i="14"/>
  <c r="K20" i="14" s="1"/>
  <c r="K21" i="14" s="1"/>
  <c r="H19" i="14"/>
  <c r="H20" i="14" s="1"/>
  <c r="H21" i="14" s="1"/>
  <c r="E19" i="14"/>
  <c r="E20" i="14" s="1"/>
  <c r="E21" i="14" s="1"/>
  <c r="B19" i="14"/>
  <c r="B20" i="14" s="1"/>
  <c r="B21" i="14" s="1"/>
  <c r="K17" i="14"/>
  <c r="H17" i="14"/>
  <c r="E17" i="14"/>
  <c r="B17" i="14"/>
  <c r="B11" i="14"/>
  <c r="B15" i="14" s="1"/>
  <c r="H15" i="16" l="1"/>
  <c r="K15" i="16"/>
  <c r="B15" i="16"/>
  <c r="E15" i="16"/>
  <c r="H15" i="15"/>
  <c r="K15" i="15"/>
  <c r="B15" i="15"/>
  <c r="E15" i="15"/>
  <c r="H15" i="14"/>
  <c r="K15" i="14"/>
  <c r="E15" i="14"/>
  <c r="N14" i="16"/>
  <c r="H6" i="15"/>
  <c r="N14" i="15"/>
  <c r="N14" i="14"/>
  <c r="O14" i="14"/>
  <c r="O27" i="6" l="1"/>
  <c r="O28" i="6" s="1"/>
  <c r="N27" i="6"/>
  <c r="N28" i="6" s="1"/>
  <c r="K27" i="6"/>
  <c r="K28" i="6" s="1"/>
  <c r="K29" i="6" s="1"/>
  <c r="H27" i="6"/>
  <c r="H28" i="6" s="1"/>
  <c r="H29" i="6" s="1"/>
  <c r="E27" i="6"/>
  <c r="E28" i="6" s="1"/>
  <c r="E29" i="6" s="1"/>
  <c r="B27" i="6"/>
  <c r="B28" i="6" s="1"/>
  <c r="B29" i="6" s="1"/>
  <c r="O31" i="12" l="1"/>
  <c r="O32" i="12" s="1"/>
  <c r="N31" i="12"/>
  <c r="N32" i="12" s="1"/>
  <c r="K31" i="12"/>
  <c r="K32" i="12" s="1"/>
  <c r="K33" i="12" s="1"/>
  <c r="H31" i="12"/>
  <c r="H32" i="12" s="1"/>
  <c r="H33" i="12" s="1"/>
  <c r="E31" i="12"/>
  <c r="E32" i="12" s="1"/>
  <c r="E33" i="12" s="1"/>
  <c r="B31" i="12"/>
  <c r="B32" i="12" s="1"/>
  <c r="B33" i="12" s="1"/>
  <c r="O27" i="12"/>
  <c r="O28" i="12" s="1"/>
  <c r="N27" i="12"/>
  <c r="N28" i="12" s="1"/>
  <c r="K27" i="12"/>
  <c r="K28" i="12" s="1"/>
  <c r="K29" i="12" s="1"/>
  <c r="H27" i="12"/>
  <c r="H28" i="12" s="1"/>
  <c r="H29" i="12" s="1"/>
  <c r="E27" i="12"/>
  <c r="E28" i="12" s="1"/>
  <c r="E29" i="12" s="1"/>
  <c r="B27" i="12"/>
  <c r="B28" i="12" s="1"/>
  <c r="B29" i="12" s="1"/>
  <c r="O23" i="12"/>
  <c r="O24" i="12" s="1"/>
  <c r="N23" i="12"/>
  <c r="N24" i="12" s="1"/>
  <c r="K23" i="12"/>
  <c r="K24" i="12" s="1"/>
  <c r="K25" i="12" s="1"/>
  <c r="H23" i="12"/>
  <c r="H24" i="12" s="1"/>
  <c r="H25" i="12" s="1"/>
  <c r="E23" i="12"/>
  <c r="E24" i="12" s="1"/>
  <c r="E25" i="12" s="1"/>
  <c r="B23" i="12"/>
  <c r="B24" i="12" s="1"/>
  <c r="B25" i="12" s="1"/>
  <c r="O19" i="12"/>
  <c r="O20" i="12" s="1"/>
  <c r="N19" i="12"/>
  <c r="N20" i="12" s="1"/>
  <c r="K19" i="12"/>
  <c r="K20" i="12" s="1"/>
  <c r="K21" i="12" s="1"/>
  <c r="H19" i="12"/>
  <c r="H20" i="12" s="1"/>
  <c r="H21" i="12" s="1"/>
  <c r="E19" i="12"/>
  <c r="E20" i="12" s="1"/>
  <c r="E21" i="12" s="1"/>
  <c r="B19" i="12"/>
  <c r="B20" i="12" s="1"/>
  <c r="B21" i="12" s="1"/>
  <c r="K17" i="12"/>
  <c r="H17" i="12"/>
  <c r="E17" i="12"/>
  <c r="B17" i="12"/>
  <c r="B11" i="12"/>
  <c r="O14" i="12" s="1"/>
  <c r="O31" i="11"/>
  <c r="O32" i="11" s="1"/>
  <c r="N31" i="11"/>
  <c r="N32" i="11" s="1"/>
  <c r="K31" i="11"/>
  <c r="K32" i="11" s="1"/>
  <c r="K33" i="11" s="1"/>
  <c r="H31" i="11"/>
  <c r="H32" i="11" s="1"/>
  <c r="H33" i="11" s="1"/>
  <c r="E31" i="11"/>
  <c r="E32" i="11" s="1"/>
  <c r="E33" i="11" s="1"/>
  <c r="B31" i="11"/>
  <c r="B32" i="11" s="1"/>
  <c r="B33" i="11" s="1"/>
  <c r="O27" i="11"/>
  <c r="O28" i="11" s="1"/>
  <c r="N27" i="11"/>
  <c r="N28" i="11" s="1"/>
  <c r="K27" i="11"/>
  <c r="K28" i="11" s="1"/>
  <c r="K29" i="11" s="1"/>
  <c r="H27" i="11"/>
  <c r="H28" i="11" s="1"/>
  <c r="H29" i="11" s="1"/>
  <c r="E27" i="11"/>
  <c r="E28" i="11" s="1"/>
  <c r="E29" i="11" s="1"/>
  <c r="B27" i="11"/>
  <c r="B28" i="11" s="1"/>
  <c r="B29" i="11" s="1"/>
  <c r="O23" i="11"/>
  <c r="O24" i="11" s="1"/>
  <c r="N23" i="11"/>
  <c r="N24" i="11" s="1"/>
  <c r="K23" i="11"/>
  <c r="K24" i="11" s="1"/>
  <c r="K25" i="11" s="1"/>
  <c r="H23" i="11"/>
  <c r="H24" i="11" s="1"/>
  <c r="H25" i="11" s="1"/>
  <c r="E23" i="11"/>
  <c r="E24" i="11" s="1"/>
  <c r="E25" i="11" s="1"/>
  <c r="B23" i="11"/>
  <c r="B24" i="11" s="1"/>
  <c r="B25" i="11" s="1"/>
  <c r="O19" i="11"/>
  <c r="O20" i="11" s="1"/>
  <c r="N19" i="11"/>
  <c r="N20" i="11" s="1"/>
  <c r="K19" i="11"/>
  <c r="K20" i="11" s="1"/>
  <c r="K21" i="11" s="1"/>
  <c r="H19" i="11"/>
  <c r="H20" i="11" s="1"/>
  <c r="H21" i="11" s="1"/>
  <c r="E19" i="11"/>
  <c r="E20" i="11" s="1"/>
  <c r="E21" i="11" s="1"/>
  <c r="B19" i="11"/>
  <c r="B20" i="11" s="1"/>
  <c r="B21" i="11" s="1"/>
  <c r="K17" i="11"/>
  <c r="H17" i="11"/>
  <c r="E17" i="11"/>
  <c r="B17" i="11"/>
  <c r="B11" i="11"/>
  <c r="O14" i="11" s="1"/>
  <c r="O31" i="10"/>
  <c r="O32" i="10" s="1"/>
  <c r="N31" i="10"/>
  <c r="N32" i="10" s="1"/>
  <c r="K31" i="10"/>
  <c r="K32" i="10" s="1"/>
  <c r="K33" i="10" s="1"/>
  <c r="H31" i="10"/>
  <c r="H32" i="10" s="1"/>
  <c r="H33" i="10" s="1"/>
  <c r="E31" i="10"/>
  <c r="E32" i="10" s="1"/>
  <c r="E33" i="10" s="1"/>
  <c r="B31" i="10"/>
  <c r="B32" i="10" s="1"/>
  <c r="B33" i="10" s="1"/>
  <c r="O27" i="10"/>
  <c r="O28" i="10" s="1"/>
  <c r="N27" i="10"/>
  <c r="N28" i="10" s="1"/>
  <c r="K27" i="10"/>
  <c r="K28" i="10" s="1"/>
  <c r="K29" i="10" s="1"/>
  <c r="H27" i="10"/>
  <c r="H28" i="10" s="1"/>
  <c r="H29" i="10" s="1"/>
  <c r="E27" i="10"/>
  <c r="E28" i="10" s="1"/>
  <c r="E29" i="10" s="1"/>
  <c r="B27" i="10"/>
  <c r="B28" i="10" s="1"/>
  <c r="B29" i="10" s="1"/>
  <c r="O23" i="10"/>
  <c r="O24" i="10" s="1"/>
  <c r="N23" i="10"/>
  <c r="N24" i="10" s="1"/>
  <c r="K23" i="10"/>
  <c r="K24" i="10" s="1"/>
  <c r="K25" i="10" s="1"/>
  <c r="H23" i="10"/>
  <c r="H24" i="10" s="1"/>
  <c r="H25" i="10" s="1"/>
  <c r="E23" i="10"/>
  <c r="E24" i="10" s="1"/>
  <c r="E25" i="10" s="1"/>
  <c r="B23" i="10"/>
  <c r="B24" i="10" s="1"/>
  <c r="B25" i="10" s="1"/>
  <c r="O19" i="10"/>
  <c r="O20" i="10" s="1"/>
  <c r="N19" i="10"/>
  <c r="N20" i="10" s="1"/>
  <c r="K19" i="10"/>
  <c r="K20" i="10" s="1"/>
  <c r="K21" i="10" s="1"/>
  <c r="H19" i="10"/>
  <c r="H20" i="10" s="1"/>
  <c r="H21" i="10" s="1"/>
  <c r="E19" i="10"/>
  <c r="E20" i="10" s="1"/>
  <c r="E21" i="10" s="1"/>
  <c r="B19" i="10"/>
  <c r="B20" i="10" s="1"/>
  <c r="B21" i="10" s="1"/>
  <c r="K17" i="10"/>
  <c r="H17" i="10"/>
  <c r="E17" i="10"/>
  <c r="B17" i="10"/>
  <c r="B11" i="10"/>
  <c r="H15" i="10" s="1"/>
  <c r="O31" i="9"/>
  <c r="O32" i="9" s="1"/>
  <c r="N31" i="9"/>
  <c r="N32" i="9" s="1"/>
  <c r="K31" i="9"/>
  <c r="K32" i="9" s="1"/>
  <c r="K33" i="9" s="1"/>
  <c r="H31" i="9"/>
  <c r="H32" i="9" s="1"/>
  <c r="H33" i="9" s="1"/>
  <c r="E31" i="9"/>
  <c r="E32" i="9" s="1"/>
  <c r="E33" i="9" s="1"/>
  <c r="B32" i="9"/>
  <c r="B33" i="9" s="1"/>
  <c r="O27" i="9"/>
  <c r="O28" i="9" s="1"/>
  <c r="N27" i="9"/>
  <c r="N28" i="9" s="1"/>
  <c r="K27" i="9"/>
  <c r="K28" i="9" s="1"/>
  <c r="K29" i="9" s="1"/>
  <c r="H27" i="9"/>
  <c r="H28" i="9" s="1"/>
  <c r="H29" i="9" s="1"/>
  <c r="E28" i="9"/>
  <c r="E29" i="9" s="1"/>
  <c r="B27" i="9"/>
  <c r="B28" i="9" s="1"/>
  <c r="B29" i="9" s="1"/>
  <c r="O23" i="9"/>
  <c r="O24" i="9" s="1"/>
  <c r="N23" i="9"/>
  <c r="N24" i="9" s="1"/>
  <c r="K23" i="9"/>
  <c r="K24" i="9" s="1"/>
  <c r="K25" i="9" s="1"/>
  <c r="H23" i="9"/>
  <c r="H24" i="9" s="1"/>
  <c r="H25" i="9" s="1"/>
  <c r="E23" i="9"/>
  <c r="E24" i="9" s="1"/>
  <c r="E25" i="9" s="1"/>
  <c r="B23" i="9"/>
  <c r="B24" i="9" s="1"/>
  <c r="B25" i="9" s="1"/>
  <c r="O19" i="9"/>
  <c r="O20" i="9" s="1"/>
  <c r="N19" i="9"/>
  <c r="N20" i="9" s="1"/>
  <c r="K19" i="9"/>
  <c r="K20" i="9" s="1"/>
  <c r="K21" i="9" s="1"/>
  <c r="H19" i="9"/>
  <c r="H20" i="9" s="1"/>
  <c r="H21" i="9" s="1"/>
  <c r="E19" i="9"/>
  <c r="E20" i="9" s="1"/>
  <c r="E21" i="9" s="1"/>
  <c r="B19" i="9"/>
  <c r="B20" i="9" s="1"/>
  <c r="B21" i="9" s="1"/>
  <c r="K17" i="9"/>
  <c r="H17" i="9"/>
  <c r="E17" i="9"/>
  <c r="B17" i="9"/>
  <c r="B11" i="9"/>
  <c r="K15" i="9" l="1"/>
  <c r="N14" i="9"/>
  <c r="H6" i="11"/>
  <c r="H6" i="10"/>
  <c r="H6" i="9"/>
  <c r="E15" i="12"/>
  <c r="H15" i="12"/>
  <c r="B15" i="12"/>
  <c r="K15" i="12"/>
  <c r="E15" i="11"/>
  <c r="H15" i="11"/>
  <c r="K15" i="11"/>
  <c r="B15" i="11"/>
  <c r="B15" i="10"/>
  <c r="N14" i="10"/>
  <c r="O14" i="10"/>
  <c r="E15" i="10"/>
  <c r="K15" i="10"/>
  <c r="H6" i="12"/>
  <c r="N14" i="12"/>
  <c r="N14" i="11"/>
  <c r="O14" i="9"/>
  <c r="B15" i="9"/>
  <c r="E15" i="9"/>
  <c r="H15" i="9"/>
  <c r="B31" i="6"/>
  <c r="B32" i="6" s="1"/>
  <c r="K19" i="6"/>
  <c r="K20" i="6" s="1"/>
  <c r="N19" i="6"/>
  <c r="N20" i="6" s="1"/>
  <c r="O19" i="6"/>
  <c r="O20" i="6" s="1"/>
  <c r="B17" i="6" l="1"/>
  <c r="B11" i="6"/>
  <c r="O31" i="6"/>
  <c r="O32" i="6" s="1"/>
  <c r="N31" i="6"/>
  <c r="N32" i="6" s="1"/>
  <c r="K31" i="6"/>
  <c r="K32" i="6" s="1"/>
  <c r="K33" i="6" s="1"/>
  <c r="H31" i="6"/>
  <c r="H32" i="6" s="1"/>
  <c r="H33" i="6" s="1"/>
  <c r="E31" i="6"/>
  <c r="E32" i="6" s="1"/>
  <c r="E33" i="6" s="1"/>
  <c r="B33" i="6"/>
  <c r="O23" i="6"/>
  <c r="O24" i="6" s="1"/>
  <c r="N23" i="6"/>
  <c r="N24" i="6" s="1"/>
  <c r="K23" i="6"/>
  <c r="K24" i="6" s="1"/>
  <c r="K25" i="6" s="1"/>
  <c r="H23" i="6"/>
  <c r="H24" i="6" s="1"/>
  <c r="H25" i="6" s="1"/>
  <c r="E23" i="6"/>
  <c r="E24" i="6" s="1"/>
  <c r="E25" i="6" s="1"/>
  <c r="B23" i="6"/>
  <c r="B24" i="6" s="1"/>
  <c r="B25" i="6" s="1"/>
  <c r="K21" i="6"/>
  <c r="H19" i="6"/>
  <c r="H20" i="6" s="1"/>
  <c r="H21" i="6" s="1"/>
  <c r="E19" i="6"/>
  <c r="E20" i="6" s="1"/>
  <c r="E21" i="6" s="1"/>
  <c r="B19" i="6"/>
  <c r="B20" i="6" s="1"/>
  <c r="B21" i="6" s="1"/>
  <c r="K17" i="6"/>
  <c r="H17" i="6"/>
  <c r="E17" i="6"/>
  <c r="H6" i="6" l="1"/>
  <c r="E15" i="6"/>
  <c r="N14" i="6"/>
  <c r="O14" i="6"/>
  <c r="B15" i="6"/>
  <c r="K15" i="6"/>
  <c r="H15" i="6"/>
</calcChain>
</file>

<file path=xl/sharedStrings.xml><?xml version="1.0" encoding="utf-8"?>
<sst xmlns="http://schemas.openxmlformats.org/spreadsheetml/2006/main" count="920" uniqueCount="33">
  <si>
    <t>pho/s</t>
  </si>
  <si>
    <t>mbar*L/s</t>
  </si>
  <si>
    <t>s</t>
  </si>
  <si>
    <t>cm</t>
  </si>
  <si>
    <t>pho/m</t>
  </si>
  <si>
    <t>mol/pho</t>
  </si>
  <si>
    <t>beam height</t>
  </si>
  <si>
    <t>beam length</t>
  </si>
  <si>
    <t>m</t>
  </si>
  <si>
    <t>length on walls</t>
  </si>
  <si>
    <t>no scattering beam on walls</t>
  </si>
  <si>
    <t>first point</t>
  </si>
  <si>
    <t>time to reach point</t>
  </si>
  <si>
    <t>digitized load</t>
  </si>
  <si>
    <t>second point</t>
  </si>
  <si>
    <t>agreement</t>
  </si>
  <si>
    <t>mol/s</t>
  </si>
  <si>
    <t>third point</t>
  </si>
  <si>
    <t>predicted</t>
  </si>
  <si>
    <t>CH4</t>
  </si>
  <si>
    <t>H2</t>
  </si>
  <si>
    <t>Orig</t>
  </si>
  <si>
    <t>Digitized</t>
  </si>
  <si>
    <t>Points</t>
  </si>
  <si>
    <t>M. Ady</t>
  </si>
  <si>
    <t>Experim</t>
  </si>
  <si>
    <t>Data</t>
  </si>
  <si>
    <t>Step 1</t>
  </si>
  <si>
    <t>Step 2</t>
  </si>
  <si>
    <t>M Ady</t>
  </si>
  <si>
    <t>CO2</t>
  </si>
  <si>
    <t>CO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</si>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</sst>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4" borderId="0" xfId="0" applyNumberFormat="1" applyFill="1"/>
    <xf numFmtId="11" fontId="0" fillId="3" borderId="0" xfId="0" applyNumberFormat="1" applyFill="1"/>
    <xf numFmtId="164" fontId="0" fillId="4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'H2 No Scat'!$D$6:$D$8</c:f>
              <c:numCache>
                <c:formatCode>0.00E+00</c:formatCode>
                <c:ptCount val="3"/>
                <c:pt idx="0">
                  <c:v>4.1200000000000001E-2</c:v>
                </c:pt>
                <c:pt idx="1">
                  <c:v>4.1200000000000001E-2</c:v>
                </c:pt>
                <c:pt idx="2">
                  <c:v>1.29E-2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4.5454545454545453E+17</c:v>
                </c:pt>
                <c:pt idx="2">
                  <c:v>4.5454545454545454E+18</c:v>
                </c:pt>
              </c:numCache>
            </c:numRef>
          </c:xVal>
          <c:yVal>
            <c:numRef>
              <c:f>'H2 No Scat'!$F$6:$F$8</c:f>
              <c:numCache>
                <c:formatCode>0.00E+00</c:formatCode>
                <c:ptCount val="3"/>
                <c:pt idx="0">
                  <c:v>4.1200000000000001E-2</c:v>
                </c:pt>
                <c:pt idx="1">
                  <c:v>4.1200000000000001E-2</c:v>
                </c:pt>
                <c:pt idx="2">
                  <c:v>1.29E-2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No Scat'!$E$7:$E$8</c:f>
              <c:numCache>
                <c:formatCode>0.00E+00</c:formatCode>
                <c:ptCount val="2"/>
                <c:pt idx="0">
                  <c:v>4.5454545454545453E+17</c:v>
                </c:pt>
                <c:pt idx="1">
                  <c:v>4.5454545454545454E+18</c:v>
                </c:pt>
              </c:numCache>
            </c:numRef>
          </c:xVal>
          <c:yVal>
            <c:numRef>
              <c:f>'H2 No Scat'!$F$7:$F$8</c:f>
              <c:numCache>
                <c:formatCode>0.00E+00</c:formatCode>
                <c:ptCount val="2"/>
                <c:pt idx="0">
                  <c:v>4.1200000000000001E-2</c:v>
                </c:pt>
                <c:pt idx="1">
                  <c:v>1.29E-2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1E+16</c:v>
                </c:pt>
                <c:pt idx="2">
                  <c:v>1E+17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0.28235095601951282</c:v>
                </c:pt>
                <c:pt idx="1">
                  <c:v>0.28235095601951282</c:v>
                </c:pt>
                <c:pt idx="2">
                  <c:v>8.840549548250029E-2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4464"/>
        <c:axId val="616994856"/>
      </c:scatterChart>
      <c:valAx>
        <c:axId val="616994464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856"/>
        <c:crossesAt val="1.0000000000000005E-9"/>
        <c:crossBetween val="midCat"/>
      </c:valAx>
      <c:valAx>
        <c:axId val="616994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4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'H2 0.308'!$D$6:$D$8</c:f>
              <c:numCache>
                <c:formatCode>0.00E+00</c:formatCode>
                <c:ptCount val="3"/>
                <c:pt idx="0">
                  <c:v>4.1200000000000001E-2</c:v>
                </c:pt>
                <c:pt idx="1">
                  <c:v>4.1200000000000001E-2</c:v>
                </c:pt>
                <c:pt idx="2">
                  <c:v>1.29E-2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'H2 0.308'!$E$5</c:f>
              <c:strCache>
                <c:ptCount val="1"/>
                <c:pt idx="0">
                  <c:v>Step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5E+16</c:v>
                </c:pt>
                <c:pt idx="2">
                  <c:v>5E+17</c:v>
                </c:pt>
              </c:numCache>
            </c:numRef>
          </c:xVal>
          <c:yVal>
            <c:numRef>
              <c:f>'H2 0.308'!$F$6:$F$8</c:f>
              <c:numCache>
                <c:formatCode>0.00E+00</c:formatCode>
                <c:ptCount val="3"/>
                <c:pt idx="0">
                  <c:v>4.1200000000000001E-2</c:v>
                </c:pt>
                <c:pt idx="1">
                  <c:v>4.1200000000000001E-2</c:v>
                </c:pt>
                <c:pt idx="2">
                  <c:v>1.29E-2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4683658694238012"/>
                  <c:y val="-0.383426881738429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0.308'!$E$7:$E$8</c:f>
              <c:numCache>
                <c:formatCode>0.00E+00</c:formatCode>
                <c:ptCount val="2"/>
                <c:pt idx="0">
                  <c:v>5E+16</c:v>
                </c:pt>
                <c:pt idx="1">
                  <c:v>5E+17</c:v>
                </c:pt>
              </c:numCache>
            </c:numRef>
          </c:xVal>
          <c:yVal>
            <c:numRef>
              <c:f>'H2 0.308'!$F$7:$F$8</c:f>
              <c:numCache>
                <c:formatCode>0.00E+00</c:formatCode>
                <c:ptCount val="2"/>
                <c:pt idx="0">
                  <c:v>4.1200000000000001E-2</c:v>
                </c:pt>
                <c:pt idx="1">
                  <c:v>1.29E-2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'H2 0.308'!$G$5</c:f>
              <c:strCache>
                <c:ptCount val="1"/>
                <c:pt idx="0">
                  <c:v>Step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666666666666666.62</c:v>
                </c:pt>
                <c:pt idx="2">
                  <c:v>6666666666666667</c:v>
                </c:pt>
              </c:numCache>
            </c:numRef>
          </c:xVal>
          <c:yVal>
            <c:numRef>
              <c:f>'H2 0.308'!$H$6:$H$8</c:f>
              <c:numCache>
                <c:formatCode>0.00E+00</c:formatCode>
                <c:ptCount val="3"/>
                <c:pt idx="0">
                  <c:v>0.36346619671680397</c:v>
                </c:pt>
                <c:pt idx="1">
                  <c:v>0.36346619671680397</c:v>
                </c:pt>
                <c:pt idx="2">
                  <c:v>0.11380308274808304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5968"/>
        <c:axId val="498796360"/>
      </c:scatterChart>
      <c:valAx>
        <c:axId val="498795968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6360"/>
        <c:crossesAt val="1.0000000000000005E-9"/>
        <c:crossBetween val="midCat"/>
      </c:valAx>
      <c:valAx>
        <c:axId val="498796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9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0.308'!$B$16,'H2 0.308'!$E$16,'H2 0.308'!$H$16,'H2 0.308'!$K$16)</c:f>
              <c:numCache>
                <c:formatCode>0.00E+00</c:formatCode>
                <c:ptCount val="4"/>
                <c:pt idx="0">
                  <c:v>4.1200000000000001E-2</c:v>
                </c:pt>
                <c:pt idx="1">
                  <c:v>1.29E-2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0.308'!$B$14,'H2 0.308'!$E$14,'H2 0.308'!$H$14,'H2 0.308'!$K$14,'H2 0.308'!$N$14,'H2 0.308'!$O$14)</c:f>
              <c:numCache>
                <c:formatCode>0.00E+00</c:formatCode>
                <c:ptCount val="7"/>
                <c:pt idx="0">
                  <c:v>1E+20</c:v>
                </c:pt>
                <c:pt idx="1">
                  <c:v>1E+20</c:v>
                </c:pt>
                <c:pt idx="2">
                  <c:v>1E+21</c:v>
                </c:pt>
                <c:pt idx="3">
                  <c:v>1E+22</c:v>
                </c:pt>
                <c:pt idx="4">
                  <c:v>9.9999999999999992E+22</c:v>
                </c:pt>
                <c:pt idx="5">
                  <c:v>1.6791666666666667E+24</c:v>
                </c:pt>
                <c:pt idx="6">
                  <c:v>1.6791666666666664E+25</c:v>
                </c:pt>
              </c:numCache>
            </c:numRef>
          </c:xVal>
          <c:yVal>
            <c:numRef>
              <c:f>('H2 0.308'!$B$20,'H2 0.308'!$B$20,'H2 0.308'!$E$20,'H2 0.308'!$H$20,'H2 0.308'!$K$20,'H2 0.308'!$N$20,'H2 0.308'!$O$20)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0.308'!$B$28,'H2 0.308'!$E$28,'H2 0.308'!$H$28,'H2 0.308'!$K$28)</c:f>
              <c:numCache>
                <c:formatCode>0.00E+00</c:formatCode>
                <c:ptCount val="4"/>
                <c:pt idx="0">
                  <c:v>0</c:v>
                </c:pt>
                <c:pt idx="1">
                  <c:v>1.0451753155680225E-2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0.308'!$B$32,'H2 0.308'!$E$32,'H2 0.308'!$H$32,'H2 0.308'!$K$32)</c:f>
              <c:numCache>
                <c:formatCode>0.00E+00</c:formatCode>
                <c:ptCount val="4"/>
                <c:pt idx="0">
                  <c:v>3.8927536231884059E-2</c:v>
                </c:pt>
                <c:pt idx="1">
                  <c:v>1.2623079320554776E-2</c:v>
                </c:pt>
                <c:pt idx="2">
                  <c:v>3.9642823749415617E-3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0.308'!$B$14,'H2 0.308'!$E$14,'H2 0.308'!$H$14,'H2 0.308'!$K$14,'H2 0.308'!$N$14:$O$14)</c:f>
              <c:numCache>
                <c:formatCode>0.00E+00</c:formatCode>
                <c:ptCount val="7"/>
                <c:pt idx="0">
                  <c:v>1E+20</c:v>
                </c:pt>
                <c:pt idx="1">
                  <c:v>1E+20</c:v>
                </c:pt>
                <c:pt idx="2">
                  <c:v>1E+21</c:v>
                </c:pt>
                <c:pt idx="3">
                  <c:v>1E+22</c:v>
                </c:pt>
                <c:pt idx="4">
                  <c:v>9.9999999999999992E+22</c:v>
                </c:pt>
                <c:pt idx="5">
                  <c:v>1.6791666666666667E+24</c:v>
                </c:pt>
                <c:pt idx="6">
                  <c:v>1.6791666666666664E+25</c:v>
                </c:pt>
              </c:numCache>
            </c:numRef>
          </c:xVal>
          <c:yVal>
            <c:numRef>
              <c:f>('H2 0.308'!$B$24,'H2 0.308'!$E$24,'H2 0.308'!$H$24,'H2 0.308'!$K$24,'H2 0.308'!$N$24:$O$24)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7144"/>
        <c:axId val="498797536"/>
      </c:scatterChart>
      <c:valAx>
        <c:axId val="498797144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536"/>
        <c:crossesAt val="1.0000000000000005E-7"/>
        <c:crossBetween val="midCat"/>
      </c:valAx>
      <c:valAx>
        <c:axId val="498797536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14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'CO2 0.308'!$D$6:$D$8</c:f>
              <c:numCache>
                <c:formatCode>0.00E+00</c:formatCode>
                <c:ptCount val="3"/>
                <c:pt idx="0">
                  <c:v>2.2000000000000001E-3</c:v>
                </c:pt>
                <c:pt idx="1">
                  <c:v>2.2000000000000001E-3</c:v>
                </c:pt>
                <c:pt idx="2">
                  <c:v>7.1699999999999997E-4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5E+16</c:v>
                </c:pt>
                <c:pt idx="2">
                  <c:v>5E+17</c:v>
                </c:pt>
              </c:numCache>
            </c:numRef>
          </c:xVal>
          <c:yVal>
            <c:numRef>
              <c:f>'CO2 0.308'!$F$6:$F$8</c:f>
              <c:numCache>
                <c:formatCode>0.00E+00</c:formatCode>
                <c:ptCount val="3"/>
                <c:pt idx="0">
                  <c:v>2.2000000000000001E-3</c:v>
                </c:pt>
                <c:pt idx="1">
                  <c:v>2.2000000000000001E-3</c:v>
                </c:pt>
                <c:pt idx="2">
                  <c:v>7.1699999999999997E-4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0.308'!$E$7:$E$8</c:f>
              <c:numCache>
                <c:formatCode>0.00E+00</c:formatCode>
                <c:ptCount val="2"/>
                <c:pt idx="0">
                  <c:v>5E+16</c:v>
                </c:pt>
                <c:pt idx="1">
                  <c:v>5E+17</c:v>
                </c:pt>
              </c:numCache>
            </c:numRef>
          </c:xVal>
          <c:yVal>
            <c:numRef>
              <c:f>'CO2 0.308'!$F$7:$F$8</c:f>
              <c:numCache>
                <c:formatCode>0.00E+00</c:formatCode>
                <c:ptCount val="2"/>
                <c:pt idx="0">
                  <c:v>2.2000000000000001E-3</c:v>
                </c:pt>
                <c:pt idx="1">
                  <c:v>7.1699999999999997E-4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'CO2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666666666666666.62</c:v>
                </c:pt>
                <c:pt idx="2">
                  <c:v>6666666666666667</c:v>
                </c:pt>
              </c:numCache>
            </c:numRef>
          </c:xVal>
          <c:yVal>
            <c:numRef>
              <c:f>'CO2 0.308'!$H$6:$H$8</c:f>
              <c:numCache>
                <c:formatCode>0.00E+00</c:formatCode>
                <c:ptCount val="3"/>
                <c:pt idx="0">
                  <c:v>1.8007289676058764E-2</c:v>
                </c:pt>
                <c:pt idx="1">
                  <c:v>1.8007289676058764E-2</c:v>
                </c:pt>
                <c:pt idx="2">
                  <c:v>5.8687870446242031E-3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8320"/>
        <c:axId val="498798712"/>
      </c:scatterChart>
      <c:valAx>
        <c:axId val="498798320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8712"/>
        <c:crossesAt val="1.0000000000000005E-9"/>
        <c:crossBetween val="midCat"/>
      </c:valAx>
      <c:valAx>
        <c:axId val="49879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83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('CO2 0.308'!$B$16,'CO2 0.308'!$E$16,'CO2 0.308'!$H$16,'CO2 0.308'!$K$16)</c:f>
              <c:numCache>
                <c:formatCode>0.00E+00</c:formatCode>
                <c:ptCount val="4"/>
                <c:pt idx="0">
                  <c:v>2.2000000000000001E-3</c:v>
                </c:pt>
                <c:pt idx="1">
                  <c:v>7.1699999999999997E-4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('CO2 0.308'!$B$20,'CO2 0.308'!$E$20,'CO2 0.308'!$H$20,'CO2 0.308'!$K$20,'CO2 0.308'!$N$20,'CO2 0.308'!$O$20)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('CO2 0.308'!$B$28,'CO2 0.308'!$E$28,'CO2 0.308'!$H$28,'CO2 0.308'!$K$28,'CO2 0.308'!$N$28,'CO2 0.308'!$O$28)</c:f>
              <c:numCache>
                <c:formatCode>0.00E+00</c:formatCode>
                <c:ptCount val="6"/>
                <c:pt idx="0">
                  <c:v>0</c:v>
                </c:pt>
                <c:pt idx="1">
                  <c:v>5.734377434938445E-4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('CO2 0.308'!$B$32,'CO2 0.308'!$E$32,'CO2 0.308'!$H$32,'CO2 0.308'!$K$32,'CO2 0.308'!$N$32,'CO2 0.308'!$O$32)</c:f>
              <c:numCache>
                <c:formatCode>0.00E+00</c:formatCode>
                <c:ptCount val="6"/>
                <c:pt idx="0">
                  <c:v>2.0266635499454574E-3</c:v>
                </c:pt>
                <c:pt idx="1">
                  <c:v>6.8062490260246218E-4</c:v>
                </c:pt>
                <c:pt idx="2">
                  <c:v>2.2196041764064204E-4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('CO2 0.308'!$B$24,'CO2 0.308'!$E$24,'CO2 0.308'!$H$24,'CO2 0.308'!$K$24,'CO2 0.308'!$N$24,'CO2 0.308'!$O$24)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9496"/>
        <c:axId val="498799888"/>
      </c:scatterChart>
      <c:valAx>
        <c:axId val="498799496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9888"/>
        <c:crossesAt val="1.0000000000000005E-7"/>
        <c:crossBetween val="midCat"/>
      </c:valAx>
      <c:valAx>
        <c:axId val="498799888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9496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'CO 0.308'!$D$6:$D$8</c:f>
              <c:numCache>
                <c:formatCode>0.00E+00</c:formatCode>
                <c:ptCount val="3"/>
                <c:pt idx="0">
                  <c:v>1.41E-3</c:v>
                </c:pt>
                <c:pt idx="1">
                  <c:v>1.41E-3</c:v>
                </c:pt>
                <c:pt idx="2">
                  <c:v>4.6000000000000001E-4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5E+16</c:v>
                </c:pt>
                <c:pt idx="2">
                  <c:v>5E+17</c:v>
                </c:pt>
              </c:numCache>
            </c:numRef>
          </c:xVal>
          <c:yVal>
            <c:numRef>
              <c:f>'CO 0.308'!$F$6:$F$8</c:f>
              <c:numCache>
                <c:formatCode>0.00E+00</c:formatCode>
                <c:ptCount val="3"/>
                <c:pt idx="0">
                  <c:v>1.41E-3</c:v>
                </c:pt>
                <c:pt idx="1">
                  <c:v>1.41E-3</c:v>
                </c:pt>
                <c:pt idx="2">
                  <c:v>4.6000000000000001E-4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0.308'!$E$7:$E$8</c:f>
              <c:numCache>
                <c:formatCode>0.00E+00</c:formatCode>
                <c:ptCount val="2"/>
                <c:pt idx="0">
                  <c:v>5E+16</c:v>
                </c:pt>
                <c:pt idx="1">
                  <c:v>5E+17</c:v>
                </c:pt>
              </c:numCache>
            </c:numRef>
          </c:xVal>
          <c:yVal>
            <c:numRef>
              <c:f>'CO 0.308'!$F$7:$F$8</c:f>
              <c:numCache>
                <c:formatCode>0.00E+00</c:formatCode>
                <c:ptCount val="2"/>
                <c:pt idx="0">
                  <c:v>1.41E-3</c:v>
                </c:pt>
                <c:pt idx="1">
                  <c:v>4.6000000000000001E-4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666666666666666.62</c:v>
                </c:pt>
                <c:pt idx="2">
                  <c:v>6666666666666667</c:v>
                </c:pt>
              </c:numCache>
            </c:numRef>
          </c:xVal>
          <c:yVal>
            <c:numRef>
              <c:f>'CO 0.308'!$H$6:$H$8</c:f>
              <c:numCache>
                <c:formatCode>0.00E+00</c:formatCode>
                <c:ptCount val="3"/>
                <c:pt idx="0">
                  <c:v>1.151839240286213E-2</c:v>
                </c:pt>
                <c:pt idx="1">
                  <c:v>1.151839240286213E-2</c:v>
                </c:pt>
                <c:pt idx="2">
                  <c:v>3.7577844917873098E-3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0672"/>
        <c:axId val="498801064"/>
      </c:scatterChart>
      <c:valAx>
        <c:axId val="498800672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1064"/>
        <c:crossesAt val="1.0000000000000005E-9"/>
        <c:crossBetween val="midCat"/>
      </c:valAx>
      <c:valAx>
        <c:axId val="498801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06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 0.308'!$B$16,'CO 0.308'!$E$16,'CO 0.308'!$H$16,'CO 0.308'!$K$16)</c:f>
              <c:numCache>
                <c:formatCode>0.00E+00</c:formatCode>
                <c:ptCount val="4"/>
                <c:pt idx="0">
                  <c:v>1.41E-3</c:v>
                </c:pt>
                <c:pt idx="1">
                  <c:v>4.6000000000000001E-4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 0.308'!$B$20,'CO 0.308'!$E$20,'CO 0.308'!$H$20,'CO 0.308'!$K$20,'CO 0.308'!$N$20,'CO 0.308'!$O$20)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 0.308'!$B$28,'CO 0.308'!$E$28,'CO 0.308'!$H$28,'CO 0.308'!$K$28,'CO 0.308'!$N$28,'CO 0.308'!$O$28)</c:f>
              <c:numCache>
                <c:formatCode>0.00E+00</c:formatCode>
                <c:ptCount val="6"/>
                <c:pt idx="0">
                  <c:v>0</c:v>
                </c:pt>
                <c:pt idx="1">
                  <c:v>3.6778089449898704E-4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 0.308'!$B$32,'CO 0.308'!$E$32,'CO 0.308'!$H$32,'CO 0.308'!$K$32,'CO 0.308'!$N$32,'CO 0.308'!$O$32)</c:f>
              <c:numCache>
                <c:formatCode>0.00E+00</c:formatCode>
                <c:ptCount val="6"/>
                <c:pt idx="0">
                  <c:v>1.2992286115007011E-3</c:v>
                </c:pt>
                <c:pt idx="1">
                  <c:v>4.3738039582359359E-4</c:v>
                </c:pt>
                <c:pt idx="2">
                  <c:v>1.4300451924575345E-4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('CO 0.308'!$B$24,'CO 0.308'!$E$24,'CO 0.308'!$H$24,'CO 0.308'!$K$24,'CO 0.308'!$N$24,'CO 0.308'!$O$24)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82208"/>
        <c:axId val="621679856"/>
      </c:scatterChart>
      <c:valAx>
        <c:axId val="621682208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79856"/>
        <c:crossesAt val="1.0000000000000005E-7"/>
        <c:crossBetween val="midCat"/>
      </c:valAx>
      <c:valAx>
        <c:axId val="621679856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82208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'CH4 0.308'!$D$6:$D$8</c:f>
              <c:numCache>
                <c:formatCode>0.00E+00</c:formatCode>
                <c:ptCount val="3"/>
                <c:pt idx="0">
                  <c:v>1.13E-4</c:v>
                </c:pt>
                <c:pt idx="1">
                  <c:v>1.13E-4</c:v>
                </c:pt>
                <c:pt idx="2">
                  <c:v>1.45E-5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'CH4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1.5384615384615384E+16</c:v>
                </c:pt>
                <c:pt idx="2">
                  <c:v>1.5384615384615386E+17</c:v>
                </c:pt>
              </c:numCache>
            </c:numRef>
          </c:xVal>
          <c:yVal>
            <c:numRef>
              <c:f>'CH4 0.308'!$F$6:$F$8</c:f>
              <c:numCache>
                <c:formatCode>0.00E+00</c:formatCode>
                <c:ptCount val="3"/>
                <c:pt idx="0">
                  <c:v>1.13E-4</c:v>
                </c:pt>
                <c:pt idx="1">
                  <c:v>1.13E-4</c:v>
                </c:pt>
                <c:pt idx="2">
                  <c:v>1.45E-5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0.308'!$E$7:$E$8</c:f>
              <c:numCache>
                <c:formatCode>0.00E+00</c:formatCode>
                <c:ptCount val="2"/>
                <c:pt idx="0">
                  <c:v>1.5384615384615384E+16</c:v>
                </c:pt>
                <c:pt idx="1">
                  <c:v>1.5384615384615386E+17</c:v>
                </c:pt>
              </c:numCache>
            </c:numRef>
          </c:xVal>
          <c:yVal>
            <c:numRef>
              <c:f>'CH4 0.308'!$F$7:$F$8</c:f>
              <c:numCache>
                <c:formatCode>0.00E+00</c:formatCode>
                <c:ptCount val="2"/>
                <c:pt idx="0">
                  <c:v>1.13E-4</c:v>
                </c:pt>
                <c:pt idx="1">
                  <c:v>1.45E-5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'CH4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250000000000000</c:v>
                </c:pt>
                <c:pt idx="2">
                  <c:v>2500000000000000</c:v>
                </c:pt>
              </c:numCache>
            </c:numRef>
          </c:xVal>
          <c:yVal>
            <c:numRef>
              <c:f>'CH4 0.308'!$H$6:$H$8</c:f>
              <c:numCache>
                <c:formatCode>0.00E+00</c:formatCode>
                <c:ptCount val="3"/>
                <c:pt idx="0">
                  <c:v>4.4512151789266145E-3</c:v>
                </c:pt>
                <c:pt idx="1">
                  <c:v>4.4512151789266145E-3</c:v>
                </c:pt>
                <c:pt idx="2">
                  <c:v>5.7117420947391004E-4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79072"/>
        <c:axId val="621682600"/>
      </c:scatterChart>
      <c:valAx>
        <c:axId val="621679072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82600"/>
        <c:crossesAt val="1.0000000000000005E-9"/>
        <c:crossBetween val="midCat"/>
      </c:valAx>
      <c:valAx>
        <c:axId val="621682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79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('CH4 0.308'!$B$16,'CH4 0.308'!$E$16,'CH4 0.308'!$H$16,'CH4 0.308'!$K$16)</c:f>
              <c:numCache>
                <c:formatCode>0.00E+00</c:formatCode>
                <c:ptCount val="4"/>
                <c:pt idx="0">
                  <c:v>1.13E-4</c:v>
                </c:pt>
                <c:pt idx="1">
                  <c:v>1.45E-5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('CH4 0.308'!$B$20,'CH4 0.308'!$E$20,'CH4 0.308'!$H$20,'CH4 0.308'!$K$20,'CH4 0.308'!$N$20,'CH4 0.308'!$O$20)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('CH4 0.308'!$B$28,'CH4 0.308'!$E$28,'CH4 0.308'!$H$28,'CH4 0.308'!$K$28,'CH4 0.308'!$N$28,'CH4 0.308'!$O$28)</c:f>
              <c:numCache>
                <c:formatCode>0.00E+00</c:formatCode>
                <c:ptCount val="6"/>
                <c:pt idx="0">
                  <c:v>0</c:v>
                </c:pt>
                <c:pt idx="1">
                  <c:v>9.3490571918341896E-6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('CH4 0.308'!$B$32,'CH4 0.308'!$E$32,'CH4 0.308'!$H$32,'CH4 0.308'!$K$32,'CH4 0.308'!$N$32,'CH4 0.308'!$O$32)</c:f>
              <c:numCache>
                <c:formatCode>0.00E+00</c:formatCode>
                <c:ptCount val="6"/>
                <c:pt idx="0">
                  <c:v>9.9841982234689101E-5</c:v>
                </c:pt>
                <c:pt idx="1">
                  <c:v>1.2932351566152407E-5</c:v>
                </c:pt>
                <c:pt idx="2">
                  <c:v>1.6594047062490261E-6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('CH4 0.308'!$B$24,'CH4 0.308'!$E$24,'CH4 0.308'!$H$24,'CH4 0.308'!$K$24,'CH4 0.308'!$N$24,'CH4 0.308'!$O$24)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80248"/>
        <c:axId val="621681424"/>
      </c:scatterChart>
      <c:valAx>
        <c:axId val="621680248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81424"/>
        <c:crossesAt val="1.0000000000000005E-7"/>
        <c:crossBetween val="midCat"/>
      </c:valAx>
      <c:valAx>
        <c:axId val="621681424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80248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Grobner - LEP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No Scat'!$B$16,'H2 No Scat'!$E$16,'H2 No Scat'!$H$16,'H2 No Scat'!$K$16)</c:f>
              <c:numCache>
                <c:formatCode>0.00E+00</c:formatCode>
                <c:ptCount val="4"/>
                <c:pt idx="0">
                  <c:v>4.1200000000000001E-2</c:v>
                </c:pt>
                <c:pt idx="1">
                  <c:v>1.29E-2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('H2 No Scat'!$B$20,'H2 No Scat'!$E$20,'H2 No Scat'!$H$20,'H2 No Scat'!$K$20,'H2 No Scat'!$N$20,'H2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('H2 No Scat'!$B$28,'H2 No Scat'!$E$28,'H2 No Scat'!$H$28,'H2 No Scat'!$K$28,'H2 No Scat'!$N$28,'H2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1.2468022440392707E-2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('H2 No Scat'!$B$32,'H2 No Scat'!$E$32,'H2 No Scat'!$H$32,'H2 No Scat'!$K$32,'H2 No Scat'!$N$32,'H2 No Scat'!$O$32)</c:f>
              <c:numCache>
                <c:formatCode>0.00E+00</c:formatCode>
                <c:ptCount val="6"/>
                <c:pt idx="0">
                  <c:v>4.0802399875331151E-2</c:v>
                </c:pt>
                <c:pt idx="1">
                  <c:v>1.2821598877980362E-2</c:v>
                </c:pt>
                <c:pt idx="2">
                  <c:v>4.0196041764064203E-3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1.6791666666666667E+24</c:v>
                </c:pt>
                <c:pt idx="5">
                  <c:v>1.6791666666666664E+25</c:v>
                </c:pt>
              </c:numCache>
            </c:numRef>
          </c:xVal>
          <c:yVal>
            <c:numRef>
              <c:f>('H2 No Scat'!$B$24,'H2 No Scat'!$E$24,'H2 No Scat'!$H$24,'H2 No Scat'!$K$24,'H2 No Scat'!$N$24,'H2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4072"/>
        <c:axId val="616995640"/>
      </c:scatterChart>
      <c:valAx>
        <c:axId val="616994072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5640"/>
        <c:crossesAt val="1.0000000000000005E-7"/>
        <c:crossBetween val="midCat"/>
      </c:valAx>
      <c:valAx>
        <c:axId val="616995640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07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copper 'no-scattering'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5071659666699"/>
          <c:y val="0.18843523939969437"/>
          <c:w val="0.61852446819766393"/>
          <c:h val="0.60325180660268563"/>
        </c:manualLayout>
      </c:layout>
      <c:scatterChart>
        <c:scatterStyle val="lineMarker"/>
        <c:varyColors val="0"/>
        <c:ser>
          <c:idx val="0"/>
          <c:order val="0"/>
          <c:tx>
            <c:v>H2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1E+16</c:v>
                </c:pt>
                <c:pt idx="2">
                  <c:v>1E+17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0.28235095601951282</c:v>
                </c:pt>
                <c:pt idx="1">
                  <c:v>0.28235095601951282</c:v>
                </c:pt>
                <c:pt idx="2">
                  <c:v>8.840549548250029E-2</c:v>
                </c:pt>
              </c:numCache>
            </c:numRef>
          </c:yVal>
          <c:smooth val="0"/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2.5E+17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7.766308631783788E-3</c:v>
                </c:pt>
                <c:pt idx="1">
                  <c:v>7.766308631783788E-3</c:v>
                </c:pt>
                <c:pt idx="2">
                  <c:v>2.531131130931051E-3</c:v>
                </c:pt>
              </c:numCache>
            </c:numRef>
          </c:yVal>
          <c:smooth val="0"/>
        </c:ser>
        <c:ser>
          <c:idx val="2"/>
          <c:order val="2"/>
          <c:tx>
            <c:v>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2.5E+17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4.9713612095409537E-3</c:v>
                </c:pt>
                <c:pt idx="1">
                  <c:v>4.9713612095409537E-3</c:v>
                </c:pt>
                <c:pt idx="2">
                  <c:v>1.6218673060351722E-3</c:v>
                </c:pt>
              </c:numCache>
            </c:numRef>
          </c:yVal>
          <c:smooth val="0"/>
        </c:ser>
        <c:ser>
          <c:idx val="5"/>
          <c:order val="3"/>
          <c:tx>
            <c:v>CH4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5000000000000000</c:v>
                </c:pt>
                <c:pt idx="2">
                  <c:v>5E+16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3.6989144250148798E-3</c:v>
                </c:pt>
                <c:pt idx="1">
                  <c:v>3.6989144250148798E-3</c:v>
                </c:pt>
                <c:pt idx="2">
                  <c:v>4.7463994385663196E-4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3680"/>
        <c:axId val="618593320"/>
      </c:scatterChart>
      <c:valAx>
        <c:axId val="616993680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3320"/>
        <c:crossesAt val="1.0000000000000005E-9"/>
        <c:crossBetween val="midCat"/>
      </c:valAx>
      <c:valAx>
        <c:axId val="618593320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3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3340870736205"/>
          <c:y val="0.26893087736130394"/>
          <c:w val="0.13689325922699061"/>
          <c:h val="0.3154517766243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'CO2 No Scat'!$D$6:$D$8</c:f>
              <c:numCache>
                <c:formatCode>0.00E+00</c:formatCode>
                <c:ptCount val="3"/>
                <c:pt idx="0">
                  <c:v>2.2000000000000001E-3</c:v>
                </c:pt>
                <c:pt idx="1">
                  <c:v>2.2000000000000001E-3</c:v>
                </c:pt>
                <c:pt idx="2">
                  <c:v>7.1699999999999997E-4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3.3333333333333331E+17</c:v>
                </c:pt>
                <c:pt idx="2">
                  <c:v>3.3333333333333335E+18</c:v>
                </c:pt>
              </c:numCache>
            </c:numRef>
          </c:xVal>
          <c:yVal>
            <c:numRef>
              <c:f>'CO2 No Scat'!$F$6:$F$8</c:f>
              <c:numCache>
                <c:formatCode>0.00E+00</c:formatCode>
                <c:ptCount val="3"/>
                <c:pt idx="0">
                  <c:v>2.2000000000000001E-3</c:v>
                </c:pt>
                <c:pt idx="1">
                  <c:v>2.2000000000000001E-3</c:v>
                </c:pt>
                <c:pt idx="2">
                  <c:v>7.1699999999999997E-4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No Scat'!$E$7:$E$8</c:f>
              <c:numCache>
                <c:formatCode>0.00E+00</c:formatCode>
                <c:ptCount val="2"/>
                <c:pt idx="0">
                  <c:v>3.3333333333333331E+17</c:v>
                </c:pt>
                <c:pt idx="1">
                  <c:v>3.3333333333333335E+18</c:v>
                </c:pt>
              </c:numCache>
            </c:numRef>
          </c:xVal>
          <c:yVal>
            <c:numRef>
              <c:f>'CO2 No Scat'!$F$7:$F$8</c:f>
              <c:numCache>
                <c:formatCode>0.00E+00</c:formatCode>
                <c:ptCount val="2"/>
                <c:pt idx="0">
                  <c:v>2.2000000000000001E-3</c:v>
                </c:pt>
                <c:pt idx="1">
                  <c:v>7.1699999999999997E-4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2.5E+17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7.766308631783788E-3</c:v>
                </c:pt>
                <c:pt idx="1">
                  <c:v>7.766308631783788E-3</c:v>
                </c:pt>
                <c:pt idx="2">
                  <c:v>2.531131130931051E-3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7440"/>
        <c:axId val="618588224"/>
      </c:scatterChart>
      <c:valAx>
        <c:axId val="618587440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8224"/>
        <c:crossesAt val="1.0000000000000005E-9"/>
        <c:crossBetween val="midCat"/>
      </c:valAx>
      <c:valAx>
        <c:axId val="61858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74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('CO2 No Scat'!$B$16,'CO2 No Scat'!$E$16,'CO2 No Scat'!$H$16,'CO2 No Scat'!$K$16)</c:f>
              <c:numCache>
                <c:formatCode>0.00E+00</c:formatCode>
                <c:ptCount val="4"/>
                <c:pt idx="0">
                  <c:v>2.2000000000000001E-3</c:v>
                </c:pt>
                <c:pt idx="1">
                  <c:v>7.1699999999999997E-4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('CO2 No Scat'!$B$20,'CO2 No Scat'!$E$20,'CO2 No Scat'!$H$20,'CO2 No Scat'!$K$20,'CO2 No Scat'!$N$20,'CO2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('CO2 No Scat'!$B$28,'CO2 No Scat'!$E$28,'CO2 No Scat'!$H$28,'CO2 No Scat'!$K$28,'CO2 No Scat'!$N$28,'CO2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('CO2 No Scat'!$B$32,'CO2 No Scat'!$E$32,'CO2 No Scat'!$H$32,'CO2 No Scat'!$K$32,'CO2 No Scat'!$N$32,'CO2 No Scat'!$O$32)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('CO2 No Scat'!$B$24,'CO2 No Scat'!$E$24,'CO2 No Scat'!$H$24,'CO2 No Scat'!$K$24,'CO2 No Scat'!$N$24,'CO2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9400"/>
        <c:axId val="618589008"/>
      </c:scatterChart>
      <c:valAx>
        <c:axId val="618589400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008"/>
        <c:crossesAt val="1.0000000000000005E-7"/>
        <c:crossBetween val="midCat"/>
      </c:valAx>
      <c:valAx>
        <c:axId val="618589008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400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'CO No Scat'!$D$6:$D$8</c:f>
              <c:numCache>
                <c:formatCode>0.00E+00</c:formatCode>
                <c:ptCount val="3"/>
                <c:pt idx="0">
                  <c:v>1.41E-3</c:v>
                </c:pt>
                <c:pt idx="1">
                  <c:v>1.41E-3</c:v>
                </c:pt>
                <c:pt idx="2">
                  <c:v>4.6000000000000001E-4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3.3333333333333331E+17</c:v>
                </c:pt>
                <c:pt idx="2">
                  <c:v>3.3333333333333335E+18</c:v>
                </c:pt>
              </c:numCache>
            </c:numRef>
          </c:xVal>
          <c:yVal>
            <c:numRef>
              <c:f>'CO No Scat'!$F$6:$F$8</c:f>
              <c:numCache>
                <c:formatCode>0.00E+00</c:formatCode>
                <c:ptCount val="3"/>
                <c:pt idx="0">
                  <c:v>1.41E-3</c:v>
                </c:pt>
                <c:pt idx="1">
                  <c:v>1.41E-3</c:v>
                </c:pt>
                <c:pt idx="2">
                  <c:v>4.6000000000000001E-4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No Scat'!$E$7:$E$8</c:f>
              <c:numCache>
                <c:formatCode>0.00E+00</c:formatCode>
                <c:ptCount val="2"/>
                <c:pt idx="0">
                  <c:v>3.3333333333333331E+17</c:v>
                </c:pt>
                <c:pt idx="1">
                  <c:v>3.3333333333333335E+18</c:v>
                </c:pt>
              </c:numCache>
            </c:numRef>
          </c:xVal>
          <c:yVal>
            <c:numRef>
              <c:f>'CO No Scat'!$F$7:$F$8</c:f>
              <c:numCache>
                <c:formatCode>0.00E+00</c:formatCode>
                <c:ptCount val="2"/>
                <c:pt idx="0">
                  <c:v>1.41E-3</c:v>
                </c:pt>
                <c:pt idx="1">
                  <c:v>4.6000000000000001E-4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2.5E+17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4.9713612095409537E-3</c:v>
                </c:pt>
                <c:pt idx="1">
                  <c:v>4.9713612095409537E-3</c:v>
                </c:pt>
                <c:pt idx="2">
                  <c:v>1.6218673060351722E-3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3712"/>
        <c:axId val="618594104"/>
      </c:scatterChart>
      <c:valAx>
        <c:axId val="618593712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4104"/>
        <c:crossesAt val="1.0000000000000005E-9"/>
        <c:crossBetween val="midCat"/>
      </c:valAx>
      <c:valAx>
        <c:axId val="61859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37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 No Scat'!$B$16,'CO No Scat'!$E$16,'CO No Scat'!$H$16,'CO No Scat'!$K$16)</c:f>
              <c:numCache>
                <c:formatCode>0.00E+00</c:formatCode>
                <c:ptCount val="4"/>
                <c:pt idx="0">
                  <c:v>1.41E-3</c:v>
                </c:pt>
                <c:pt idx="1">
                  <c:v>4.6000000000000001E-4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 No Scat'!$B$20,'CO No Scat'!$E$20,'CO No Scat'!$H$20,'CO No Scat'!$K$20,'CO No Scat'!$N$20,'CO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 No Scat'!$B$28,'CO No Scat'!$E$28,'CO No Scat'!$H$28,'CO No Scat'!$K$28,'CO No Scat'!$N$28,'CO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 No Scat'!$B$32,'CO No Scat'!$E$32,'CO No Scat'!$H$32,'CO No Scat'!$K$32,'CO No Scat'!$N$32,'CO No Scat'!$O$32)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('CO No Scat'!$B$24,'CO No Scat'!$E$24,'CO No Scat'!$H$24,'CO No Scat'!$K$24,'CO No Scat'!$N$24,'CO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4496"/>
        <c:axId val="618591360"/>
      </c:scatterChart>
      <c:valAx>
        <c:axId val="618594496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1360"/>
        <c:crossesAt val="1.0000000000000005E-7"/>
        <c:crossBetween val="midCat"/>
      </c:valAx>
      <c:valAx>
        <c:axId val="618591360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4496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1E+21</c:v>
                </c:pt>
              </c:numCache>
            </c:numRef>
          </c:xVal>
          <c:yVal>
            <c:numRef>
              <c:f>'CH4 No Scat'!$D$6:$D$8</c:f>
              <c:numCache>
                <c:formatCode>0.00E+00</c:formatCode>
                <c:ptCount val="3"/>
                <c:pt idx="0">
                  <c:v>1.13E-4</c:v>
                </c:pt>
                <c:pt idx="1">
                  <c:v>1.13E-4</c:v>
                </c:pt>
                <c:pt idx="2">
                  <c:v>1.45E-5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'CH4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2.5E+17</c:v>
                </c:pt>
                <c:pt idx="2">
                  <c:v>2.5E+18</c:v>
                </c:pt>
              </c:numCache>
            </c:numRef>
          </c:xVal>
          <c:yVal>
            <c:numRef>
              <c:f>'CH4 No Scat'!$F$6:$F$8</c:f>
              <c:numCache>
                <c:formatCode>0.00E+00</c:formatCode>
                <c:ptCount val="3"/>
                <c:pt idx="0">
                  <c:v>1.13E-4</c:v>
                </c:pt>
                <c:pt idx="1">
                  <c:v>1.13E-4</c:v>
                </c:pt>
                <c:pt idx="2">
                  <c:v>1.45E-5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No Scat'!$E$7:$E$8</c:f>
              <c:numCache>
                <c:formatCode>0.00E+00</c:formatCode>
                <c:ptCount val="2"/>
                <c:pt idx="0">
                  <c:v>2.5E+17</c:v>
                </c:pt>
                <c:pt idx="1">
                  <c:v>2.5E+18</c:v>
                </c:pt>
              </c:numCache>
            </c:numRef>
          </c:xVal>
          <c:yVal>
            <c:numRef>
              <c:f>'CH4 No Scat'!$F$7:$F$8</c:f>
              <c:numCache>
                <c:formatCode>0.00E+00</c:formatCode>
                <c:ptCount val="2"/>
                <c:pt idx="0">
                  <c:v>1.13E-4</c:v>
                </c:pt>
                <c:pt idx="1">
                  <c:v>1.45E-5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5000000000000000</c:v>
                </c:pt>
                <c:pt idx="2">
                  <c:v>5E+16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3.6989144250148798E-3</c:v>
                </c:pt>
                <c:pt idx="1">
                  <c:v>3.6989144250148798E-3</c:v>
                </c:pt>
                <c:pt idx="2">
                  <c:v>4.7463994385663196E-4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1752"/>
        <c:axId val="618592536"/>
      </c:scatterChart>
      <c:valAx>
        <c:axId val="618591752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536"/>
        <c:crossesAt val="1.0000000000000005E-9"/>
        <c:crossBetween val="midCat"/>
      </c:valAx>
      <c:valAx>
        <c:axId val="61859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17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Grobner - LEP aluminum PSD Yields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('CH4 No Scat'!$B$16,'CH4 No Scat'!$E$16,'CH4 No Scat'!$H$16,'CH4 No Scat'!$K$16)</c:f>
              <c:numCache>
                <c:formatCode>0.00E+00</c:formatCode>
                <c:ptCount val="4"/>
                <c:pt idx="0">
                  <c:v>1.13E-4</c:v>
                </c:pt>
                <c:pt idx="1">
                  <c:v>1.45E-5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('CH4 No Scat'!$B$20,'CH4 No Scat'!$E$20,'CH4 No Scat'!$H$20,'CH4 No Scat'!$K$20,'CH4 No Scat'!$N$20,'CH4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('CH4 No Scat'!$B$28,'CH4 No Scat'!$E$28,'CH4 No Scat'!$H$28,'CH4 No Scat'!$K$28,'CH4 No Scat'!$N$28,'CH4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('CH4 No Scat'!$B$32,'CH4 No Scat'!$E$32,'CH4 No Scat'!$H$32,'CH4 No Scat'!$K$32,'CH4 No Scat'!$N$32,'CH4 No Scat'!$O$32)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2.5684294871794871E+23</c:v>
                </c:pt>
                <c:pt idx="5">
                  <c:v>2.568429487179487E+24</c:v>
                </c:pt>
              </c:numCache>
            </c:numRef>
          </c:xVal>
          <c:yVal>
            <c:numRef>
              <c:f>('CH4 No Scat'!$B$24,'CH4 No Scat'!$E$24,'CH4 No Scat'!$H$24,'CH4 No Scat'!$K$24,'CH4 No Scat'!$N$24,'CH4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0184"/>
        <c:axId val="498794792"/>
      </c:scatterChart>
      <c:valAx>
        <c:axId val="618590184"/>
        <c:scaling>
          <c:logBase val="10"/>
          <c:orientation val="minMax"/>
          <c:max val="1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4792"/>
        <c:crossesAt val="1.0000000000000005E-7"/>
        <c:crossBetween val="midCat"/>
      </c:valAx>
      <c:valAx>
        <c:axId val="498794792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018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28000" t="-5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71717</xdr:colOff>
      <xdr:row>1</xdr:row>
      <xdr:rowOff>11207</xdr:rowOff>
    </xdr:from>
    <xdr:to>
      <xdr:col>27</xdr:col>
      <xdr:colOff>22412</xdr:colOff>
      <xdr:row>20</xdr:row>
      <xdr:rowOff>44264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20</xdr:row>
      <xdr:rowOff>183217</xdr:rowOff>
    </xdr:from>
    <xdr:to>
      <xdr:col>29</xdr:col>
      <xdr:colOff>314325</xdr:colOff>
      <xdr:row>64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403413</xdr:colOff>
      <xdr:row>1</xdr:row>
      <xdr:rowOff>168089</xdr:rowOff>
    </xdr:from>
    <xdr:to>
      <xdr:col>35</xdr:col>
      <xdr:colOff>316541</xdr:colOff>
      <xdr:row>18</xdr:row>
      <xdr:rowOff>125228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363069</xdr:colOff>
      <xdr:row>0</xdr:row>
      <xdr:rowOff>168089</xdr:rowOff>
    </xdr:from>
    <xdr:to>
      <xdr:col>27</xdr:col>
      <xdr:colOff>313764</xdr:colOff>
      <xdr:row>20</xdr:row>
      <xdr:rowOff>10646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386603</xdr:colOff>
      <xdr:row>20</xdr:row>
      <xdr:rowOff>149599</xdr:rowOff>
    </xdr:from>
    <xdr:to>
      <xdr:col>30</xdr:col>
      <xdr:colOff>561</xdr:colOff>
      <xdr:row>63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307040</xdr:colOff>
      <xdr:row>0</xdr:row>
      <xdr:rowOff>179295</xdr:rowOff>
    </xdr:from>
    <xdr:to>
      <xdr:col>27</xdr:col>
      <xdr:colOff>257735</xdr:colOff>
      <xdr:row>20</xdr:row>
      <xdr:rowOff>21852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409014</xdr:colOff>
      <xdr:row>20</xdr:row>
      <xdr:rowOff>115981</xdr:rowOff>
    </xdr:from>
    <xdr:to>
      <xdr:col>30</xdr:col>
      <xdr:colOff>22972</xdr:colOff>
      <xdr:row>63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183774</xdr:colOff>
      <xdr:row>1</xdr:row>
      <xdr:rowOff>11207</xdr:rowOff>
    </xdr:from>
    <xdr:to>
      <xdr:col>27</xdr:col>
      <xdr:colOff>134469</xdr:colOff>
      <xdr:row>20</xdr:row>
      <xdr:rowOff>44264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207308</xdr:colOff>
      <xdr:row>20</xdr:row>
      <xdr:rowOff>127187</xdr:rowOff>
    </xdr:from>
    <xdr:to>
      <xdr:col>29</xdr:col>
      <xdr:colOff>426383</xdr:colOff>
      <xdr:row>63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374277</xdr:colOff>
      <xdr:row>0</xdr:row>
      <xdr:rowOff>157721</xdr:rowOff>
    </xdr:from>
    <xdr:to>
      <xdr:col>26</xdr:col>
      <xdr:colOff>121585</xdr:colOff>
      <xdr:row>18</xdr:row>
      <xdr:rowOff>133910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19</xdr:row>
      <xdr:rowOff>112059</xdr:rowOff>
    </xdr:from>
    <xdr:to>
      <xdr:col>28</xdr:col>
      <xdr:colOff>600075</xdr:colOff>
      <xdr:row>62</xdr:row>
      <xdr:rowOff>119342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363069</xdr:colOff>
      <xdr:row>0</xdr:row>
      <xdr:rowOff>168089</xdr:rowOff>
    </xdr:from>
    <xdr:to>
      <xdr:col>27</xdr:col>
      <xdr:colOff>313764</xdr:colOff>
      <xdr:row>20</xdr:row>
      <xdr:rowOff>10646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386603</xdr:colOff>
      <xdr:row>20</xdr:row>
      <xdr:rowOff>149599</xdr:rowOff>
    </xdr:from>
    <xdr:to>
      <xdr:col>30</xdr:col>
      <xdr:colOff>561</xdr:colOff>
      <xdr:row>63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307040</xdr:colOff>
      <xdr:row>0</xdr:row>
      <xdr:rowOff>179295</xdr:rowOff>
    </xdr:from>
    <xdr:to>
      <xdr:col>27</xdr:col>
      <xdr:colOff>257735</xdr:colOff>
      <xdr:row>20</xdr:row>
      <xdr:rowOff>21852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409014</xdr:colOff>
      <xdr:row>20</xdr:row>
      <xdr:rowOff>115981</xdr:rowOff>
    </xdr:from>
    <xdr:to>
      <xdr:col>30</xdr:col>
      <xdr:colOff>22972</xdr:colOff>
      <xdr:row>63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183774</xdr:colOff>
      <xdr:row>1</xdr:row>
      <xdr:rowOff>11207</xdr:rowOff>
    </xdr:from>
    <xdr:to>
      <xdr:col>27</xdr:col>
      <xdr:colOff>134469</xdr:colOff>
      <xdr:row>20</xdr:row>
      <xdr:rowOff>44264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207308</xdr:colOff>
      <xdr:row>20</xdr:row>
      <xdr:rowOff>127187</xdr:rowOff>
    </xdr:from>
    <xdr:to>
      <xdr:col>29</xdr:col>
      <xdr:colOff>426383</xdr:colOff>
      <xdr:row>63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I42" sqref="I42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4.1200000000000001E-2</v>
      </c>
      <c r="E6" s="3">
        <v>1</v>
      </c>
      <c r="F6" s="3">
        <f>D6</f>
        <v>4.1200000000000001E-2</v>
      </c>
      <c r="G6" s="3">
        <v>1</v>
      </c>
      <c r="H6" s="3">
        <f>H7</f>
        <v>0.28235095601951282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4.1200000000000001E-2</v>
      </c>
      <c r="E7" s="3">
        <f>B7/220</f>
        <v>4.5454545454545453E+17</v>
      </c>
      <c r="F7" s="3">
        <f t="shared" ref="F7:F8" si="1">D7</f>
        <v>4.1200000000000001E-2</v>
      </c>
      <c r="G7" s="3">
        <f>B7/10000</f>
        <v>1E+16</v>
      </c>
      <c r="H7" s="3">
        <f>33094000*G7^-0.50431</f>
        <v>0.28235095601951282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1.29E-2</v>
      </c>
      <c r="E8" s="3">
        <f>B8/220</f>
        <v>4.5454545454545454E+18</v>
      </c>
      <c r="F8" s="3">
        <f t="shared" si="1"/>
        <v>1.29E-2</v>
      </c>
      <c r="G8" s="3">
        <f>B8/10000</f>
        <v>1E+17</v>
      </c>
      <c r="H8" s="3">
        <f>33094000*G8^-0.50431</f>
        <v>8.840549548250029E-2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20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1.6791666666666667E+24</v>
      </c>
      <c r="O14" s="3">
        <f>$B$10/$B$11*O15</f>
        <v>1.6791666666666664E+25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33800000</v>
      </c>
      <c r="O15" s="3">
        <v>338000000</v>
      </c>
    </row>
    <row r="16" spans="1:22" x14ac:dyDescent="0.25">
      <c r="B16" s="3">
        <v>4.1200000000000001E-2</v>
      </c>
      <c r="C16" s="2" t="s">
        <v>5</v>
      </c>
      <c r="D16" s="2" t="s">
        <v>13</v>
      </c>
      <c r="E16" s="3">
        <v>1.29E-2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2.6438040000000001E-4</v>
      </c>
      <c r="C17" s="2" t="s">
        <v>1</v>
      </c>
      <c r="D17" s="2" t="s">
        <v>18</v>
      </c>
      <c r="E17" s="5">
        <f>E16*$B$10*4.14E-20</f>
        <v>8.2779300000000009E-5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8.0007300000000002E-5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1932543478260869.5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1.2468022440392707E-2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0.96651336747230288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2.6182899999999999E-4</v>
      </c>
      <c r="C30" s="2" t="s">
        <v>1</v>
      </c>
      <c r="E30" s="6">
        <v>8.2276199999999997E-5</v>
      </c>
      <c r="F30" s="2" t="s">
        <v>1</v>
      </c>
      <c r="H30" s="6">
        <v>2.57938E-5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6324371980676328</v>
      </c>
      <c r="C31" s="2" t="s">
        <v>16</v>
      </c>
      <c r="E31" s="5">
        <f>E30/4.14E-20</f>
        <v>1987347826086956.2</v>
      </c>
      <c r="F31" s="2" t="s">
        <v>16</v>
      </c>
      <c r="H31" s="5">
        <f>H30/4.14E-20</f>
        <v>623038647342995.12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4.0802399875331151E-2</v>
      </c>
      <c r="C32" s="2" t="s">
        <v>5</v>
      </c>
      <c r="E32" s="5">
        <f>E31/$B$10</f>
        <v>1.2821598877980362E-2</v>
      </c>
      <c r="F32" s="2" t="s">
        <v>5</v>
      </c>
      <c r="H32" s="5">
        <f>H31/$B$10</f>
        <v>4.0196041764064203E-3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0.99034951153716388</v>
      </c>
      <c r="C33" s="2" t="s">
        <v>15</v>
      </c>
      <c r="E33" s="7">
        <f>E32/E$16</f>
        <v>0.9939223936418885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1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1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1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1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1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1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1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B30" sqref="B30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2.2000000000000001E-3</v>
      </c>
      <c r="E6" s="3">
        <v>1</v>
      </c>
      <c r="F6" s="3">
        <f>D6</f>
        <v>2.2000000000000001E-3</v>
      </c>
      <c r="G6" s="3">
        <v>1</v>
      </c>
      <c r="H6" s="3">
        <f>H7</f>
        <v>7.766308631783788E-3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2.2000000000000001E-3</v>
      </c>
      <c r="E7" s="3">
        <f>B7/300</f>
        <v>3.3333333333333331E+17</v>
      </c>
      <c r="F7" s="3">
        <f t="shared" ref="F7:F8" si="1">D7</f>
        <v>2.2000000000000001E-3</v>
      </c>
      <c r="G7" s="3">
        <f>B7/4000</f>
        <v>2.5E+16</v>
      </c>
      <c r="H7" s="3">
        <f>748810*G7^-0.4869</f>
        <v>7.766308631783788E-3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7.1699999999999997E-4</v>
      </c>
      <c r="E8" s="3">
        <f>B8/300</f>
        <v>3.3333333333333335E+18</v>
      </c>
      <c r="F8" s="3">
        <f t="shared" si="1"/>
        <v>7.1699999999999997E-4</v>
      </c>
      <c r="G8" s="3">
        <f>B8/4000</f>
        <v>2.5E+17</v>
      </c>
      <c r="H8" s="3">
        <f>748810*G8^-0.4869</f>
        <v>2.531131130931051E-3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2.5684294871794871E+23</v>
      </c>
      <c r="O14" s="3">
        <f>$B$10/$B$11*O15</f>
        <v>2.568429487179487E+24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2.2000000000000001E-3</v>
      </c>
      <c r="C16" s="2" t="s">
        <v>5</v>
      </c>
      <c r="D16" s="2" t="s">
        <v>13</v>
      </c>
      <c r="E16" s="3">
        <v>7.1699999999999997E-4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1.4117400000000001E-5</v>
      </c>
      <c r="C17" s="2" t="s">
        <v>1</v>
      </c>
      <c r="D17" s="2" t="s">
        <v>18</v>
      </c>
      <c r="E17" s="5">
        <f>E16*$B$10*4.14E-20</f>
        <v>4.6009890000000004E-6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/>
      <c r="C30" s="2" t="s">
        <v>1</v>
      </c>
      <c r="E30" s="6"/>
      <c r="F30" s="2" t="s">
        <v>1</v>
      </c>
      <c r="H30" s="6"/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0</v>
      </c>
      <c r="C31" s="2" t="s">
        <v>16</v>
      </c>
      <c r="E31" s="5">
        <f>E30/4.14E-20</f>
        <v>0</v>
      </c>
      <c r="F31" s="2" t="s">
        <v>16</v>
      </c>
      <c r="H31" s="5">
        <f>H30/4.14E-20</f>
        <v>0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0</v>
      </c>
      <c r="C32" s="2" t="s">
        <v>5</v>
      </c>
      <c r="E32" s="5">
        <f>E31/$B$10</f>
        <v>0</v>
      </c>
      <c r="F32" s="2" t="s">
        <v>5</v>
      </c>
      <c r="H32" s="5">
        <f>H31/$B$10</f>
        <v>0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</v>
      </c>
      <c r="C33" s="2" t="s">
        <v>15</v>
      </c>
      <c r="E33" s="7">
        <f>E32/E$16</f>
        <v>0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B30" sqref="B30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1.41E-3</v>
      </c>
      <c r="E6" s="3">
        <v>1</v>
      </c>
      <c r="F6" s="3">
        <f>D6</f>
        <v>1.41E-3</v>
      </c>
      <c r="G6" s="3">
        <v>1</v>
      </c>
      <c r="H6" s="3">
        <f>H7</f>
        <v>4.9713612095409537E-3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1.41E-3</v>
      </c>
      <c r="E7" s="3">
        <f>B7/300</f>
        <v>3.3333333333333331E+17</v>
      </c>
      <c r="F7" s="3">
        <f t="shared" ref="F7:F8" si="1">D7</f>
        <v>1.41E-3</v>
      </c>
      <c r="G7" s="3">
        <f>B7/4000</f>
        <v>2.5E+16</v>
      </c>
      <c r="H7" s="3">
        <f>471430*G7^-0.48646</f>
        <v>4.9713612095409537E-3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4.6000000000000001E-4</v>
      </c>
      <c r="E8" s="3">
        <f>B8/300</f>
        <v>3.3333333333333335E+18</v>
      </c>
      <c r="F8" s="3">
        <f t="shared" si="1"/>
        <v>4.6000000000000001E-4</v>
      </c>
      <c r="G8" s="3">
        <f>B8/4000</f>
        <v>2.5E+17</v>
      </c>
      <c r="H8" s="3">
        <f>471430*G8^-0.48646</f>
        <v>1.6218673060351722E-3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31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2.5684294871794871E+23</v>
      </c>
      <c r="O14" s="3">
        <f>$B$10/$B$11*O15</f>
        <v>2.568429487179487E+24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1.41E-3</v>
      </c>
      <c r="C16" s="2" t="s">
        <v>5</v>
      </c>
      <c r="D16" s="2" t="s">
        <v>13</v>
      </c>
      <c r="E16" s="3">
        <v>4.6000000000000001E-4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9.04797E-6</v>
      </c>
      <c r="C17" s="2" t="s">
        <v>1</v>
      </c>
      <c r="D17" s="2" t="s">
        <v>18</v>
      </c>
      <c r="E17" s="5">
        <f>E16*$B$10*4.14E-20</f>
        <v>2.95182E-6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/>
      <c r="C30" s="2" t="s">
        <v>1</v>
      </c>
      <c r="E30" s="6"/>
      <c r="F30" s="2" t="s">
        <v>1</v>
      </c>
      <c r="H30" s="6"/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0</v>
      </c>
      <c r="C31" s="2" t="s">
        <v>16</v>
      </c>
      <c r="E31" s="5">
        <f>E30/4.14E-20</f>
        <v>0</v>
      </c>
      <c r="F31" s="2" t="s">
        <v>16</v>
      </c>
      <c r="H31" s="5">
        <f>H30/4.14E-20</f>
        <v>0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0</v>
      </c>
      <c r="C32" s="2" t="s">
        <v>5</v>
      </c>
      <c r="E32" s="5">
        <f>E31/$B$10</f>
        <v>0</v>
      </c>
      <c r="F32" s="2" t="s">
        <v>5</v>
      </c>
      <c r="H32" s="5">
        <f>H31/$B$10</f>
        <v>0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</v>
      </c>
      <c r="C33" s="2" t="s">
        <v>15</v>
      </c>
      <c r="E33" s="7">
        <f>E32/E$16</f>
        <v>0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B30" sqref="B30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12.140625" style="2" customWidth="1"/>
    <col min="8" max="8" width="10" style="2" bestFit="1" customWidth="1"/>
    <col min="9" max="9" width="11" style="2" bestFit="1" customWidth="1"/>
    <col min="10" max="11" width="11.140625" style="2" customWidth="1"/>
    <col min="12" max="12" width="11" style="2" bestFit="1" customWidth="1"/>
    <col min="13" max="13" width="11" style="2" customWidth="1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1.13E-4</v>
      </c>
      <c r="E6" s="3">
        <v>1</v>
      </c>
      <c r="F6" s="3">
        <f>D6</f>
        <v>1.13E-4</v>
      </c>
      <c r="G6" s="3">
        <v>1</v>
      </c>
      <c r="H6" s="3">
        <f>H7</f>
        <v>3.6989144250148798E-3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1.13E-4</v>
      </c>
      <c r="E7" s="3">
        <f>B7/400</f>
        <v>2.5E+17</v>
      </c>
      <c r="F7" s="3">
        <f t="shared" ref="F7:F8" si="1">D7</f>
        <v>1.13E-4</v>
      </c>
      <c r="G7" s="3">
        <f>B7/20000</f>
        <v>5000000000000000</v>
      </c>
      <c r="H7" s="3">
        <f>368980000000*G7^-0.89171</f>
        <v>3.6989144250148798E-3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1.45E-5</v>
      </c>
      <c r="E8" s="3">
        <f>B8/400</f>
        <v>2.5E+18</v>
      </c>
      <c r="F8" s="3">
        <f t="shared" si="1"/>
        <v>1.45E-5</v>
      </c>
      <c r="G8" s="3">
        <f>B8/20000</f>
        <v>5E+16</v>
      </c>
      <c r="H8" s="3">
        <f>368980000000*G8^-0.89171</f>
        <v>4.7463994385663196E-4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19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2.5684294871794871E+23</v>
      </c>
      <c r="O14" s="3">
        <f>$B$10/$B$11*O15</f>
        <v>2.568429487179487E+24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1.13E-4</v>
      </c>
      <c r="C16" s="2" t="s">
        <v>5</v>
      </c>
      <c r="D16" s="2" t="s">
        <v>13</v>
      </c>
      <c r="E16" s="3">
        <v>1.45E-5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7.25121E-7</v>
      </c>
      <c r="C17" s="2" t="s">
        <v>1</v>
      </c>
      <c r="D17" s="2" t="s">
        <v>18</v>
      </c>
      <c r="E17" s="5">
        <f>E16*$B$10*4.14E-20</f>
        <v>9.3046499999999999E-8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/>
      <c r="C30" s="2" t="s">
        <v>1</v>
      </c>
      <c r="E30" s="6"/>
      <c r="F30" s="2" t="s">
        <v>1</v>
      </c>
      <c r="H30" s="6"/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0</v>
      </c>
      <c r="C31" s="2" t="s">
        <v>16</v>
      </c>
      <c r="E31" s="5">
        <f>E30/4.14E-20</f>
        <v>0</v>
      </c>
      <c r="F31" s="2" t="s">
        <v>16</v>
      </c>
      <c r="H31" s="5">
        <f>H30/4.14E-20</f>
        <v>0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0</v>
      </c>
      <c r="C32" s="2" t="s">
        <v>5</v>
      </c>
      <c r="E32" s="5">
        <f>E31/$B$10</f>
        <v>0</v>
      </c>
      <c r="F32" s="2" t="s">
        <v>5</v>
      </c>
      <c r="H32" s="5">
        <f>H31/$B$10</f>
        <v>0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</v>
      </c>
      <c r="C33" s="2" t="s">
        <v>15</v>
      </c>
      <c r="E33" s="7">
        <f>E32/E$16</f>
        <v>0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tabSelected="1"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" style="2" bestFit="1" customWidth="1"/>
    <col min="4" max="5" width="9.140625" style="2"/>
    <col min="6" max="7" width="11" style="2" bestFit="1" customWidth="1"/>
    <col min="8" max="8" width="10" style="2" bestFit="1" customWidth="1"/>
    <col min="9" max="10" width="11" style="2" bestFit="1" customWidth="1"/>
    <col min="11" max="11" width="9.140625" style="2"/>
    <col min="12" max="13" width="11" style="2" bestFit="1" customWidth="1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21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4.1200000000000001E-2</v>
      </c>
      <c r="E6" s="3">
        <v>1</v>
      </c>
      <c r="F6" s="3">
        <f>D6</f>
        <v>4.1200000000000001E-2</v>
      </c>
      <c r="G6" s="3">
        <v>1</v>
      </c>
      <c r="H6" s="3">
        <f>H7</f>
        <v>0.36346619671680397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4.1200000000000001E-2</v>
      </c>
      <c r="E7" s="1">
        <f>B7/2000</f>
        <v>5E+16</v>
      </c>
      <c r="F7" s="3">
        <f t="shared" ref="F7:F8" si="1">D7</f>
        <v>4.1200000000000001E-2</v>
      </c>
      <c r="G7" s="3">
        <f>B7/150000</f>
        <v>666666666666666.62</v>
      </c>
      <c r="H7" s="3">
        <f>10872000*G7^-0.50431</f>
        <v>0.36346619671680397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1.29E-2</v>
      </c>
      <c r="E8" s="3">
        <f>B8/2000</f>
        <v>5E+17</v>
      </c>
      <c r="F8" s="3">
        <f t="shared" si="1"/>
        <v>1.29E-2</v>
      </c>
      <c r="G8" s="3">
        <f>B8/150000</f>
        <v>6666666666666667</v>
      </c>
      <c r="H8" s="3">
        <f>10872000*G8^-0.50431</f>
        <v>0.11380308274808304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20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1.6791666666666667E+24</v>
      </c>
      <c r="O14" s="3">
        <f>$B$10/$B$11*O15</f>
        <v>1.6791666666666664E+25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33800000</v>
      </c>
      <c r="O15" s="3">
        <v>338000000</v>
      </c>
    </row>
    <row r="16" spans="1:22" x14ac:dyDescent="0.25">
      <c r="B16" s="3">
        <v>4.1200000000000001E-2</v>
      </c>
      <c r="C16" s="2" t="s">
        <v>5</v>
      </c>
      <c r="D16" s="2" t="s">
        <v>13</v>
      </c>
      <c r="E16" s="3">
        <v>1.29E-2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2.6438040000000001E-4</v>
      </c>
      <c r="C17" s="2" t="s">
        <v>1</v>
      </c>
      <c r="D17" s="2" t="s">
        <v>18</v>
      </c>
      <c r="E17" s="5">
        <f>E16*$B$10*4.14E-20</f>
        <v>8.2779300000000009E-5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32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6.7068899999999997E-5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1620021739130434.7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1.0451753155680225E-2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0.81021342292094767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2.4979800000000002E-4</v>
      </c>
      <c r="C30" s="2" t="s">
        <v>1</v>
      </c>
      <c r="E30" s="6">
        <v>8.1002300000000002E-5</v>
      </c>
      <c r="F30" s="2" t="s">
        <v>1</v>
      </c>
      <c r="H30" s="6">
        <v>2.5438800000000001E-5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6033768115942029</v>
      </c>
      <c r="C31" s="2" t="s">
        <v>16</v>
      </c>
      <c r="E31" s="5">
        <f>E30/4.14E-20</f>
        <v>1956577294685990.2</v>
      </c>
      <c r="F31" s="2" t="s">
        <v>16</v>
      </c>
      <c r="H31" s="5">
        <f>H30/4.14E-20</f>
        <v>614463768115942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3.8927536231884059E-2</v>
      </c>
      <c r="C32" s="2" t="s">
        <v>5</v>
      </c>
      <c r="E32" s="5">
        <f>E31/$B$10</f>
        <v>1.2623079320554776E-2</v>
      </c>
      <c r="F32" s="2" t="s">
        <v>5</v>
      </c>
      <c r="H32" s="5">
        <f>H31/$B$10</f>
        <v>3.9642823749415617E-3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2:15" x14ac:dyDescent="0.25">
      <c r="B33" s="7">
        <f>B32/B$16</f>
        <v>0.94484311242437036</v>
      </c>
      <c r="C33" s="2" t="s">
        <v>15</v>
      </c>
      <c r="E33" s="7">
        <f>E32/E$16</f>
        <v>0.97853328066316092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2:15" x14ac:dyDescent="0.25"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2:15" x14ac:dyDescent="0.25"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2:15" x14ac:dyDescent="0.25"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2:15" x14ac:dyDescent="0.25"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2:15" x14ac:dyDescent="0.25"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2:15" x14ac:dyDescent="0.25"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2:15" x14ac:dyDescent="0.25"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2:15" x14ac:dyDescent="0.25"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2:15" x14ac:dyDescent="0.25"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2:15" x14ac:dyDescent="0.25"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2:15" x14ac:dyDescent="0.25"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2:15" x14ac:dyDescent="0.25"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2:15" x14ac:dyDescent="0.25"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1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2.2000000000000001E-3</v>
      </c>
      <c r="E6" s="3">
        <v>1</v>
      </c>
      <c r="F6" s="3">
        <f>D6</f>
        <v>2.2000000000000001E-3</v>
      </c>
      <c r="G6" s="3">
        <v>1</v>
      </c>
      <c r="H6" s="3">
        <f>H7</f>
        <v>1.8007289676058764E-2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2.2000000000000001E-3</v>
      </c>
      <c r="E7" s="3">
        <f>B7/2000</f>
        <v>5E+16</v>
      </c>
      <c r="F7" s="3">
        <f t="shared" ref="F7:F8" si="1">D7</f>
        <v>2.2000000000000001E-3</v>
      </c>
      <c r="G7" s="3">
        <f>B7/150000</f>
        <v>666666666666666.62</v>
      </c>
      <c r="H7" s="3">
        <f>297310*G7^-0.4869</f>
        <v>1.8007289676058764E-2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7.1699999999999997E-4</v>
      </c>
      <c r="E8" s="3">
        <f>B8/2000</f>
        <v>5E+17</v>
      </c>
      <c r="F8" s="3">
        <f t="shared" si="1"/>
        <v>7.1699999999999997E-4</v>
      </c>
      <c r="G8" s="3">
        <f>B8/150000</f>
        <v>6666666666666667</v>
      </c>
      <c r="H8" s="3">
        <f>297310*G8^-0.4869</f>
        <v>5.8687870446242031E-3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1.6791666666666667E+24</v>
      </c>
      <c r="O14" s="3">
        <f>$B$10/$B$11*O15</f>
        <v>1.6791666666666664E+25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33800000</v>
      </c>
      <c r="O15" s="3">
        <v>338000000</v>
      </c>
    </row>
    <row r="16" spans="1:22" x14ac:dyDescent="0.25">
      <c r="B16" s="3">
        <v>2.2000000000000001E-3</v>
      </c>
      <c r="C16" s="2" t="s">
        <v>5</v>
      </c>
      <c r="D16" s="2" t="s">
        <v>13</v>
      </c>
      <c r="E16" s="3">
        <v>7.1699999999999997E-4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1.4117400000000001E-5</v>
      </c>
      <c r="C17" s="2" t="s">
        <v>1</v>
      </c>
      <c r="D17" s="2" t="s">
        <v>18</v>
      </c>
      <c r="E17" s="5">
        <f>E16*$B$10*4.14E-20</f>
        <v>4.6009890000000004E-6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3.6797499999999998E-6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88882850241545.891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5.734377434938445E-4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0.79977370082823507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1.30051E-5</v>
      </c>
      <c r="C30" s="2" t="s">
        <v>1</v>
      </c>
      <c r="E30" s="6">
        <v>4.3675699999999999E-6</v>
      </c>
      <c r="F30" s="2" t="s">
        <v>1</v>
      </c>
      <c r="H30" s="6">
        <v>1.42432E-6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314132850241545.87</v>
      </c>
      <c r="C31" s="2" t="s">
        <v>16</v>
      </c>
      <c r="E31" s="5">
        <f>E30/4.14E-20</f>
        <v>105496859903381.64</v>
      </c>
      <c r="F31" s="2" t="s">
        <v>16</v>
      </c>
      <c r="H31" s="5">
        <f>H30/4.14E-20</f>
        <v>34403864734299.516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2.0266635499454574E-3</v>
      </c>
      <c r="C32" s="2" t="s">
        <v>5</v>
      </c>
      <c r="E32" s="5">
        <f>E31/$B$10</f>
        <v>6.8062490260246218E-4</v>
      </c>
      <c r="F32" s="2" t="s">
        <v>5</v>
      </c>
      <c r="H32" s="5">
        <f>H31/$B$10</f>
        <v>2.2196041764064204E-4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0.92121070452066245</v>
      </c>
      <c r="C33" s="2" t="s">
        <v>15</v>
      </c>
      <c r="E33" s="7">
        <f>E32/E$16</f>
        <v>0.94926764658641871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1.41E-3</v>
      </c>
      <c r="E6" s="3">
        <v>1</v>
      </c>
      <c r="F6" s="3">
        <f>D6</f>
        <v>1.41E-3</v>
      </c>
      <c r="G6" s="3">
        <v>1</v>
      </c>
      <c r="H6" s="3">
        <f>H7</f>
        <v>1.151839240286213E-2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1.41E-3</v>
      </c>
      <c r="E7" s="3">
        <f>B7/2000</f>
        <v>5E+16</v>
      </c>
      <c r="F7" s="3">
        <f t="shared" ref="F7:F8" si="1">D7</f>
        <v>1.41E-3</v>
      </c>
      <c r="G7" s="3">
        <f>B7/150000</f>
        <v>666666666666666.62</v>
      </c>
      <c r="H7" s="3">
        <f>187340*G7^-0.48646</f>
        <v>1.151839240286213E-2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4.6000000000000001E-4</v>
      </c>
      <c r="E8" s="3">
        <f>B8/2000</f>
        <v>5E+17</v>
      </c>
      <c r="F8" s="3">
        <f t="shared" si="1"/>
        <v>4.6000000000000001E-4</v>
      </c>
      <c r="G8" s="3">
        <f>B8/150000</f>
        <v>6666666666666667</v>
      </c>
      <c r="H8" s="3">
        <f>187340*G8^-0.48646</f>
        <v>3.7577844917873098E-3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31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1.6791666666666667E+24</v>
      </c>
      <c r="O14" s="3">
        <f>$B$10/$B$11*O15</f>
        <v>1.6791666666666664E+25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33800000</v>
      </c>
      <c r="O15" s="3">
        <v>338000000</v>
      </c>
    </row>
    <row r="16" spans="1:22" x14ac:dyDescent="0.25">
      <c r="B16" s="3">
        <v>1.41E-3</v>
      </c>
      <c r="C16" s="2" t="s">
        <v>5</v>
      </c>
      <c r="D16" s="2" t="s">
        <v>13</v>
      </c>
      <c r="E16" s="3">
        <v>4.6000000000000001E-4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9.04797E-6</v>
      </c>
      <c r="C17" s="2" t="s">
        <v>1</v>
      </c>
      <c r="D17" s="2" t="s">
        <v>18</v>
      </c>
      <c r="E17" s="5">
        <f>E16*$B$10*4.14E-20</f>
        <v>2.95182E-6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2.36005E-6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57006038647342.992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3.6778089449898704E-4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0.79952368369345006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8.3371500000000003E-6</v>
      </c>
      <c r="C30" s="2" t="s">
        <v>1</v>
      </c>
      <c r="E30" s="6">
        <v>2.8066700000000002E-6</v>
      </c>
      <c r="F30" s="2" t="s">
        <v>1</v>
      </c>
      <c r="H30" s="6">
        <v>9.1765999999999997E-7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201380434782608.69</v>
      </c>
      <c r="C31" s="2" t="s">
        <v>16</v>
      </c>
      <c r="E31" s="5">
        <f>E30/4.14E-20</f>
        <v>67793961352657.008</v>
      </c>
      <c r="F31" s="2" t="s">
        <v>16</v>
      </c>
      <c r="H31" s="5">
        <f>H30/4.14E-20</f>
        <v>22165700483091.785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1.2992286115007011E-3</v>
      </c>
      <c r="C32" s="2" t="s">
        <v>5</v>
      </c>
      <c r="E32" s="5">
        <f>E31/$B$10</f>
        <v>4.3738039582359359E-4</v>
      </c>
      <c r="F32" s="2" t="s">
        <v>5</v>
      </c>
      <c r="H32" s="5">
        <f>H31/$B$10</f>
        <v>1.4300451924575345E-4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0.92143873156078093</v>
      </c>
      <c r="C33" s="2" t="s">
        <v>15</v>
      </c>
      <c r="E33" s="7">
        <f>E32/E$16</f>
        <v>0.95082694744259477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12.140625" style="2" customWidth="1"/>
    <col min="8" max="8" width="10" style="2" bestFit="1" customWidth="1"/>
    <col min="9" max="9" width="11" style="2" bestFit="1" customWidth="1"/>
    <col min="10" max="11" width="11.140625" style="2" customWidth="1"/>
    <col min="12" max="12" width="11" style="2" bestFit="1" customWidth="1"/>
    <col min="13" max="13" width="11" style="2" customWidth="1"/>
    <col min="14" max="14" width="8.7109375" style="2" bestFit="1" customWidth="1"/>
    <col min="15" max="16384" width="9.140625" style="2"/>
  </cols>
  <sheetData>
    <row r="2" spans="1:22" x14ac:dyDescent="0.25">
      <c r="B2" s="8"/>
      <c r="C2" s="2" t="s">
        <v>3</v>
      </c>
      <c r="D2" s="2" t="s">
        <v>6</v>
      </c>
      <c r="K2" s="3"/>
      <c r="L2" s="3"/>
    </row>
    <row r="3" spans="1:22" x14ac:dyDescent="0.25">
      <c r="B3" s="8">
        <v>312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1.13E-4</v>
      </c>
      <c r="E6" s="3">
        <v>1</v>
      </c>
      <c r="F6" s="3">
        <f>D6</f>
        <v>1.13E-4</v>
      </c>
      <c r="G6" s="3">
        <v>1</v>
      </c>
      <c r="H6" s="3">
        <f>H7</f>
        <v>4.4512151789266145E-3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1.13E-4</v>
      </c>
      <c r="E7" s="3">
        <f>B7/6500</f>
        <v>1.5384615384615384E+16</v>
      </c>
      <c r="F7" s="3">
        <f t="shared" ref="F7:F8" si="1">D7</f>
        <v>1.13E-4</v>
      </c>
      <c r="G7" s="3">
        <f>B7/400000</f>
        <v>250000000000000</v>
      </c>
      <c r="H7" s="3">
        <f>30709000000*G7^-0.89171</f>
        <v>4.4512151789266145E-3</v>
      </c>
      <c r="J7" s="2">
        <v>6268</v>
      </c>
      <c r="K7" s="3"/>
      <c r="L7" s="3"/>
    </row>
    <row r="8" spans="1:22" x14ac:dyDescent="0.25">
      <c r="B8" s="3">
        <f>E14</f>
        <v>1E+21</v>
      </c>
      <c r="C8" s="3">
        <f t="shared" si="0"/>
        <v>1.4285714285714287E+19</v>
      </c>
      <c r="D8" s="3">
        <f>E16</f>
        <v>1.45E-5</v>
      </c>
      <c r="E8" s="3">
        <f>B8/6500</f>
        <v>1.5384615384615386E+17</v>
      </c>
      <c r="F8" s="3">
        <f t="shared" si="1"/>
        <v>1.45E-5</v>
      </c>
      <c r="G8" s="3">
        <f>B8/400000</f>
        <v>2500000000000000</v>
      </c>
      <c r="H8" s="3">
        <f>30709000000*G8^-0.89171</f>
        <v>5.7117420947391004E-4</v>
      </c>
      <c r="J8" s="2">
        <v>2665</v>
      </c>
      <c r="K8" s="3"/>
      <c r="L8" s="3"/>
    </row>
    <row r="9" spans="1:22" x14ac:dyDescent="0.25">
      <c r="J9" s="2">
        <f>(J7-J8)/20</f>
        <v>180.15</v>
      </c>
      <c r="K9" s="3"/>
      <c r="L9" s="3"/>
      <c r="Q9" s="3"/>
      <c r="R9" s="3"/>
    </row>
    <row r="10" spans="1:22" x14ac:dyDescent="0.25">
      <c r="B10" s="4">
        <v>1.55E+17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3.12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19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1.6791666666666667E+24</v>
      </c>
      <c r="O14" s="3">
        <f>$B$10/$B$11*O15</f>
        <v>1.6791666666666664E+25</v>
      </c>
    </row>
    <row r="15" spans="1:22" x14ac:dyDescent="0.25">
      <c r="A15" s="2" t="s">
        <v>23</v>
      </c>
      <c r="B15" s="5">
        <f>B14*$B$11/$B$10</f>
        <v>2012.9032258064517</v>
      </c>
      <c r="C15" s="2" t="s">
        <v>2</v>
      </c>
      <c r="D15" s="2" t="s">
        <v>12</v>
      </c>
      <c r="E15" s="5">
        <f>E14*$B$11/$B$10</f>
        <v>20129.032258064515</v>
      </c>
      <c r="F15" s="2" t="s">
        <v>2</v>
      </c>
      <c r="G15" s="2" t="s">
        <v>12</v>
      </c>
      <c r="H15" s="5">
        <f>H14*$B$11/$B$10</f>
        <v>201290.32258064515</v>
      </c>
      <c r="I15" s="2" t="s">
        <v>2</v>
      </c>
      <c r="J15" s="2" t="s">
        <v>12</v>
      </c>
      <c r="K15" s="5">
        <f>K14*$B$11/$B$10</f>
        <v>2012903.2258064516</v>
      </c>
      <c r="L15" s="2" t="s">
        <v>2</v>
      </c>
      <c r="M15" s="2" t="s">
        <v>12</v>
      </c>
      <c r="N15" s="3">
        <v>33800000</v>
      </c>
      <c r="O15" s="3">
        <v>338000000</v>
      </c>
    </row>
    <row r="16" spans="1:22" x14ac:dyDescent="0.25">
      <c r="B16" s="3">
        <v>1.13E-4</v>
      </c>
      <c r="C16" s="2" t="s">
        <v>5</v>
      </c>
      <c r="D16" s="2" t="s">
        <v>13</v>
      </c>
      <c r="E16" s="3">
        <v>1.45E-5</v>
      </c>
      <c r="F16" s="2" t="s">
        <v>5</v>
      </c>
      <c r="G16" s="2" t="s">
        <v>13</v>
      </c>
      <c r="H16" s="3"/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7.25121E-7</v>
      </c>
      <c r="C17" s="2" t="s">
        <v>1</v>
      </c>
      <c r="D17" s="2" t="s">
        <v>18</v>
      </c>
      <c r="E17" s="5">
        <f>E16*$B$10*4.14E-20</f>
        <v>9.3046499999999999E-8</v>
      </c>
      <c r="F17" s="2" t="s">
        <v>1</v>
      </c>
      <c r="G17" s="2" t="s">
        <v>18</v>
      </c>
      <c r="H17" s="5">
        <f>H16*$B$10*4.14E-20</f>
        <v>0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 t="e">
        <f>H20/H16</f>
        <v>#DIV/0!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 t="e">
        <f>H24/H$16</f>
        <v>#DIV/0!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5.9992899999999995E-8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1449103864734.2993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9.3490571918341896E-6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0.64476256495408202</v>
      </c>
      <c r="F29" s="2" t="s">
        <v>15</v>
      </c>
      <c r="H29" s="7" t="e">
        <f>H28/H$16</f>
        <v>#DIV/0!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6.40686E-7</v>
      </c>
      <c r="C30" s="2" t="s">
        <v>1</v>
      </c>
      <c r="E30" s="6">
        <v>8.2986899999999995E-8</v>
      </c>
      <c r="F30" s="2" t="s">
        <v>1</v>
      </c>
      <c r="H30" s="6">
        <v>1.0648400000000001E-8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15475507246376.811</v>
      </c>
      <c r="C31" s="2" t="s">
        <v>16</v>
      </c>
      <c r="E31" s="5">
        <f>E30/4.14E-20</f>
        <v>2004514492753.623</v>
      </c>
      <c r="F31" s="2" t="s">
        <v>16</v>
      </c>
      <c r="H31" s="5">
        <f>H30/4.14E-20</f>
        <v>257207729468.59903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9.9841982234689101E-5</v>
      </c>
      <c r="C32" s="2" t="s">
        <v>5</v>
      </c>
      <c r="E32" s="5">
        <f>E31/$B$10</f>
        <v>1.2932351566152407E-5</v>
      </c>
      <c r="F32" s="2" t="s">
        <v>5</v>
      </c>
      <c r="H32" s="5">
        <f>H31/$B$10</f>
        <v>1.6594047062490261E-6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0.88355736490875314</v>
      </c>
      <c r="C33" s="2" t="s">
        <v>15</v>
      </c>
      <c r="E33" s="7">
        <f>E32/E$16</f>
        <v>0.89188631490706249</v>
      </c>
      <c r="F33" s="2" t="s">
        <v>15</v>
      </c>
      <c r="H33" s="7" t="e">
        <f>H32/H$16</f>
        <v>#DIV/0!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 No Scat</vt:lpstr>
      <vt:lpstr>CO2 No Scat</vt:lpstr>
      <vt:lpstr>CO No Scat</vt:lpstr>
      <vt:lpstr>CH4 No Scat</vt:lpstr>
      <vt:lpstr>H2 0.308</vt:lpstr>
      <vt:lpstr>CO2 0.308</vt:lpstr>
      <vt:lpstr>CO 0.308</vt:lpstr>
      <vt:lpstr>CH4 0.308</vt:lpstr>
    </vt:vector>
  </TitlesOfParts>
  <Company>Argonne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Jason A.</dc:creator>
  <cp:lastModifiedBy>Carter, Jason A.</cp:lastModifiedBy>
  <dcterms:created xsi:type="dcterms:W3CDTF">2015-08-11T18:20:11Z</dcterms:created>
  <dcterms:modified xsi:type="dcterms:W3CDTF">2015-12-17T20:56:18Z</dcterms:modified>
</cp:coreProperties>
</file>