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R:\02_Internal_projects\02030_IP_Mesh\02030_4_Doc\Battery_lifetime_estimation_tool\battery-lifetime-estimation-tool\"/>
    </mc:Choice>
  </mc:AlternateContent>
  <xr:revisionPtr revIDLastSave="0" documentId="13_ncr:1_{8EAF3E23-B6A6-4355-B0C0-133F2A39BBE1}" xr6:coauthVersionLast="47" xr6:coauthVersionMax="47" xr10:uidLastSave="{00000000-0000-0000-0000-000000000000}"/>
  <workbookProtection workbookAlgorithmName="SHA-512" workbookHashValue="ts+XbBZH2WwwtWG2OxGSh6HVwom6E1qamqD9KXGssN26CJhQLTwc4Wksqx1+5w5cPbfYRvwJvPlwMURRcWI7Gg==" workbookSaltValue="7t0HxZqyeYZouxWIP+Yzlw==" workbookSpinCount="100000" lockStructure="1"/>
  <bookViews>
    <workbookView xWindow="-38510" yWindow="-110" windowWidth="19420" windowHeight="10420" activeTab="1" xr2:uid="{B97A3E18-B6DF-4E25-A3CE-BCE3493C9326}"/>
  </bookViews>
  <sheets>
    <sheet name="Summary" sheetId="1" r:id="rId1"/>
    <sheet name="Input" sheetId="2" r:id="rId2"/>
    <sheet name="Revision history" sheetId="6" r:id="rId3"/>
    <sheet name="Internal (TSCH-options)" sheetId="4" r:id="rId4"/>
    <sheet name="Internal (Batteries)" sheetId="3" r:id="rId5"/>
    <sheet name="Internal (Calculations)" sheetId="5" r:id="rId6"/>
  </sheets>
  <definedNames>
    <definedName name="CoAPInterval">Input!$B$25</definedName>
    <definedName name="CoAPSize">Input!$B$24</definedName>
    <definedName name="CurrentRXTXOneByteUDP">'Internal (Calculations)'!$B$20</definedName>
    <definedName name="CurrentTXOneByteUDP">'Internal (Calculations)'!$B$19</definedName>
    <definedName name="HopsBorderRouter">Input!$B$14</definedName>
    <definedName name="NumChildren">Input!$B$15</definedName>
    <definedName name="NumDecend">Input!$B$16</definedName>
    <definedName name="NumNeighbors">Input!$B$17</definedName>
    <definedName name="PER">Input!$B$13</definedName>
    <definedName name="Root_timeslot">Input!$B$11</definedName>
    <definedName name="TSCHMode">'Internal (TSCH-options)'!$C$11</definedName>
    <definedName name="TSCHSettings">Input!$B$10</definedName>
    <definedName name="UDPInterval">Input!$B$22</definedName>
    <definedName name="UDPIntervalChildren">Input!$B$30</definedName>
    <definedName name="UDPIntervalDLDecendant">Input!$B$40</definedName>
    <definedName name="UDPIntervalDLToNui">Input!$B$38</definedName>
    <definedName name="UDPSize">Input!$B$21</definedName>
    <definedName name="UDPSizeChildren">Input!$B$29</definedName>
    <definedName name="UDPSizeToDecendant">Input!$B$39</definedName>
    <definedName name="UDPSizeToNUI">Input!$B$37</definedName>
    <definedName name="UPDIntervalChildren">Input!$B$30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5" l="1"/>
  <c r="C37" i="5"/>
  <c r="A46" i="2" s="1"/>
  <c r="B23" i="4"/>
  <c r="B22" i="4"/>
  <c r="B32" i="4"/>
  <c r="C4" i="5" s="1"/>
  <c r="B3" i="4"/>
  <c r="B2" i="4"/>
  <c r="B10" i="4"/>
  <c r="C3" i="5" s="1"/>
  <c r="B9" i="4"/>
  <c r="B8" i="4"/>
  <c r="B7" i="4"/>
  <c r="B6" i="4"/>
  <c r="B5" i="4"/>
  <c r="B11" i="4"/>
  <c r="Q6" i="4"/>
  <c r="Q7" i="4"/>
  <c r="Q8" i="4"/>
  <c r="T10" i="4" l="1"/>
  <c r="J43" i="4"/>
  <c r="B43" i="4" s="1"/>
  <c r="J42" i="4"/>
  <c r="B42" i="4" s="1"/>
  <c r="J26" i="4"/>
  <c r="B26" i="4" s="1"/>
  <c r="J27" i="4"/>
  <c r="B27" i="4" s="1"/>
  <c r="J28" i="4"/>
  <c r="B28" i="4" s="1"/>
  <c r="J29" i="4"/>
  <c r="B29" i="4" s="1"/>
  <c r="J30" i="4"/>
  <c r="B30" i="4" s="1"/>
  <c r="J31" i="4"/>
  <c r="B31" i="4" s="1"/>
  <c r="C8" i="5"/>
  <c r="C5" i="5"/>
  <c r="C11" i="4"/>
  <c r="C2" i="5" s="1"/>
  <c r="C21" i="5" l="1"/>
  <c r="C11" i="5" l="1"/>
  <c r="B40" i="4"/>
  <c r="B39" i="4"/>
  <c r="B38" i="4"/>
  <c r="B37" i="4"/>
  <c r="B36" i="4"/>
  <c r="B35" i="4"/>
  <c r="C9" i="5" s="1"/>
  <c r="C46" i="4"/>
  <c r="C17" i="5"/>
  <c r="C18" i="5" s="1"/>
  <c r="J46" i="4" l="1"/>
  <c r="B46" i="4"/>
  <c r="C16" i="5"/>
  <c r="C25" i="5"/>
  <c r="C23" i="5"/>
  <c r="C12" i="5"/>
  <c r="C22" i="5"/>
  <c r="C15" i="5"/>
  <c r="A48" i="2"/>
  <c r="C48" i="2"/>
  <c r="C49" i="2"/>
  <c r="A50" i="2"/>
  <c r="E29" i="1"/>
  <c r="C52" i="2" s="1"/>
  <c r="E28" i="1"/>
  <c r="C51" i="2" s="1"/>
  <c r="E27" i="1"/>
  <c r="C50" i="2" s="1"/>
  <c r="C27" i="5" l="1"/>
  <c r="C28" i="5" s="1"/>
  <c r="C26" i="5"/>
  <c r="C44" i="4"/>
  <c r="C45" i="4" l="1"/>
  <c r="J44" i="4"/>
  <c r="B44" i="4" s="1"/>
  <c r="B4" i="2"/>
  <c r="B6" i="2" s="1"/>
  <c r="J45" i="4" l="1"/>
  <c r="B45" i="4"/>
  <c r="C30" i="5"/>
  <c r="D25" i="1" s="1"/>
  <c r="C33" i="5" l="1"/>
  <c r="C34" i="5" s="1"/>
  <c r="D26" i="1"/>
  <c r="B49" i="2" s="1"/>
  <c r="B48" i="2"/>
  <c r="D27" i="1" l="1"/>
  <c r="B50" i="2" s="1"/>
  <c r="D28" i="1"/>
  <c r="B51" i="2" s="1"/>
  <c r="C35" i="5"/>
  <c r="D29" i="1" s="1"/>
  <c r="B5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Ørjan Nottveit</author>
  </authors>
  <commentList>
    <comment ref="A3" authorId="0" shapeId="0" xr:uid="{6A4E7F55-0282-48AA-A4FB-C35CB445BC64}">
      <text>
        <r>
          <rPr>
            <sz val="9"/>
            <color indexed="81"/>
            <rFont val="Tahoma"/>
            <family val="2"/>
          </rPr>
          <t>Select battery type in your application. If battery not in list chose the closest in capacity and adjust how many procentage that can be used.</t>
        </r>
        <r>
          <rPr>
            <b/>
            <sz val="9"/>
            <color indexed="81"/>
            <rFont val="Tahoma"/>
            <family val="2"/>
          </rPr>
          <t xml:space="preserve">
</t>
        </r>
      </text>
    </comment>
    <comment ref="A5" authorId="0" shapeId="0" xr:uid="{8A71FF7C-F510-40E0-B842-AA3CE568F418}">
      <text>
        <r>
          <rPr>
            <sz val="9"/>
            <color indexed="81"/>
            <rFont val="Tahoma"/>
            <family val="2"/>
          </rPr>
          <t xml:space="preserve">Due to temperature profile, current pulses and cut off voltage the application might not be able to utilize 100% of battery capacity. Consult your battery supplier to help get an estimte for this number.
</t>
        </r>
      </text>
    </comment>
    <comment ref="A10" authorId="0" shapeId="0" xr:uid="{9F8984CA-BE8C-45E2-A527-6F700302F7D5}">
      <text>
        <r>
          <rPr>
            <sz val="9"/>
            <color indexed="81"/>
            <rFont val="Tahoma"/>
            <family val="2"/>
          </rPr>
          <t>This parameter is seet in customer application code with Network.setTSCHParameters();
TSCH UltraLowPower is introduced in RIIM SDK 3.0.0</t>
        </r>
      </text>
    </comment>
    <comment ref="A12" authorId="0" shapeId="0" xr:uid="{9C9244F3-B6A0-424A-8EF6-7606A7E50E16}">
      <text>
        <r>
          <rPr>
            <sz val="9"/>
            <color indexed="81"/>
            <rFont val="Tahoma"/>
            <family val="2"/>
          </rPr>
          <t xml:space="preserve">Set in the application C file with Network.setTschMaxBroadcastRate 
(Typicalls set to lower number during start-up / network formation and then to large number in static system). The latest number which is used for the majority of the operation time shall be used here.
</t>
        </r>
      </text>
    </comment>
    <comment ref="A13" authorId="0" shapeId="0" xr:uid="{C2F407C2-3A1B-408E-8891-986231298F13}">
      <text>
        <r>
          <rPr>
            <sz val="9"/>
            <color indexed="81"/>
            <rFont val="Tahoma"/>
            <family val="2"/>
          </rPr>
          <t>More packet loss due to range issue and external noise issue. 
(The packet loss due to internal collision in RIIM networks are implicite in number and not included in this number)</t>
        </r>
        <r>
          <rPr>
            <b/>
            <sz val="9"/>
            <color indexed="81"/>
            <rFont val="Tahoma"/>
            <family val="2"/>
          </rPr>
          <t xml:space="preserve">
</t>
        </r>
      </text>
    </comment>
    <comment ref="A14" authorId="0" shapeId="0" xr:uid="{02E02AD3-C8A5-42CE-8731-8F2A5DB4472F}">
      <text>
        <r>
          <rPr>
            <sz val="9"/>
            <color indexed="81"/>
            <rFont val="Tahoma"/>
            <family val="2"/>
          </rPr>
          <t>Number of hops between the NUI and the BR. One in Figure 1.</t>
        </r>
      </text>
    </comment>
    <comment ref="A15" authorId="0" shapeId="0" xr:uid="{D68A9242-0377-43BA-85CF-70E14BEF4732}">
      <text>
        <r>
          <rPr>
            <sz val="9"/>
            <color indexed="81"/>
            <rFont val="Tahoma"/>
            <family val="2"/>
          </rPr>
          <t>See figure 1. These direct children uses the node under investigation as time source and syncronize toward it. This causes these devices in have slightly larger impact on battery lifetime of NUI</t>
        </r>
      </text>
    </comment>
    <comment ref="A16" authorId="0" shapeId="0" xr:uid="{B22A7C9A-90FC-488F-A967-A68B9A8010F0}">
      <text>
        <r>
          <rPr>
            <sz val="9"/>
            <color indexed="81"/>
            <rFont val="Tahoma"/>
            <family val="2"/>
          </rPr>
          <t>See figure 1. These send their data through NUI, but does not have network maintenence communcaiton with NUI.</t>
        </r>
      </text>
    </comment>
    <comment ref="A17" authorId="0" shapeId="0" xr:uid="{93329FAE-DA95-494F-BBB1-3344FE1A1D45}">
      <text>
        <r>
          <rPr>
            <sz val="9"/>
            <color indexed="81"/>
            <rFont val="Tahoma"/>
            <family val="2"/>
          </rPr>
          <t xml:space="preserve">See figure 1: For the green node in quesion, the two blue are neighbors which are not a child since they both have direct connection to the border router and will communicate directly and not through the device green 1.
</t>
        </r>
      </text>
    </comment>
    <comment ref="A21" authorId="0" shapeId="0" xr:uid="{E17479A1-6889-41C3-B3A6-A78B835321D7}">
      <text>
        <r>
          <rPr>
            <sz val="9"/>
            <color indexed="81"/>
            <rFont val="Tahoma"/>
            <family val="2"/>
          </rPr>
          <t>This is the number of application data sent via UPD. The actual number of bytes sent on radio will include headers and other overhead and therefore be a larger number.</t>
        </r>
      </text>
    </comment>
    <comment ref="A22" authorId="0" shapeId="0" xr:uid="{C5D8DB8D-1811-4086-86C9-F439A003E44D}">
      <text>
        <r>
          <rPr>
            <sz val="9"/>
            <color indexed="81"/>
            <rFont val="Tahoma"/>
            <family val="2"/>
          </rPr>
          <t>Interval in minutes between data transmission in average [0.5 minutes - 1000 minutes]</t>
        </r>
      </text>
    </comment>
    <comment ref="A24" authorId="0" shapeId="0" xr:uid="{CF00AFA3-1C9E-4596-8B3D-602268BA0027}">
      <text>
        <r>
          <rPr>
            <sz val="9"/>
            <color indexed="81"/>
            <rFont val="Tahoma"/>
            <family val="2"/>
          </rPr>
          <t>This is the number of application data sent via CoAP. The actual number of bytes sent on radio will include headers and other overhead and therefore be a larger number.</t>
        </r>
      </text>
    </comment>
    <comment ref="A25" authorId="0" shapeId="0" xr:uid="{DB87A097-528B-47F0-B07D-CAC82FA90DCE}">
      <text>
        <r>
          <rPr>
            <sz val="9"/>
            <color indexed="81"/>
            <rFont val="Tahoma"/>
            <family val="2"/>
          </rPr>
          <t>Interval in minutes between data transmission in average [0.5 minutes - 1000 minutes]</t>
        </r>
      </text>
    </comment>
    <comment ref="A29" authorId="0" shapeId="0" xr:uid="{CF2A89C6-CF69-4970-AD4D-3D0584B35D0A}">
      <text>
        <r>
          <rPr>
            <sz val="9"/>
            <color indexed="81"/>
            <rFont val="Tahoma"/>
            <family val="2"/>
          </rPr>
          <t>This is the number of application data sent via UPD. The actual number of bytes sent on radio will include headers and other overhead and therefore be a larger number.</t>
        </r>
      </text>
    </comment>
    <comment ref="A30" authorId="0" shapeId="0" xr:uid="{BAD317DD-1C52-4943-9AF5-F82171F3661D}">
      <text>
        <r>
          <rPr>
            <sz val="9"/>
            <color indexed="81"/>
            <rFont val="Tahoma"/>
            <family val="2"/>
          </rPr>
          <t>Interval in minutes between data transmission in average [0.5 minutes - 1000 minutes]
This interval is between data transmission from each decendant node.</t>
        </r>
      </text>
    </comment>
    <comment ref="A32" authorId="0" shapeId="0" xr:uid="{CDEDF52C-D60C-49BF-8AF7-31C8DB047D42}">
      <text>
        <r>
          <rPr>
            <sz val="9"/>
            <color indexed="81"/>
            <rFont val="Tahoma"/>
            <family val="2"/>
          </rPr>
          <t>This is the number of application data sent via CoAP. The actual number of bytes sent on radio will include headers and other overhead and therefore be a larger number.</t>
        </r>
      </text>
    </comment>
    <comment ref="A33" authorId="0" shapeId="0" xr:uid="{27B5B2FF-ADC6-43DC-99D6-E6B41A766992}">
      <text>
        <r>
          <rPr>
            <sz val="9"/>
            <color indexed="81"/>
            <rFont val="Tahoma"/>
            <family val="2"/>
          </rPr>
          <t>Interval in minutes between data transmission in average [0.5 minutes - 1000 minutes]
This interval is between data transmission from each decendant node.</t>
        </r>
      </text>
    </comment>
    <comment ref="A37" authorId="0" shapeId="0" xr:uid="{14A1D2C0-A0A0-4D80-8EDB-1883BDE8026B}">
      <text>
        <r>
          <rPr>
            <sz val="9"/>
            <color indexed="81"/>
            <rFont val="Tahoma"/>
            <family val="2"/>
          </rPr>
          <t>This is the number of application data sent via UPD. The actual number of bytes sent on radio will include headers and other overhead and therefore be a larger number.</t>
        </r>
      </text>
    </comment>
    <comment ref="A38" authorId="0" shapeId="0" xr:uid="{5847EB63-95EC-4F18-A045-BF52CDCF4DF1}">
      <text>
        <r>
          <rPr>
            <sz val="9"/>
            <color indexed="81"/>
            <rFont val="Tahoma"/>
            <family val="2"/>
          </rPr>
          <t xml:space="preserve">Interval in minutes between data transmission in average [0.5 minutes - 1000 minutes]
</t>
        </r>
      </text>
    </comment>
    <comment ref="A39" authorId="0" shapeId="0" xr:uid="{86117A0A-AFE2-4880-AE1F-DC641A664871}">
      <text>
        <r>
          <rPr>
            <sz val="9"/>
            <color indexed="81"/>
            <rFont val="Tahoma"/>
            <family val="2"/>
          </rPr>
          <t>This is the number of application data sent via UPD. The actual number of bytes sent on radio will include headers and other overhead and therefore be a larger number.</t>
        </r>
      </text>
    </comment>
    <comment ref="A40" authorId="0" shapeId="0" xr:uid="{2C3651D5-DD18-4496-8B87-5DEB3601E0F9}">
      <text>
        <r>
          <rPr>
            <sz val="9"/>
            <color indexed="81"/>
            <rFont val="Tahoma"/>
            <family val="2"/>
          </rPr>
          <t>Interval in minutes between data transmission in average [0.5 minutes - 1000 minutes]
This interval is between data transmission to any decendant node.</t>
        </r>
      </text>
    </comment>
    <comment ref="A42" authorId="0" shapeId="0" xr:uid="{62037263-63C2-49EE-BD1D-F3449F31D5CA}">
      <text>
        <r>
          <rPr>
            <sz val="9"/>
            <color indexed="81"/>
            <rFont val="Tahoma"/>
            <family val="2"/>
          </rPr>
          <t>This is the number of application data sent via CoAP. The actual number of bytes sent on radio will include headers and other overhead and therefore be a larger number.</t>
        </r>
      </text>
    </comment>
    <comment ref="A43" authorId="0" shapeId="0" xr:uid="{5A97A185-1AF7-4151-B7A8-28E0B7B93685}">
      <text>
        <r>
          <rPr>
            <sz val="9"/>
            <color indexed="81"/>
            <rFont val="Tahoma"/>
            <family val="2"/>
          </rPr>
          <t xml:space="preserve">Interval in minutes between data transmission in average [0.5 minutes - 1000 minutes]
</t>
        </r>
      </text>
    </comment>
    <comment ref="A44" authorId="0" shapeId="0" xr:uid="{3C7D75C2-99DA-429B-B6B8-1FCB143C17E2}">
      <text>
        <r>
          <rPr>
            <sz val="9"/>
            <color indexed="81"/>
            <rFont val="Tahoma"/>
            <family val="2"/>
          </rPr>
          <t>This is the number of application data sent via CoAP. The actual number of bytes sent on radio will include headers and other overhead and therefore be a larger number.</t>
        </r>
      </text>
    </comment>
    <comment ref="A45" authorId="0" shapeId="0" xr:uid="{7E29AB48-D936-4E6A-BD4B-ABE7D57F5FE9}">
      <text>
        <r>
          <rPr>
            <sz val="9"/>
            <color indexed="81"/>
            <rFont val="Tahoma"/>
            <family val="2"/>
          </rPr>
          <t>Interval in minutes between data transmission in average [0.5 minutes - 1000 minutes]
This interval is between data transmission to any decendant node.</t>
        </r>
      </text>
    </comment>
  </commentList>
</comments>
</file>

<file path=xl/sharedStrings.xml><?xml version="1.0" encoding="utf-8"?>
<sst xmlns="http://schemas.openxmlformats.org/spreadsheetml/2006/main" count="223" uniqueCount="139">
  <si>
    <t>Revision</t>
  </si>
  <si>
    <t>Lithium Thionol chloride AA</t>
  </si>
  <si>
    <t>Lithium Thionol chloride A</t>
  </si>
  <si>
    <t>Lithium Thionol chloride D</t>
  </si>
  <si>
    <t>Lithium Thionol chloride C</t>
  </si>
  <si>
    <t>Battery</t>
  </si>
  <si>
    <t>Lithium Thionol chloride 1/2 AA</t>
  </si>
  <si>
    <t>For the mesh router in question type in the following parameters</t>
  </si>
  <si>
    <t>TSCH_ACTIVE</t>
  </si>
  <si>
    <t>TSCH_PASSIVE</t>
  </si>
  <si>
    <t>TSCH settings</t>
  </si>
  <si>
    <t>UDP data size</t>
  </si>
  <si>
    <t>Number of neighbors not a child</t>
  </si>
  <si>
    <t>17,31,23</t>
  </si>
  <si>
    <t>9,31,23</t>
  </si>
  <si>
    <t>29,43,67</t>
  </si>
  <si>
    <t>Traffic from BR</t>
  </si>
  <si>
    <t>CoAP data size</t>
  </si>
  <si>
    <t>Time between CoAP packets [minutes]</t>
  </si>
  <si>
    <t>Hops to border router(BR)</t>
  </si>
  <si>
    <t>Date</t>
  </si>
  <si>
    <t>MAX_BEACON_RATE</t>
  </si>
  <si>
    <t>Extra due to TSCH settings</t>
  </si>
  <si>
    <t>Extra due to MAX_BEACON_RATE</t>
  </si>
  <si>
    <t>Extimated current consumption</t>
  </si>
  <si>
    <t>mA</t>
  </si>
  <si>
    <t>Typical packet loss due to link budget and external noise</t>
  </si>
  <si>
    <t>Packet loss</t>
  </si>
  <si>
    <t>Per neighbor</t>
  </si>
  <si>
    <t>Per Child</t>
  </si>
  <si>
    <t>Neighbors</t>
  </si>
  <si>
    <t>Children direct</t>
  </si>
  <si>
    <t>Number of direct children</t>
  </si>
  <si>
    <t>Estimated battery lifetime</t>
  </si>
  <si>
    <t>Battery lifetime</t>
  </si>
  <si>
    <t>hours</t>
  </si>
  <si>
    <t>days</t>
  </si>
  <si>
    <t>years</t>
  </si>
  <si>
    <t>Number from descedants(not direct children)</t>
  </si>
  <si>
    <t>Per decendant</t>
  </si>
  <si>
    <t>Per UDP packet per minute 10 bytes</t>
  </si>
  <si>
    <t>Per UDP packet per minute 50 bytes</t>
  </si>
  <si>
    <t>Per UDP packet per minute 30 bytes</t>
  </si>
  <si>
    <t>Per byte</t>
  </si>
  <si>
    <t>Per UDP packet per minute 1 byte</t>
  </si>
  <si>
    <t>The current consumption and thus the battery lifetime of devices is not totally deterministic.</t>
  </si>
  <si>
    <t>How to use this tool:</t>
  </si>
  <si>
    <t>uA</t>
  </si>
  <si>
    <t>Average current consumption</t>
  </si>
  <si>
    <t>Capacity</t>
  </si>
  <si>
    <t>Realistic capacity</t>
  </si>
  <si>
    <t xml:space="preserve">mAh </t>
  </si>
  <si>
    <t>bytes</t>
  </si>
  <si>
    <t>minutes</t>
  </si>
  <si>
    <t>Time between UDP packets</t>
  </si>
  <si>
    <t>hop</t>
  </si>
  <si>
    <t>nodes</t>
  </si>
  <si>
    <t xml:space="preserve">Time between UDP packets </t>
  </si>
  <si>
    <t>Base current TSCH</t>
  </si>
  <si>
    <t>Sleep and maintenence</t>
  </si>
  <si>
    <t>Expected realistic usage of battery capacity</t>
  </si>
  <si>
    <t>Frequency of packets one device</t>
  </si>
  <si>
    <t>Frequency of packets in total</t>
  </si>
  <si>
    <t>packets per minutes</t>
  </si>
  <si>
    <t>Extra due to packet loss</t>
  </si>
  <si>
    <t>Ekstra due to packet loss per child</t>
  </si>
  <si>
    <t>2x Lithium Thionol chloride AA</t>
  </si>
  <si>
    <t>TSCH mode</t>
  </si>
  <si>
    <t>Max broadcast rate</t>
  </si>
  <si>
    <t>Results from Input page:</t>
  </si>
  <si>
    <t>Changes</t>
  </si>
  <si>
    <t>Extra due to number of hops from BR</t>
  </si>
  <si>
    <t>In RIIM, mesh routers can be battery operated using a time syncronization method called TSCH (Time Slotted Channel Hopping)</t>
  </si>
  <si>
    <t>This means that nodes only wakeup and listens for packets or sends packets at predetermined timeslots</t>
  </si>
  <si>
    <t>If a packet is not received within a short time window, the node can quickly go to sleep again to reduce current consumption.</t>
  </si>
  <si>
    <t>Examples of factors that influence the battery lifetime are given below:</t>
  </si>
  <si>
    <t>- In a dense network, one can receive packets from more devices and thus spend more time receiving packets than in widespread network.</t>
  </si>
  <si>
    <t>- In a network with much noise and long distance between nodes, there will be more packet loss and thereby more retransmissions. 
This will reduce battery lifetime</t>
  </si>
  <si>
    <t>Open the input tab and give as much and as accurete information about the network, settings, and the node that is investigated for battery lifetime.</t>
  </si>
  <si>
    <t>Then observe how the current consumption and battery lifetime changes based on the input</t>
  </si>
  <si>
    <t>Traffic from children and decendants</t>
  </si>
  <si>
    <t>UDP data from NUI</t>
  </si>
  <si>
    <t>To Decendant: UDP data size</t>
  </si>
  <si>
    <t>To Decendant: Time between UDP packets[minutes]</t>
  </si>
  <si>
    <t>To NUI : Time between UDP packets[minutes]</t>
  </si>
  <si>
    <t>To NUI : UDP data size</t>
  </si>
  <si>
    <t>UPD data from decendant</t>
  </si>
  <si>
    <t>UPD data from decendants increase due to packet error</t>
  </si>
  <si>
    <t>UPD data to decendant</t>
  </si>
  <si>
    <t>UPD data to NUI</t>
  </si>
  <si>
    <t>Current due to 1 UPD packet every 1 minute(RX + Forward)</t>
  </si>
  <si>
    <t>Current due to 1 UPD packet every 1 minute(TX)</t>
  </si>
  <si>
    <t>Current due to 1 UPD packet every 1 minute(RX)</t>
  </si>
  <si>
    <t>Traffic from node under investigation (NUI)</t>
  </si>
  <si>
    <t>CoAP from NUI</t>
  </si>
  <si>
    <t>COAP from Decendant</t>
  </si>
  <si>
    <t>CoAP from BR to NUI</t>
  </si>
  <si>
    <t>CoAP from BR to Decendant</t>
  </si>
  <si>
    <t>To NUI : CoAP data size</t>
  </si>
  <si>
    <t>To NUI : Time between CoAP packets[minutes]</t>
  </si>
  <si>
    <t>To Decendant: CoAP data size</t>
  </si>
  <si>
    <t>To Decendant: Time between CoAP packets[minutes]</t>
  </si>
  <si>
    <t>UDP</t>
  </si>
  <si>
    <t>CoAP</t>
  </si>
  <si>
    <t>This worksheet helps users estimate the current consumption and hence the battery lifetime of a RIIM mesh node</t>
  </si>
  <si>
    <t xml:space="preserve">- In a sensor network sending data to the cloud, one mesh router might be the only one in connection with the border router.
 Then all the other nodes will send their data through this specific node which increases the number of received and sent packets for this node. 
Therefore, the battery lifetime of this specific node will be lower than the other nodes. </t>
  </si>
  <si>
    <t>Estimation tool for battery lifetime RIIM mesh routers</t>
  </si>
  <si>
    <t>This is done by entering your data in the orange fields</t>
  </si>
  <si>
    <t>seconds</t>
  </si>
  <si>
    <t>Packet error rate
 (PER)</t>
  </si>
  <si>
    <t>First release(Valid for RC1882CEF-IPM)</t>
  </si>
  <si>
    <t>1.0.0</t>
  </si>
  <si>
    <t>The tool is applicable for RC1882CEF-IPM in current revision(Not the HP - 500mW versions)</t>
  </si>
  <si>
    <t>TSCH_HIGH_THROUGHPUT_SENSOR_DATA</t>
  </si>
  <si>
    <t>TSCH_LOW_LATENCY</t>
  </si>
  <si>
    <t>TSCH_BALANCED</t>
  </si>
  <si>
    <t>TSCH_LOW_POWER</t>
  </si>
  <si>
    <t>1.1.0</t>
  </si>
  <si>
    <t>Updated based on measurment on SDK 3.0.0</t>
  </si>
  <si>
    <t>*Simplefied. Reallity is a lower power consumption</t>
  </si>
  <si>
    <t>1.2.0</t>
  </si>
  <si>
    <t>TSCH_VERY_LOW_POWER</t>
  </si>
  <si>
    <t>TSCH_ULTRA_LOW_POWER</t>
  </si>
  <si>
    <t>67,89,101</t>
  </si>
  <si>
    <t>Root communication</t>
  </si>
  <si>
    <t>RF datarate</t>
  </si>
  <si>
    <t>50 kb/s</t>
  </si>
  <si>
    <t>150 kb/s</t>
  </si>
  <si>
    <t>Updated based on measurment on SDK 4.0.0 -&gt; Reduced power consumption and 150 kb/s option</t>
  </si>
  <si>
    <t>Root</t>
  </si>
  <si>
    <t>Uni</t>
  </si>
  <si>
    <t>EB</t>
  </si>
  <si>
    <t>Shared</t>
  </si>
  <si>
    <t>x</t>
  </si>
  <si>
    <t>Colomb Offset</t>
  </si>
  <si>
    <t>Selected</t>
  </si>
  <si>
    <t>Default root rule</t>
  </si>
  <si>
    <t>Default current contribution root rule</t>
  </si>
  <si>
    <t>Root timeslot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</si>
</sst>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0000"/>
    <numFmt numFmtId="166" formatCode="0.0"/>
    <numFmt numFmtId="167" formatCode="yyyy\-mm\-dd;@"/>
    <numFmt numFmtId="168" formatCode="0.000000"/>
  </numFmts>
  <fonts count="10" x14ac:knownFonts="1">
    <font>
      <sz val="11"/>
      <color theme="1"/>
      <name val="Calibri"/>
      <family val="2"/>
      <scheme val="minor"/>
    </font>
    <font>
      <sz val="11"/>
      <color theme="0"/>
      <name val="Calibri"/>
      <family val="2"/>
      <scheme val="minor"/>
    </font>
    <font>
      <sz val="9"/>
      <color indexed="81"/>
      <name val="Tahoma"/>
      <family val="2"/>
    </font>
    <font>
      <b/>
      <sz val="9"/>
      <color indexed="81"/>
      <name val="Tahoma"/>
      <family val="2"/>
    </font>
    <font>
      <b/>
      <sz val="11"/>
      <color theme="1"/>
      <name val="Calibri"/>
      <family val="2"/>
      <scheme val="minor"/>
    </font>
    <font>
      <sz val="11"/>
      <color theme="0" tint="-0.249977111117893"/>
      <name val="Calibri"/>
      <family val="2"/>
      <scheme val="minor"/>
    </font>
    <font>
      <b/>
      <sz val="11"/>
      <color theme="0"/>
      <name val="Calibri"/>
      <family val="2"/>
      <scheme val="minor"/>
    </font>
    <font>
      <sz val="18"/>
      <color theme="0"/>
      <name val="Calibri"/>
      <family val="2"/>
      <scheme val="minor"/>
    </font>
    <font>
      <sz val="20"/>
      <color theme="0"/>
      <name val="Calibri"/>
      <family val="2"/>
      <scheme val="minor"/>
    </font>
    <font>
      <sz val="11"/>
      <name val="Calibri"/>
      <family val="2"/>
      <scheme val="minor"/>
    </font>
  </fonts>
  <fills count="8">
    <fill>
      <patternFill patternType="none"/>
    </fill>
    <fill>
      <patternFill patternType="gray125"/>
    </fill>
    <fill>
      <patternFill patternType="solid">
        <fgColor theme="1"/>
        <bgColor indexed="64"/>
      </patternFill>
    </fill>
    <fill>
      <patternFill patternType="solid">
        <fgColor theme="1"/>
        <bgColor auto="1"/>
      </patternFill>
    </fill>
    <fill>
      <patternFill patternType="solid">
        <fgColor theme="0"/>
        <bgColor indexed="64"/>
      </patternFill>
    </fill>
    <fill>
      <patternFill patternType="solid">
        <fgColor theme="8" tint="0.79998168889431442"/>
        <bgColor indexed="64"/>
      </patternFill>
    </fill>
    <fill>
      <patternFill patternType="solid">
        <fgColor rgb="FF008080"/>
        <bgColor indexed="64"/>
      </patternFill>
    </fill>
    <fill>
      <patternFill patternType="solid">
        <fgColor rgb="FFFF9900"/>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15">
    <xf numFmtId="0" fontId="0" fillId="0" borderId="0" xfId="0"/>
    <xf numFmtId="0" fontId="1" fillId="2" borderId="10" xfId="0" applyFont="1" applyFill="1" applyBorder="1"/>
    <xf numFmtId="0" fontId="1" fillId="2" borderId="9" xfId="0" applyFont="1" applyFill="1" applyBorder="1"/>
    <xf numFmtId="0" fontId="1" fillId="2" borderId="10" xfId="0" applyFont="1" applyFill="1" applyBorder="1" applyAlignment="1">
      <alignment wrapText="1"/>
    </xf>
    <xf numFmtId="0" fontId="1" fillId="2" borderId="10" xfId="0" applyFont="1" applyFill="1" applyBorder="1" applyAlignment="1">
      <alignment horizontal="left" indent="1"/>
    </xf>
    <xf numFmtId="0" fontId="1" fillId="2" borderId="10" xfId="0" applyFont="1" applyFill="1" applyBorder="1" applyAlignment="1">
      <alignment horizontal="left"/>
    </xf>
    <xf numFmtId="0" fontId="1" fillId="3" borderId="10" xfId="0" applyFont="1" applyFill="1" applyBorder="1"/>
    <xf numFmtId="0" fontId="1" fillId="3" borderId="10" xfId="0" applyFont="1" applyFill="1" applyBorder="1" applyAlignment="1">
      <alignment horizontal="left" indent="1"/>
    </xf>
    <xf numFmtId="0" fontId="1" fillId="2" borderId="11" xfId="0" applyFont="1" applyFill="1" applyBorder="1"/>
    <xf numFmtId="0" fontId="1" fillId="2" borderId="4" xfId="0" applyFont="1" applyFill="1" applyBorder="1"/>
    <xf numFmtId="0" fontId="1" fillId="2" borderId="3" xfId="0" applyFont="1" applyFill="1" applyBorder="1"/>
    <xf numFmtId="0" fontId="1" fillId="2" borderId="5" xfId="0" applyFont="1" applyFill="1" applyBorder="1"/>
    <xf numFmtId="0" fontId="0" fillId="0" borderId="4" xfId="0" applyBorder="1"/>
    <xf numFmtId="0" fontId="4" fillId="0" borderId="12" xfId="0" applyFont="1" applyBorder="1"/>
    <xf numFmtId="0" fontId="4" fillId="0" borderId="13" xfId="0" applyFont="1" applyBorder="1"/>
    <xf numFmtId="0" fontId="0" fillId="0" borderId="13" xfId="0" applyBorder="1"/>
    <xf numFmtId="0" fontId="0" fillId="0" borderId="0" xfId="0" applyAlignment="1">
      <alignment wrapText="1"/>
    </xf>
    <xf numFmtId="0" fontId="0" fillId="0" borderId="0" xfId="0" quotePrefix="1" applyAlignment="1">
      <alignment horizontal="left" wrapText="1" indent="1"/>
    </xf>
    <xf numFmtId="0" fontId="1" fillId="2" borderId="10" xfId="0" applyFont="1" applyFill="1" applyBorder="1" applyAlignment="1">
      <alignment horizontal="left" indent="2"/>
    </xf>
    <xf numFmtId="0" fontId="1" fillId="3" borderId="10" xfId="0" applyFont="1" applyFill="1" applyBorder="1" applyAlignment="1">
      <alignment horizontal="left" indent="2"/>
    </xf>
    <xf numFmtId="0" fontId="0" fillId="4" borderId="4" xfId="0" applyFill="1" applyBorder="1" applyProtection="1">
      <protection locked="0"/>
    </xf>
    <xf numFmtId="167" fontId="0" fillId="0" borderId="0" xfId="0" applyNumberFormat="1"/>
    <xf numFmtId="0" fontId="0" fillId="0" borderId="0" xfId="0" quotePrefix="1"/>
    <xf numFmtId="0" fontId="0" fillId="5" borderId="0" xfId="0" applyFill="1"/>
    <xf numFmtId="0" fontId="0" fillId="6" borderId="2" xfId="0" applyFill="1" applyBorder="1"/>
    <xf numFmtId="0" fontId="0" fillId="6" borderId="3" xfId="0" applyFill="1" applyBorder="1"/>
    <xf numFmtId="0" fontId="0" fillId="4" borderId="0" xfId="0" applyFill="1"/>
    <xf numFmtId="0" fontId="0" fillId="4" borderId="5" xfId="0" applyFill="1" applyBorder="1"/>
    <xf numFmtId="0" fontId="0" fillId="4" borderId="4" xfId="0" applyFill="1" applyBorder="1"/>
    <xf numFmtId="0" fontId="0" fillId="4" borderId="0" xfId="0" applyFill="1" applyProtection="1">
      <protection locked="0"/>
    </xf>
    <xf numFmtId="0" fontId="0" fillId="7" borderId="1" xfId="0" applyFill="1" applyBorder="1" applyAlignment="1" applyProtection="1">
      <alignment horizontal="right"/>
      <protection locked="0"/>
    </xf>
    <xf numFmtId="9" fontId="0" fillId="7" borderId="4" xfId="0" applyNumberFormat="1" applyFill="1" applyBorder="1" applyProtection="1">
      <protection locked="0"/>
    </xf>
    <xf numFmtId="0" fontId="0" fillId="7" borderId="4" xfId="0" applyFill="1" applyBorder="1" applyAlignment="1" applyProtection="1">
      <alignment horizontal="right"/>
      <protection locked="0"/>
    </xf>
    <xf numFmtId="0" fontId="0" fillId="7" borderId="4" xfId="0" applyFill="1" applyBorder="1" applyProtection="1">
      <protection locked="0"/>
    </xf>
    <xf numFmtId="0" fontId="5" fillId="4" borderId="4" xfId="0" applyFont="1" applyFill="1" applyBorder="1"/>
    <xf numFmtId="0" fontId="0" fillId="0" borderId="5" xfId="0" applyBorder="1"/>
    <xf numFmtId="0" fontId="0" fillId="6" borderId="0" xfId="0" applyFill="1"/>
    <xf numFmtId="0" fontId="0" fillId="6" borderId="5" xfId="0" applyFill="1" applyBorder="1"/>
    <xf numFmtId="0" fontId="0" fillId="6" borderId="7" xfId="0" applyFill="1" applyBorder="1"/>
    <xf numFmtId="0" fontId="0" fillId="6" borderId="8" xfId="0" applyFill="1" applyBorder="1"/>
    <xf numFmtId="0" fontId="6" fillId="6" borderId="1" xfId="0" applyFont="1" applyFill="1" applyBorder="1"/>
    <xf numFmtId="2" fontId="6" fillId="6" borderId="2" xfId="0" applyNumberFormat="1" applyFont="1" applyFill="1" applyBorder="1"/>
    <xf numFmtId="0" fontId="6" fillId="6" borderId="3" xfId="0" applyFont="1" applyFill="1" applyBorder="1"/>
    <xf numFmtId="0" fontId="6" fillId="6" borderId="6" xfId="0" applyFont="1" applyFill="1" applyBorder="1"/>
    <xf numFmtId="2" fontId="6" fillId="6" borderId="7" xfId="0" applyNumberFormat="1" applyFont="1" applyFill="1" applyBorder="1"/>
    <xf numFmtId="0" fontId="6" fillId="6" borderId="8" xfId="0" applyFont="1" applyFill="1" applyBorder="1"/>
    <xf numFmtId="0" fontId="6" fillId="6" borderId="4" xfId="0" applyFont="1" applyFill="1" applyBorder="1"/>
    <xf numFmtId="2" fontId="6" fillId="6" borderId="0" xfId="0" applyNumberFormat="1" applyFont="1" applyFill="1"/>
    <xf numFmtId="0" fontId="6" fillId="6" borderId="5" xfId="0" applyFont="1" applyFill="1" applyBorder="1"/>
    <xf numFmtId="0" fontId="1" fillId="6" borderId="4" xfId="0" applyFont="1" applyFill="1" applyBorder="1"/>
    <xf numFmtId="0" fontId="1" fillId="6" borderId="0" xfId="0" applyFont="1" applyFill="1"/>
    <xf numFmtId="0" fontId="1" fillId="6" borderId="1" xfId="0" applyFont="1" applyFill="1" applyBorder="1"/>
    <xf numFmtId="0" fontId="1" fillId="6" borderId="2" xfId="0" applyFont="1" applyFill="1" applyBorder="1"/>
    <xf numFmtId="2" fontId="1" fillId="6" borderId="2" xfId="0" applyNumberFormat="1" applyFont="1" applyFill="1" applyBorder="1"/>
    <xf numFmtId="0" fontId="1" fillId="6" borderId="3" xfId="0" applyFont="1" applyFill="1" applyBorder="1"/>
    <xf numFmtId="0" fontId="1" fillId="6" borderId="6" xfId="0" applyFont="1" applyFill="1" applyBorder="1"/>
    <xf numFmtId="0" fontId="1" fillId="6" borderId="7" xfId="0" applyFont="1" applyFill="1" applyBorder="1"/>
    <xf numFmtId="166" fontId="1" fillId="6" borderId="7" xfId="0" applyNumberFormat="1" applyFont="1" applyFill="1" applyBorder="1"/>
    <xf numFmtId="0" fontId="1" fillId="6" borderId="8" xfId="0" applyFont="1" applyFill="1" applyBorder="1"/>
    <xf numFmtId="166" fontId="1" fillId="6" borderId="2" xfId="0" applyNumberFormat="1" applyFont="1" applyFill="1" applyBorder="1"/>
    <xf numFmtId="166" fontId="1" fillId="6" borderId="0" xfId="0" applyNumberFormat="1" applyFont="1" applyFill="1"/>
    <xf numFmtId="0" fontId="1" fillId="6" borderId="5" xfId="0" applyFont="1" applyFill="1" applyBorder="1"/>
    <xf numFmtId="0" fontId="0" fillId="0" borderId="12" xfId="0" applyBorder="1"/>
    <xf numFmtId="0" fontId="0" fillId="4" borderId="13" xfId="0" applyFill="1" applyBorder="1"/>
    <xf numFmtId="0" fontId="0" fillId="4" borderId="14" xfId="0" applyFill="1" applyBorder="1"/>
    <xf numFmtId="0" fontId="0" fillId="0" borderId="2" xfId="0" applyBorder="1"/>
    <xf numFmtId="0" fontId="0" fillId="0" borderId="3" xfId="0" applyBorder="1"/>
    <xf numFmtId="0" fontId="0" fillId="0" borderId="1" xfId="0" applyBorder="1"/>
    <xf numFmtId="0" fontId="0" fillId="0" borderId="4" xfId="0" quotePrefix="1" applyBorder="1" applyAlignment="1">
      <alignment horizontal="left" indent="1"/>
    </xf>
    <xf numFmtId="0" fontId="0" fillId="0" borderId="4" xfId="0" quotePrefix="1" applyBorder="1"/>
    <xf numFmtId="0" fontId="8" fillId="6" borderId="0" xfId="0" applyFont="1" applyFill="1" applyAlignment="1">
      <alignment vertical="center"/>
    </xf>
    <xf numFmtId="0" fontId="1" fillId="6" borderId="0" xfId="0" applyFont="1" applyFill="1" applyAlignment="1">
      <alignment vertical="center"/>
    </xf>
    <xf numFmtId="0" fontId="1" fillId="6" borderId="5" xfId="0" applyFont="1" applyFill="1" applyBorder="1" applyAlignment="1">
      <alignment vertical="center"/>
    </xf>
    <xf numFmtId="0" fontId="7" fillId="6" borderId="4" xfId="0" applyFont="1" applyFill="1" applyBorder="1" applyAlignment="1">
      <alignment vertical="center"/>
    </xf>
    <xf numFmtId="0" fontId="1" fillId="2" borderId="5" xfId="0" applyFont="1" applyFill="1" applyBorder="1" applyAlignment="1">
      <alignment wrapText="1"/>
    </xf>
    <xf numFmtId="0" fontId="4" fillId="0" borderId="4" xfId="0" applyFont="1" applyBorder="1"/>
    <xf numFmtId="0" fontId="4" fillId="0" borderId="1" xfId="0" applyFont="1" applyBorder="1"/>
    <xf numFmtId="0" fontId="4" fillId="0" borderId="6" xfId="0" applyFont="1" applyBorder="1"/>
    <xf numFmtId="167" fontId="4" fillId="0" borderId="8" xfId="0" applyNumberFormat="1" applyFont="1" applyBorder="1"/>
    <xf numFmtId="49" fontId="0" fillId="0" borderId="0" xfId="0" applyNumberFormat="1"/>
    <xf numFmtId="49" fontId="4" fillId="0" borderId="3" xfId="0" applyNumberFormat="1" applyFont="1" applyBorder="1"/>
    <xf numFmtId="0" fontId="9" fillId="0" borderId="0" xfId="0" applyFont="1"/>
    <xf numFmtId="0" fontId="0" fillId="0" borderId="4" xfId="0" quotePrefix="1" applyBorder="1" applyAlignment="1">
      <alignment horizontal="left" wrapText="1"/>
    </xf>
    <xf numFmtId="0" fontId="0" fillId="0" borderId="0" xfId="0" quotePrefix="1" applyAlignment="1">
      <alignment horizontal="left" wrapText="1"/>
    </xf>
    <xf numFmtId="0" fontId="0" fillId="0" borderId="5" xfId="0" quotePrefix="1" applyBorder="1" applyAlignment="1">
      <alignment horizontal="left" wrapText="1"/>
    </xf>
    <xf numFmtId="0" fontId="0" fillId="0" borderId="4" xfId="0" applyBorder="1" applyAlignment="1">
      <alignment horizontal="center"/>
    </xf>
    <xf numFmtId="0" fontId="0" fillId="0" borderId="0" xfId="0" applyAlignment="1">
      <alignment horizontal="center"/>
    </xf>
    <xf numFmtId="0" fontId="7" fillId="6" borderId="12" xfId="0" applyFont="1" applyFill="1" applyBorder="1" applyAlignment="1">
      <alignment horizontal="left" vertical="center" indent="1"/>
    </xf>
    <xf numFmtId="0" fontId="7" fillId="6" borderId="13" xfId="0" applyFont="1" applyFill="1" applyBorder="1" applyAlignment="1">
      <alignment horizontal="left" vertical="center" indent="1"/>
    </xf>
    <xf numFmtId="0" fontId="7" fillId="6" borderId="12" xfId="0" applyFont="1" applyFill="1" applyBorder="1" applyAlignment="1">
      <alignment horizontal="left" vertical="center"/>
    </xf>
    <xf numFmtId="0" fontId="7" fillId="6" borderId="13" xfId="0" applyFont="1" applyFill="1" applyBorder="1" applyAlignment="1">
      <alignment horizontal="left" vertical="center"/>
    </xf>
    <xf numFmtId="0" fontId="7" fillId="6" borderId="14" xfId="0" applyFont="1" applyFill="1" applyBorder="1" applyAlignment="1">
      <alignment horizontal="left" vertical="center"/>
    </xf>
    <xf numFmtId="0" fontId="1" fillId="0" borderId="1" xfId="0" applyFont="1" applyBorder="1"/>
    <xf numFmtId="0" fontId="1" fillId="0" borderId="0" xfId="0" applyFont="1"/>
    <xf numFmtId="0" fontId="1" fillId="0" borderId="4" xfId="0" applyFont="1" applyBorder="1"/>
    <xf numFmtId="0" fontId="1" fillId="0" borderId="5" xfId="0" applyFont="1" applyBorder="1"/>
    <xf numFmtId="0" fontId="1" fillId="0" borderId="16" xfId="0" applyFont="1" applyBorder="1"/>
    <xf numFmtId="0" fontId="1" fillId="0" borderId="17" xfId="0" applyFont="1" applyBorder="1"/>
    <xf numFmtId="0" fontId="1" fillId="0" borderId="19" xfId="0" applyFont="1" applyBorder="1"/>
    <xf numFmtId="0" fontId="1" fillId="0" borderId="21" xfId="0" applyFont="1" applyBorder="1"/>
    <xf numFmtId="0" fontId="1" fillId="0" borderId="22" xfId="0" applyFont="1" applyBorder="1"/>
    <xf numFmtId="0" fontId="1" fillId="0" borderId="15" xfId="0" applyFont="1" applyBorder="1"/>
    <xf numFmtId="0" fontId="1" fillId="0" borderId="18" xfId="0" applyFont="1" applyBorder="1"/>
    <xf numFmtId="0" fontId="1" fillId="0" borderId="20" xfId="0" applyFont="1" applyBorder="1"/>
    <xf numFmtId="9" fontId="1" fillId="0" borderId="0" xfId="0" applyNumberFormat="1" applyFont="1"/>
    <xf numFmtId="164" fontId="1" fillId="0" borderId="0" xfId="0" applyNumberFormat="1" applyFont="1"/>
    <xf numFmtId="168" fontId="1" fillId="0" borderId="0" xfId="0" applyNumberFormat="1" applyFont="1" applyAlignment="1">
      <alignment horizontal="left" indent="3"/>
    </xf>
    <xf numFmtId="165" fontId="1" fillId="0" borderId="0" xfId="0" applyNumberFormat="1" applyFont="1"/>
    <xf numFmtId="0" fontId="1" fillId="0" borderId="16" xfId="0" applyFont="1" applyFill="1" applyBorder="1"/>
    <xf numFmtId="0" fontId="1" fillId="0" borderId="2" xfId="0" applyFont="1" applyFill="1" applyBorder="1"/>
    <xf numFmtId="0" fontId="1" fillId="0" borderId="3" xfId="0" applyFont="1" applyFill="1" applyBorder="1"/>
    <xf numFmtId="0" fontId="1" fillId="0" borderId="0" xfId="0" applyFont="1" applyAlignment="1">
      <alignment horizontal="left" indent="1"/>
    </xf>
    <xf numFmtId="0" fontId="1" fillId="0" borderId="0" xfId="0" applyFont="1" applyAlignment="1">
      <alignment horizontal="left"/>
    </xf>
    <xf numFmtId="0" fontId="1" fillId="0" borderId="0" xfId="0" applyFont="1" applyAlignment="1">
      <alignment horizontal="right" indent="1"/>
    </xf>
    <xf numFmtId="0" fontId="1" fillId="0" borderId="0" xfId="0" applyFont="1" applyAlignment="1">
      <alignment horizontal="right"/>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FF9900"/>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2628901</xdr:colOff>
      <xdr:row>0</xdr:row>
      <xdr:rowOff>114300</xdr:rowOff>
    </xdr:from>
    <xdr:to>
      <xdr:col>6</xdr:col>
      <xdr:colOff>4502913</xdr:colOff>
      <xdr:row>0</xdr:row>
      <xdr:rowOff>1017475</xdr:rowOff>
    </xdr:to>
    <xdr:pic>
      <xdr:nvPicPr>
        <xdr:cNvPr id="4" name="Google Shape;49;gaf347bd313_0_132" descr="A picture containing object, clock&#10;&#10;Description automatically generated">
          <a:extLst>
            <a:ext uri="{FF2B5EF4-FFF2-40B4-BE49-F238E27FC236}">
              <a16:creationId xmlns:a16="http://schemas.microsoft.com/office/drawing/2014/main" id="{76507473-F16A-45D9-B1F5-1D2A9730BE8F}"/>
            </a:ext>
          </a:extLst>
        </xdr:cNvPr>
        <xdr:cNvPicPr>
          <a:picLocks/>
        </xdr:cNvPicPr>
      </xdr:nvPicPr>
      <xdr:blipFill rotWithShape="1">
        <a:blip xmlns:r="http://schemas.openxmlformats.org/officeDocument/2006/relationships" r:embed="rId1" cstate="screen">
          <a:alphaModFix/>
          <a:extLst>
            <a:ext uri="{28A0092B-C50C-407E-A947-70E740481C1C}">
              <a14:useLocalDpi xmlns:a14="http://schemas.microsoft.com/office/drawing/2010/main"/>
            </a:ext>
          </a:extLst>
        </a:blip>
        <a:srcRect/>
        <a:stretch/>
      </xdr:blipFill>
      <xdr:spPr>
        <a:xfrm>
          <a:off x="6505576" y="114300"/>
          <a:ext cx="1877187" cy="900000"/>
        </a:xfrm>
        <a:prstGeom prst="rect">
          <a:avLst/>
        </a:prstGeom>
        <a:noFill/>
        <a:ln>
          <a:noFill/>
        </a:ln>
      </xdr:spPr>
    </xdr:pic>
    <xdr:clientData/>
  </xdr:twoCellAnchor>
  <xdr:twoCellAnchor editAs="oneCell">
    <xdr:from>
      <xdr:col>0</xdr:col>
      <xdr:colOff>152400</xdr:colOff>
      <xdr:row>0</xdr:row>
      <xdr:rowOff>98810</xdr:rowOff>
    </xdr:from>
    <xdr:to>
      <xdr:col>4</xdr:col>
      <xdr:colOff>290343</xdr:colOff>
      <xdr:row>0</xdr:row>
      <xdr:rowOff>1036399</xdr:rowOff>
    </xdr:to>
    <xdr:pic>
      <xdr:nvPicPr>
        <xdr:cNvPr id="3" name="Picture 2">
          <a:extLst>
            <a:ext uri="{FF2B5EF4-FFF2-40B4-BE49-F238E27FC236}">
              <a16:creationId xmlns:a16="http://schemas.microsoft.com/office/drawing/2014/main" id="{F5CEB299-2E8D-4257-9617-98C9DB476A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2400" y="98810"/>
          <a:ext cx="2933700" cy="940764"/>
        </a:xfrm>
        <a:prstGeom prst="rect">
          <a:avLst/>
        </a:prstGeom>
      </xdr:spPr>
    </xdr:pic>
    <xdr:clientData/>
  </xdr:twoCellAnchor>
  <xdr:twoCellAnchor editAs="oneCell">
    <xdr:from>
      <xdr:col>5</xdr:col>
      <xdr:colOff>247650</xdr:colOff>
      <xdr:row>0</xdr:row>
      <xdr:rowOff>9526</xdr:rowOff>
    </xdr:from>
    <xdr:to>
      <xdr:col>6</xdr:col>
      <xdr:colOff>2161225</xdr:colOff>
      <xdr:row>1</xdr:row>
      <xdr:rowOff>526</xdr:rowOff>
    </xdr:to>
    <xdr:pic>
      <xdr:nvPicPr>
        <xdr:cNvPr id="5" name="Picture 4">
          <a:extLst>
            <a:ext uri="{FF2B5EF4-FFF2-40B4-BE49-F238E27FC236}">
              <a16:creationId xmlns:a16="http://schemas.microsoft.com/office/drawing/2014/main" id="{B351A210-3D37-43EB-8F92-E108F5D4D27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514725" y="9526"/>
          <a:ext cx="2520000" cy="113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49481</xdr:colOff>
      <xdr:row>5</xdr:row>
      <xdr:rowOff>29158</xdr:rowOff>
    </xdr:from>
    <xdr:to>
      <xdr:col>11</xdr:col>
      <xdr:colOff>309254</xdr:colOff>
      <xdr:row>43</xdr:row>
      <xdr:rowOff>173165</xdr:rowOff>
    </xdr:to>
    <xdr:sp macro="" textlink="">
      <xdr:nvSpPr>
        <xdr:cNvPr id="56" name="Flowchart: Alternate Process 55">
          <a:extLst>
            <a:ext uri="{FF2B5EF4-FFF2-40B4-BE49-F238E27FC236}">
              <a16:creationId xmlns:a16="http://schemas.microsoft.com/office/drawing/2014/main" id="{0209E2DB-A11B-432E-9158-00CBF02124FD}"/>
            </a:ext>
          </a:extLst>
        </xdr:cNvPr>
        <xdr:cNvSpPr/>
      </xdr:nvSpPr>
      <xdr:spPr>
        <a:xfrm>
          <a:off x="8281802" y="2225740"/>
          <a:ext cx="5158345" cy="7462706"/>
        </a:xfrm>
        <a:prstGeom prst="flowChartAlternateProcess">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ctr"/>
          <a:endParaRPr lang="en-US" sz="1100">
            <a:solidFill>
              <a:sysClr val="windowText" lastClr="000000"/>
            </a:solidFill>
          </a:endParaRPr>
        </a:p>
        <a:p>
          <a:pPr algn="ctr"/>
          <a:endParaRPr lang="en-US" sz="1100">
            <a:solidFill>
              <a:sysClr val="windowText" lastClr="000000"/>
            </a:solidFill>
          </a:endParaRPr>
        </a:p>
        <a:p>
          <a:pPr algn="ctr"/>
          <a:endParaRPr lang="en-US" sz="1100">
            <a:solidFill>
              <a:sysClr val="windowText" lastClr="000000"/>
            </a:solidFill>
          </a:endParaRPr>
        </a:p>
        <a:p>
          <a:pPr algn="ctr"/>
          <a:r>
            <a:rPr lang="en-US" sz="2000">
              <a:solidFill>
                <a:sysClr val="windowText" lastClr="000000"/>
              </a:solidFill>
            </a:rPr>
            <a:t>Figure</a:t>
          </a:r>
          <a:r>
            <a:rPr lang="en-US" sz="2000" baseline="0">
              <a:solidFill>
                <a:sysClr val="windowText" lastClr="000000"/>
              </a:solidFill>
            </a:rPr>
            <a:t> 1. </a:t>
          </a:r>
          <a:endParaRPr lang="en-US" sz="2000">
            <a:solidFill>
              <a:sysClr val="windowText" lastClr="000000"/>
            </a:solidFill>
          </a:endParaRPr>
        </a:p>
      </xdr:txBody>
    </xdr:sp>
    <xdr:clientData/>
  </xdr:twoCellAnchor>
  <xdr:twoCellAnchor>
    <xdr:from>
      <xdr:col>5</xdr:col>
      <xdr:colOff>406359</xdr:colOff>
      <xdr:row>17</xdr:row>
      <xdr:rowOff>125001</xdr:rowOff>
    </xdr:from>
    <xdr:to>
      <xdr:col>6</xdr:col>
      <xdr:colOff>126854</xdr:colOff>
      <xdr:row>19</xdr:row>
      <xdr:rowOff>54654</xdr:rowOff>
    </xdr:to>
    <xdr:sp macro="" textlink="">
      <xdr:nvSpPr>
        <xdr:cNvPr id="2" name="Flowchart: Connector 1">
          <a:extLst>
            <a:ext uri="{FF2B5EF4-FFF2-40B4-BE49-F238E27FC236}">
              <a16:creationId xmlns:a16="http://schemas.microsoft.com/office/drawing/2014/main" id="{08A2D16C-3039-4B0B-9EE3-C13C49A80DA5}"/>
            </a:ext>
          </a:extLst>
        </xdr:cNvPr>
        <xdr:cNvSpPr/>
      </xdr:nvSpPr>
      <xdr:spPr>
        <a:xfrm>
          <a:off x="10685937" y="4936982"/>
          <a:ext cx="326631" cy="325497"/>
        </a:xfrm>
        <a:prstGeom prst="flowChartConnector">
          <a:avLst/>
        </a:prstGeom>
        <a:solidFill>
          <a:srgbClr val="FF990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1</a:t>
          </a:r>
        </a:p>
      </xdr:txBody>
    </xdr:sp>
    <xdr:clientData/>
  </xdr:twoCellAnchor>
  <xdr:twoCellAnchor>
    <xdr:from>
      <xdr:col>6</xdr:col>
      <xdr:colOff>44363</xdr:colOff>
      <xdr:row>10</xdr:row>
      <xdr:rowOff>4603</xdr:rowOff>
    </xdr:from>
    <xdr:to>
      <xdr:col>6</xdr:col>
      <xdr:colOff>374328</xdr:colOff>
      <xdr:row>12</xdr:row>
      <xdr:rowOff>7062</xdr:rowOff>
    </xdr:to>
    <xdr:sp macro="" textlink="">
      <xdr:nvSpPr>
        <xdr:cNvPr id="3" name="Flowchart: Connector 2">
          <a:extLst>
            <a:ext uri="{FF2B5EF4-FFF2-40B4-BE49-F238E27FC236}">
              <a16:creationId xmlns:a16="http://schemas.microsoft.com/office/drawing/2014/main" id="{FCC44B04-7D90-4F16-8404-26380385E1DA}"/>
            </a:ext>
          </a:extLst>
        </xdr:cNvPr>
        <xdr:cNvSpPr/>
      </xdr:nvSpPr>
      <xdr:spPr>
        <a:xfrm>
          <a:off x="10930077" y="3554830"/>
          <a:ext cx="329965" cy="311713"/>
        </a:xfrm>
        <a:prstGeom prst="flowChartConnector">
          <a:avLst/>
        </a:prstGeom>
        <a:solidFill>
          <a:schemeClr val="bg1">
            <a:lumMod val="65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t>0</a:t>
          </a:r>
        </a:p>
      </xdr:txBody>
    </xdr:sp>
    <xdr:clientData/>
  </xdr:twoCellAnchor>
  <xdr:twoCellAnchor>
    <xdr:from>
      <xdr:col>4</xdr:col>
      <xdr:colOff>585040</xdr:colOff>
      <xdr:row>26</xdr:row>
      <xdr:rowOff>143362</xdr:rowOff>
    </xdr:from>
    <xdr:to>
      <xdr:col>5</xdr:col>
      <xdr:colOff>305536</xdr:colOff>
      <xdr:row>28</xdr:row>
      <xdr:rowOff>95250</xdr:rowOff>
    </xdr:to>
    <xdr:sp macro="" textlink="">
      <xdr:nvSpPr>
        <xdr:cNvPr id="4" name="Flowchart: Connector 3">
          <a:extLst>
            <a:ext uri="{FF2B5EF4-FFF2-40B4-BE49-F238E27FC236}">
              <a16:creationId xmlns:a16="http://schemas.microsoft.com/office/drawing/2014/main" id="{51B0FBE8-D8F3-40A0-82C4-86DE92C4F660}"/>
            </a:ext>
          </a:extLst>
        </xdr:cNvPr>
        <xdr:cNvSpPr/>
      </xdr:nvSpPr>
      <xdr:spPr>
        <a:xfrm>
          <a:off x="9433765" y="6353662"/>
          <a:ext cx="330096" cy="332888"/>
        </a:xfrm>
        <a:prstGeom prst="flowChartConnector">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2</a:t>
          </a:r>
        </a:p>
      </xdr:txBody>
    </xdr:sp>
    <xdr:clientData/>
  </xdr:twoCellAnchor>
  <xdr:twoCellAnchor>
    <xdr:from>
      <xdr:col>6</xdr:col>
      <xdr:colOff>255173</xdr:colOff>
      <xdr:row>26</xdr:row>
      <xdr:rowOff>152673</xdr:rowOff>
    </xdr:from>
    <xdr:to>
      <xdr:col>6</xdr:col>
      <xdr:colOff>585138</xdr:colOff>
      <xdr:row>28</xdr:row>
      <xdr:rowOff>85725</xdr:rowOff>
    </xdr:to>
    <xdr:sp macro="" textlink="">
      <xdr:nvSpPr>
        <xdr:cNvPr id="5" name="Flowchart: Connector 4">
          <a:extLst>
            <a:ext uri="{FF2B5EF4-FFF2-40B4-BE49-F238E27FC236}">
              <a16:creationId xmlns:a16="http://schemas.microsoft.com/office/drawing/2014/main" id="{0A1E2D8D-0578-4473-9D55-75093D7DBB89}"/>
            </a:ext>
          </a:extLst>
        </xdr:cNvPr>
        <xdr:cNvSpPr/>
      </xdr:nvSpPr>
      <xdr:spPr>
        <a:xfrm>
          <a:off x="10323098" y="6362973"/>
          <a:ext cx="329965" cy="314052"/>
        </a:xfrm>
        <a:prstGeom prst="flowChartConnector">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2</a:t>
          </a:r>
        </a:p>
      </xdr:txBody>
    </xdr:sp>
    <xdr:clientData/>
  </xdr:twoCellAnchor>
  <xdr:twoCellAnchor>
    <xdr:from>
      <xdr:col>5</xdr:col>
      <xdr:colOff>571341</xdr:colOff>
      <xdr:row>12</xdr:row>
      <xdr:rowOff>7062</xdr:rowOff>
    </xdr:from>
    <xdr:to>
      <xdr:col>6</xdr:col>
      <xdr:colOff>209345</xdr:colOff>
      <xdr:row>17</xdr:row>
      <xdr:rowOff>125001</xdr:rowOff>
    </xdr:to>
    <xdr:cxnSp macro="">
      <xdr:nvCxnSpPr>
        <xdr:cNvPr id="7" name="Straight Connector 6">
          <a:extLst>
            <a:ext uri="{FF2B5EF4-FFF2-40B4-BE49-F238E27FC236}">
              <a16:creationId xmlns:a16="http://schemas.microsoft.com/office/drawing/2014/main" id="{C519427F-8BDD-46EB-A09D-4ECEFC64655D}"/>
            </a:ext>
          </a:extLst>
        </xdr:cNvPr>
        <xdr:cNvCxnSpPr>
          <a:stCxn id="3" idx="4"/>
          <a:endCxn id="2" idx="0"/>
        </xdr:cNvCxnSpPr>
      </xdr:nvCxnSpPr>
      <xdr:spPr>
        <a:xfrm flipH="1">
          <a:off x="10850919" y="3866543"/>
          <a:ext cx="244140" cy="1070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326005</xdr:colOff>
      <xdr:row>11</xdr:row>
      <xdr:rowOff>132523</xdr:rowOff>
    </xdr:from>
    <xdr:to>
      <xdr:col>7</xdr:col>
      <xdr:colOff>51488</xdr:colOff>
      <xdr:row>17</xdr:row>
      <xdr:rowOff>175448</xdr:rowOff>
    </xdr:to>
    <xdr:cxnSp macro="">
      <xdr:nvCxnSpPr>
        <xdr:cNvPr id="9" name="Straight Connector 8">
          <a:extLst>
            <a:ext uri="{FF2B5EF4-FFF2-40B4-BE49-F238E27FC236}">
              <a16:creationId xmlns:a16="http://schemas.microsoft.com/office/drawing/2014/main" id="{DDA25810-017B-4326-9D08-39ED3D557F98}"/>
            </a:ext>
          </a:extLst>
        </xdr:cNvPr>
        <xdr:cNvCxnSpPr>
          <a:stCxn id="3" idx="5"/>
          <a:endCxn id="10" idx="1"/>
        </xdr:cNvCxnSpPr>
      </xdr:nvCxnSpPr>
      <xdr:spPr>
        <a:xfrm>
          <a:off x="11211719" y="3818822"/>
          <a:ext cx="331620" cy="116860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3165</xdr:colOff>
      <xdr:row>17</xdr:row>
      <xdr:rowOff>125000</xdr:rowOff>
    </xdr:from>
    <xdr:to>
      <xdr:col>7</xdr:col>
      <xdr:colOff>333130</xdr:colOff>
      <xdr:row>19</xdr:row>
      <xdr:rowOff>63963</xdr:rowOff>
    </xdr:to>
    <xdr:sp macro="" textlink="">
      <xdr:nvSpPr>
        <xdr:cNvPr id="10" name="Flowchart: Connector 9">
          <a:extLst>
            <a:ext uri="{FF2B5EF4-FFF2-40B4-BE49-F238E27FC236}">
              <a16:creationId xmlns:a16="http://schemas.microsoft.com/office/drawing/2014/main" id="{F71A418B-5050-4505-A175-A8B2711CB115}"/>
            </a:ext>
          </a:extLst>
        </xdr:cNvPr>
        <xdr:cNvSpPr/>
      </xdr:nvSpPr>
      <xdr:spPr>
        <a:xfrm>
          <a:off x="11495016" y="4936981"/>
          <a:ext cx="329965" cy="334807"/>
        </a:xfrm>
        <a:prstGeom prst="flowChartConnector">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a:t>
          </a:r>
        </a:p>
      </xdr:txBody>
    </xdr:sp>
    <xdr:clientData/>
  </xdr:twoCellAnchor>
  <xdr:twoCellAnchor>
    <xdr:from>
      <xdr:col>4</xdr:col>
      <xdr:colOff>71762</xdr:colOff>
      <xdr:row>31</xdr:row>
      <xdr:rowOff>19188</xdr:rowOff>
    </xdr:from>
    <xdr:to>
      <xdr:col>4</xdr:col>
      <xdr:colOff>401727</xdr:colOff>
      <xdr:row>32</xdr:row>
      <xdr:rowOff>146074</xdr:rowOff>
    </xdr:to>
    <xdr:sp macro="" textlink="">
      <xdr:nvSpPr>
        <xdr:cNvPr id="14" name="Flowchart: Connector 13">
          <a:extLst>
            <a:ext uri="{FF2B5EF4-FFF2-40B4-BE49-F238E27FC236}">
              <a16:creationId xmlns:a16="http://schemas.microsoft.com/office/drawing/2014/main" id="{7678CB81-064F-4AFB-AF8A-6D152B433587}"/>
            </a:ext>
          </a:extLst>
        </xdr:cNvPr>
        <xdr:cNvSpPr/>
      </xdr:nvSpPr>
      <xdr:spPr>
        <a:xfrm>
          <a:off x="9745204" y="7379415"/>
          <a:ext cx="329965" cy="312438"/>
        </a:xfrm>
        <a:prstGeom prst="flowChartConnector">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3</a:t>
          </a:r>
        </a:p>
      </xdr:txBody>
    </xdr:sp>
    <xdr:clientData/>
  </xdr:twoCellAnchor>
  <xdr:twoCellAnchor>
    <xdr:from>
      <xdr:col>5</xdr:col>
      <xdr:colOff>296370</xdr:colOff>
      <xdr:row>31</xdr:row>
      <xdr:rowOff>19188</xdr:rowOff>
    </xdr:from>
    <xdr:to>
      <xdr:col>6</xdr:col>
      <xdr:colOff>16865</xdr:colOff>
      <xdr:row>32</xdr:row>
      <xdr:rowOff>146074</xdr:rowOff>
    </xdr:to>
    <xdr:sp macro="" textlink="">
      <xdr:nvSpPr>
        <xdr:cNvPr id="15" name="Flowchart: Connector 14">
          <a:extLst>
            <a:ext uri="{FF2B5EF4-FFF2-40B4-BE49-F238E27FC236}">
              <a16:creationId xmlns:a16="http://schemas.microsoft.com/office/drawing/2014/main" id="{1B46EDE3-80FD-4B82-9CBF-0C5B3AACC3AE}"/>
            </a:ext>
          </a:extLst>
        </xdr:cNvPr>
        <xdr:cNvSpPr/>
      </xdr:nvSpPr>
      <xdr:spPr>
        <a:xfrm>
          <a:off x="10575948" y="7379415"/>
          <a:ext cx="326631" cy="312438"/>
        </a:xfrm>
        <a:prstGeom prst="flowChartConnector">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3</a:t>
          </a:r>
        </a:p>
      </xdr:txBody>
    </xdr:sp>
    <xdr:clientData/>
  </xdr:twoCellAnchor>
  <xdr:twoCellAnchor>
    <xdr:from>
      <xdr:col>7</xdr:col>
      <xdr:colOff>85656</xdr:colOff>
      <xdr:row>31</xdr:row>
      <xdr:rowOff>9878</xdr:rowOff>
    </xdr:from>
    <xdr:to>
      <xdr:col>7</xdr:col>
      <xdr:colOff>415621</xdr:colOff>
      <xdr:row>32</xdr:row>
      <xdr:rowOff>158166</xdr:rowOff>
    </xdr:to>
    <xdr:sp macro="" textlink="">
      <xdr:nvSpPr>
        <xdr:cNvPr id="16" name="Flowchart: Connector 15">
          <a:extLst>
            <a:ext uri="{FF2B5EF4-FFF2-40B4-BE49-F238E27FC236}">
              <a16:creationId xmlns:a16="http://schemas.microsoft.com/office/drawing/2014/main" id="{5C0F3219-BBBB-4E96-A3B8-E3A7D53188B2}"/>
            </a:ext>
          </a:extLst>
        </xdr:cNvPr>
        <xdr:cNvSpPr/>
      </xdr:nvSpPr>
      <xdr:spPr>
        <a:xfrm>
          <a:off x="11577507" y="7370105"/>
          <a:ext cx="329965" cy="333840"/>
        </a:xfrm>
        <a:prstGeom prst="flowChartConnector">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3</a:t>
          </a:r>
        </a:p>
      </xdr:txBody>
    </xdr:sp>
    <xdr:clientData/>
  </xdr:twoCellAnchor>
  <xdr:twoCellAnchor>
    <xdr:from>
      <xdr:col>8</xdr:col>
      <xdr:colOff>191111</xdr:colOff>
      <xdr:row>31</xdr:row>
      <xdr:rowOff>9878</xdr:rowOff>
    </xdr:from>
    <xdr:to>
      <xdr:col>8</xdr:col>
      <xdr:colOff>521076</xdr:colOff>
      <xdr:row>32</xdr:row>
      <xdr:rowOff>146075</xdr:rowOff>
    </xdr:to>
    <xdr:sp macro="" textlink="">
      <xdr:nvSpPr>
        <xdr:cNvPr id="17" name="Flowchart: Connector 16">
          <a:extLst>
            <a:ext uri="{FF2B5EF4-FFF2-40B4-BE49-F238E27FC236}">
              <a16:creationId xmlns:a16="http://schemas.microsoft.com/office/drawing/2014/main" id="{5417EA9D-49D4-4923-BA1F-3D52153D1B1C}"/>
            </a:ext>
          </a:extLst>
        </xdr:cNvPr>
        <xdr:cNvSpPr/>
      </xdr:nvSpPr>
      <xdr:spPr>
        <a:xfrm>
          <a:off x="12289098" y="7370105"/>
          <a:ext cx="329965" cy="321749"/>
        </a:xfrm>
        <a:prstGeom prst="flowChartConnector">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3</a:t>
          </a:r>
        </a:p>
      </xdr:txBody>
    </xdr:sp>
    <xdr:clientData/>
  </xdr:twoCellAnchor>
  <xdr:twoCellAnchor>
    <xdr:from>
      <xdr:col>4</xdr:col>
      <xdr:colOff>282572</xdr:colOff>
      <xdr:row>17</xdr:row>
      <xdr:rowOff>134311</xdr:rowOff>
    </xdr:from>
    <xdr:to>
      <xdr:col>5</xdr:col>
      <xdr:colOff>6401</xdr:colOff>
      <xdr:row>19</xdr:row>
      <xdr:rowOff>63964</xdr:rowOff>
    </xdr:to>
    <xdr:sp macro="" textlink="">
      <xdr:nvSpPr>
        <xdr:cNvPr id="18" name="Flowchart: Connector 17">
          <a:extLst>
            <a:ext uri="{FF2B5EF4-FFF2-40B4-BE49-F238E27FC236}">
              <a16:creationId xmlns:a16="http://schemas.microsoft.com/office/drawing/2014/main" id="{28FFAA50-6CAD-4F64-BC4E-DD44E81CCAD6}"/>
            </a:ext>
          </a:extLst>
        </xdr:cNvPr>
        <xdr:cNvSpPr/>
      </xdr:nvSpPr>
      <xdr:spPr>
        <a:xfrm>
          <a:off x="9956014" y="4946292"/>
          <a:ext cx="329965" cy="325497"/>
        </a:xfrm>
        <a:prstGeom prst="flowChartConnector">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a:t>
          </a:r>
        </a:p>
      </xdr:txBody>
    </xdr:sp>
    <xdr:clientData/>
  </xdr:twoCellAnchor>
  <xdr:twoCellAnchor>
    <xdr:from>
      <xdr:col>4</xdr:col>
      <xdr:colOff>564214</xdr:colOff>
      <xdr:row>11</xdr:row>
      <xdr:rowOff>132523</xdr:rowOff>
    </xdr:from>
    <xdr:to>
      <xdr:col>6</xdr:col>
      <xdr:colOff>92685</xdr:colOff>
      <xdr:row>17</xdr:row>
      <xdr:rowOff>183397</xdr:rowOff>
    </xdr:to>
    <xdr:cxnSp macro="">
      <xdr:nvCxnSpPr>
        <xdr:cNvPr id="20" name="Straight Connector 19">
          <a:extLst>
            <a:ext uri="{FF2B5EF4-FFF2-40B4-BE49-F238E27FC236}">
              <a16:creationId xmlns:a16="http://schemas.microsoft.com/office/drawing/2014/main" id="{0DF704EE-AC25-4CE5-8960-B3FC8E7EC8E4}"/>
            </a:ext>
          </a:extLst>
        </xdr:cNvPr>
        <xdr:cNvCxnSpPr>
          <a:stCxn id="18" idx="7"/>
          <a:endCxn id="3" idx="3"/>
        </xdr:cNvCxnSpPr>
      </xdr:nvCxnSpPr>
      <xdr:spPr>
        <a:xfrm flipV="1">
          <a:off x="10237656" y="3818822"/>
          <a:ext cx="740743" cy="117655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140488</xdr:colOff>
      <xdr:row>19</xdr:row>
      <xdr:rowOff>6370</xdr:rowOff>
    </xdr:from>
    <xdr:to>
      <xdr:col>5</xdr:col>
      <xdr:colOff>454700</xdr:colOff>
      <xdr:row>26</xdr:row>
      <xdr:rowOff>143362</xdr:rowOff>
    </xdr:to>
    <xdr:cxnSp macro="">
      <xdr:nvCxnSpPr>
        <xdr:cNvPr id="22" name="Straight Connector 21">
          <a:extLst>
            <a:ext uri="{FF2B5EF4-FFF2-40B4-BE49-F238E27FC236}">
              <a16:creationId xmlns:a16="http://schemas.microsoft.com/office/drawing/2014/main" id="{006DBB85-FE76-4388-AF6A-B51CABC0C170}"/>
            </a:ext>
          </a:extLst>
        </xdr:cNvPr>
        <xdr:cNvCxnSpPr>
          <a:stCxn id="4" idx="0"/>
          <a:endCxn id="2" idx="3"/>
        </xdr:cNvCxnSpPr>
      </xdr:nvCxnSpPr>
      <xdr:spPr>
        <a:xfrm flipV="1">
          <a:off x="9598813" y="4959370"/>
          <a:ext cx="314212" cy="139429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78513</xdr:colOff>
      <xdr:row>19</xdr:row>
      <xdr:rowOff>6370</xdr:rowOff>
    </xdr:from>
    <xdr:to>
      <xdr:col>6</xdr:col>
      <xdr:colOff>303495</xdr:colOff>
      <xdr:row>27</xdr:row>
      <xdr:rowOff>8165</xdr:rowOff>
    </xdr:to>
    <xdr:cxnSp macro="">
      <xdr:nvCxnSpPr>
        <xdr:cNvPr id="24" name="Straight Connector 23">
          <a:extLst>
            <a:ext uri="{FF2B5EF4-FFF2-40B4-BE49-F238E27FC236}">
              <a16:creationId xmlns:a16="http://schemas.microsoft.com/office/drawing/2014/main" id="{10134A94-26C2-4575-9CD6-3960DAA9B877}"/>
            </a:ext>
          </a:extLst>
        </xdr:cNvPr>
        <xdr:cNvCxnSpPr>
          <a:stCxn id="2" idx="5"/>
          <a:endCxn id="5" idx="1"/>
        </xdr:cNvCxnSpPr>
      </xdr:nvCxnSpPr>
      <xdr:spPr>
        <a:xfrm>
          <a:off x="10146438" y="4959370"/>
          <a:ext cx="224982" cy="144959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305439</xdr:colOff>
      <xdr:row>34</xdr:row>
      <xdr:rowOff>162028</xdr:rowOff>
    </xdr:from>
    <xdr:to>
      <xdr:col>4</xdr:col>
      <xdr:colOff>29624</xdr:colOff>
      <xdr:row>36</xdr:row>
      <xdr:rowOff>136071</xdr:rowOff>
    </xdr:to>
    <xdr:sp macro="" textlink="">
      <xdr:nvSpPr>
        <xdr:cNvPr id="25" name="Flowchart: Connector 24">
          <a:extLst>
            <a:ext uri="{FF2B5EF4-FFF2-40B4-BE49-F238E27FC236}">
              <a16:creationId xmlns:a16="http://schemas.microsoft.com/office/drawing/2014/main" id="{908AB0DF-B9A3-4AB1-A7C2-4E831D57CD0E}"/>
            </a:ext>
          </a:extLst>
        </xdr:cNvPr>
        <xdr:cNvSpPr/>
      </xdr:nvSpPr>
      <xdr:spPr>
        <a:xfrm>
          <a:off x="9372744" y="7992320"/>
          <a:ext cx="330322" cy="345147"/>
        </a:xfrm>
        <a:prstGeom prst="flowChartConnector">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4</a:t>
          </a:r>
        </a:p>
      </xdr:txBody>
    </xdr:sp>
    <xdr:clientData/>
  </xdr:twoCellAnchor>
  <xdr:twoCellAnchor>
    <xdr:from>
      <xdr:col>5</xdr:col>
      <xdr:colOff>39731</xdr:colOff>
      <xdr:row>34</xdr:row>
      <xdr:rowOff>152718</xdr:rowOff>
    </xdr:from>
    <xdr:to>
      <xdr:col>5</xdr:col>
      <xdr:colOff>363863</xdr:colOff>
      <xdr:row>36</xdr:row>
      <xdr:rowOff>124039</xdr:rowOff>
    </xdr:to>
    <xdr:sp macro="" textlink="">
      <xdr:nvSpPr>
        <xdr:cNvPr id="26" name="Flowchart: Connector 25">
          <a:extLst>
            <a:ext uri="{FF2B5EF4-FFF2-40B4-BE49-F238E27FC236}">
              <a16:creationId xmlns:a16="http://schemas.microsoft.com/office/drawing/2014/main" id="{DC4FE934-FB3D-4EAA-ACB0-58DC27E395A1}"/>
            </a:ext>
          </a:extLst>
        </xdr:cNvPr>
        <xdr:cNvSpPr/>
      </xdr:nvSpPr>
      <xdr:spPr>
        <a:xfrm>
          <a:off x="10319309" y="7983010"/>
          <a:ext cx="324132" cy="342425"/>
        </a:xfrm>
        <a:prstGeom prst="flowChartConnector">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4</a:t>
          </a:r>
        </a:p>
      </xdr:txBody>
    </xdr:sp>
    <xdr:clientData/>
  </xdr:twoCellAnchor>
  <xdr:twoCellAnchor>
    <xdr:from>
      <xdr:col>6</xdr:col>
      <xdr:colOff>203455</xdr:colOff>
      <xdr:row>34</xdr:row>
      <xdr:rowOff>143408</xdr:rowOff>
    </xdr:from>
    <xdr:to>
      <xdr:col>6</xdr:col>
      <xdr:colOff>534492</xdr:colOff>
      <xdr:row>36</xdr:row>
      <xdr:rowOff>107110</xdr:rowOff>
    </xdr:to>
    <xdr:sp macro="" textlink="">
      <xdr:nvSpPr>
        <xdr:cNvPr id="27" name="Flowchart: Connector 26">
          <a:extLst>
            <a:ext uri="{FF2B5EF4-FFF2-40B4-BE49-F238E27FC236}">
              <a16:creationId xmlns:a16="http://schemas.microsoft.com/office/drawing/2014/main" id="{7F6BA05C-2E30-4436-B0E2-BA2946A9CBAB}"/>
            </a:ext>
          </a:extLst>
        </xdr:cNvPr>
        <xdr:cNvSpPr/>
      </xdr:nvSpPr>
      <xdr:spPr>
        <a:xfrm>
          <a:off x="11089169" y="7973700"/>
          <a:ext cx="331037" cy="334806"/>
        </a:xfrm>
        <a:prstGeom prst="flowChartConnector">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4</a:t>
          </a:r>
        </a:p>
      </xdr:txBody>
    </xdr:sp>
    <xdr:clientData/>
  </xdr:twoCellAnchor>
  <xdr:twoCellAnchor>
    <xdr:from>
      <xdr:col>4</xdr:col>
      <xdr:colOff>353405</xdr:colOff>
      <xdr:row>28</xdr:row>
      <xdr:rowOff>46500</xdr:rowOff>
    </xdr:from>
    <xdr:to>
      <xdr:col>5</xdr:col>
      <xdr:colOff>23781</xdr:colOff>
      <xdr:row>31</xdr:row>
      <xdr:rowOff>65668</xdr:rowOff>
    </xdr:to>
    <xdr:cxnSp macro="">
      <xdr:nvCxnSpPr>
        <xdr:cNvPr id="30" name="Straight Connector 29">
          <a:extLst>
            <a:ext uri="{FF2B5EF4-FFF2-40B4-BE49-F238E27FC236}">
              <a16:creationId xmlns:a16="http://schemas.microsoft.com/office/drawing/2014/main" id="{624C6244-3994-42FB-BA8F-603AE0A0F9A6}"/>
            </a:ext>
          </a:extLst>
        </xdr:cNvPr>
        <xdr:cNvCxnSpPr>
          <a:stCxn id="14" idx="7"/>
          <a:endCxn id="4" idx="3"/>
        </xdr:cNvCxnSpPr>
      </xdr:nvCxnSpPr>
      <xdr:spPr>
        <a:xfrm flipV="1">
          <a:off x="9202130" y="6637800"/>
          <a:ext cx="279976" cy="59066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140488</xdr:colOff>
      <xdr:row>28</xdr:row>
      <xdr:rowOff>95250</xdr:rowOff>
    </xdr:from>
    <xdr:to>
      <xdr:col>5</xdr:col>
      <xdr:colOff>461418</xdr:colOff>
      <xdr:row>31</xdr:row>
      <xdr:rowOff>19188</xdr:rowOff>
    </xdr:to>
    <xdr:cxnSp macro="">
      <xdr:nvCxnSpPr>
        <xdr:cNvPr id="32" name="Straight Connector 31">
          <a:extLst>
            <a:ext uri="{FF2B5EF4-FFF2-40B4-BE49-F238E27FC236}">
              <a16:creationId xmlns:a16="http://schemas.microsoft.com/office/drawing/2014/main" id="{B64E82AA-7F18-45F0-8C1D-9ECA5337FABB}"/>
            </a:ext>
          </a:extLst>
        </xdr:cNvPr>
        <xdr:cNvCxnSpPr>
          <a:stCxn id="4" idx="4"/>
          <a:endCxn id="15" idx="0"/>
        </xdr:cNvCxnSpPr>
      </xdr:nvCxnSpPr>
      <xdr:spPr>
        <a:xfrm>
          <a:off x="9598813" y="6686550"/>
          <a:ext cx="320930" cy="49543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420156</xdr:colOff>
      <xdr:row>28</xdr:row>
      <xdr:rowOff>85725</xdr:rowOff>
    </xdr:from>
    <xdr:to>
      <xdr:col>7</xdr:col>
      <xdr:colOff>133978</xdr:colOff>
      <xdr:row>31</xdr:row>
      <xdr:rowOff>59492</xdr:rowOff>
    </xdr:to>
    <xdr:cxnSp macro="">
      <xdr:nvCxnSpPr>
        <xdr:cNvPr id="34" name="Straight Connector 33">
          <a:extLst>
            <a:ext uri="{FF2B5EF4-FFF2-40B4-BE49-F238E27FC236}">
              <a16:creationId xmlns:a16="http://schemas.microsoft.com/office/drawing/2014/main" id="{7858DC27-D6A7-4A16-8782-6DB4A939394E}"/>
            </a:ext>
          </a:extLst>
        </xdr:cNvPr>
        <xdr:cNvCxnSpPr>
          <a:stCxn id="5" idx="4"/>
          <a:endCxn id="16" idx="1"/>
        </xdr:cNvCxnSpPr>
      </xdr:nvCxnSpPr>
      <xdr:spPr>
        <a:xfrm>
          <a:off x="10488081" y="6677025"/>
          <a:ext cx="323422" cy="54526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536816</xdr:colOff>
      <xdr:row>28</xdr:row>
      <xdr:rowOff>39733</xdr:rowOff>
    </xdr:from>
    <xdr:to>
      <xdr:col>8</xdr:col>
      <xdr:colOff>239433</xdr:colOff>
      <xdr:row>31</xdr:row>
      <xdr:rowOff>57722</xdr:rowOff>
    </xdr:to>
    <xdr:cxnSp macro="">
      <xdr:nvCxnSpPr>
        <xdr:cNvPr id="36" name="Straight Connector 35">
          <a:extLst>
            <a:ext uri="{FF2B5EF4-FFF2-40B4-BE49-F238E27FC236}">
              <a16:creationId xmlns:a16="http://schemas.microsoft.com/office/drawing/2014/main" id="{0D0AA275-35B6-4243-9232-91C362E37024}"/>
            </a:ext>
          </a:extLst>
        </xdr:cNvPr>
        <xdr:cNvCxnSpPr>
          <a:stCxn id="5" idx="5"/>
          <a:endCxn id="17" idx="1"/>
        </xdr:cNvCxnSpPr>
      </xdr:nvCxnSpPr>
      <xdr:spPr>
        <a:xfrm>
          <a:off x="10604741" y="6631033"/>
          <a:ext cx="921817" cy="58948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470600</xdr:colOff>
      <xdr:row>32</xdr:row>
      <xdr:rowOff>100319</xdr:rowOff>
    </xdr:from>
    <xdr:to>
      <xdr:col>4</xdr:col>
      <xdr:colOff>120084</xdr:colOff>
      <xdr:row>34</xdr:row>
      <xdr:rowOff>162028</xdr:rowOff>
    </xdr:to>
    <xdr:cxnSp macro="">
      <xdr:nvCxnSpPr>
        <xdr:cNvPr id="38" name="Straight Connector 37">
          <a:extLst>
            <a:ext uri="{FF2B5EF4-FFF2-40B4-BE49-F238E27FC236}">
              <a16:creationId xmlns:a16="http://schemas.microsoft.com/office/drawing/2014/main" id="{F3091B87-2A6A-445B-A033-98C1E7071A90}"/>
            </a:ext>
          </a:extLst>
        </xdr:cNvPr>
        <xdr:cNvCxnSpPr>
          <a:stCxn id="25" idx="0"/>
          <a:endCxn id="14" idx="3"/>
        </xdr:cNvCxnSpPr>
      </xdr:nvCxnSpPr>
      <xdr:spPr>
        <a:xfrm flipV="1">
          <a:off x="9537905" y="7646098"/>
          <a:ext cx="255621" cy="3462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353404</xdr:colOff>
      <xdr:row>32</xdr:row>
      <xdr:rowOff>100318</xdr:rowOff>
    </xdr:from>
    <xdr:to>
      <xdr:col>5</xdr:col>
      <xdr:colOff>87200</xdr:colOff>
      <xdr:row>35</xdr:row>
      <xdr:rowOff>17313</xdr:rowOff>
    </xdr:to>
    <xdr:cxnSp macro="">
      <xdr:nvCxnSpPr>
        <xdr:cNvPr id="40" name="Straight Connector 39">
          <a:extLst>
            <a:ext uri="{FF2B5EF4-FFF2-40B4-BE49-F238E27FC236}">
              <a16:creationId xmlns:a16="http://schemas.microsoft.com/office/drawing/2014/main" id="{0FAF8EB4-546F-442E-B4BD-2E89E7C53A2A}"/>
            </a:ext>
          </a:extLst>
        </xdr:cNvPr>
        <xdr:cNvCxnSpPr>
          <a:stCxn id="14" idx="5"/>
          <a:endCxn id="26" idx="1"/>
        </xdr:cNvCxnSpPr>
      </xdr:nvCxnSpPr>
      <xdr:spPr>
        <a:xfrm>
          <a:off x="10026846" y="7646097"/>
          <a:ext cx="339932" cy="38706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486013</xdr:colOff>
      <xdr:row>32</xdr:row>
      <xdr:rowOff>158166</xdr:rowOff>
    </xdr:from>
    <xdr:to>
      <xdr:col>7</xdr:col>
      <xdr:colOff>250639</xdr:colOff>
      <xdr:row>35</xdr:row>
      <xdr:rowOff>6887</xdr:rowOff>
    </xdr:to>
    <xdr:cxnSp macro="">
      <xdr:nvCxnSpPr>
        <xdr:cNvPr id="42" name="Straight Connector 41">
          <a:extLst>
            <a:ext uri="{FF2B5EF4-FFF2-40B4-BE49-F238E27FC236}">
              <a16:creationId xmlns:a16="http://schemas.microsoft.com/office/drawing/2014/main" id="{1D31586C-6AAD-4943-B4F3-A839CCD275F8}"/>
            </a:ext>
          </a:extLst>
        </xdr:cNvPr>
        <xdr:cNvCxnSpPr>
          <a:stCxn id="16" idx="4"/>
          <a:endCxn id="27" idx="7"/>
        </xdr:cNvCxnSpPr>
      </xdr:nvCxnSpPr>
      <xdr:spPr>
        <a:xfrm flipH="1">
          <a:off x="11371727" y="7703945"/>
          <a:ext cx="370763" cy="3187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534775</xdr:colOff>
      <xdr:row>12</xdr:row>
      <xdr:rowOff>200401</xdr:rowOff>
    </xdr:from>
    <xdr:to>
      <xdr:col>11</xdr:col>
      <xdr:colOff>98962</xdr:colOff>
      <xdr:row>17</xdr:row>
      <xdr:rowOff>78449</xdr:rowOff>
    </xdr:to>
    <xdr:sp macro="" textlink="">
      <xdr:nvSpPr>
        <xdr:cNvPr id="45" name="Callout: Line 44">
          <a:extLst>
            <a:ext uri="{FF2B5EF4-FFF2-40B4-BE49-F238E27FC236}">
              <a16:creationId xmlns:a16="http://schemas.microsoft.com/office/drawing/2014/main" id="{B80F50C7-8AD1-427D-A22D-CDCCFD75C3F4}"/>
            </a:ext>
          </a:extLst>
        </xdr:cNvPr>
        <xdr:cNvSpPr/>
      </xdr:nvSpPr>
      <xdr:spPr>
        <a:xfrm>
          <a:off x="12026626" y="4059882"/>
          <a:ext cx="1988732" cy="830548"/>
        </a:xfrm>
        <a:prstGeom prst="borderCallout1">
          <a:avLst>
            <a:gd name="adj1" fmla="val 37500"/>
            <a:gd name="adj2" fmla="val -641"/>
            <a:gd name="adj3" fmla="val 109960"/>
            <a:gd name="adj4" fmla="val -51983"/>
          </a:avLst>
        </a:prstGeom>
        <a:solidFill>
          <a:schemeClr val="tx1"/>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Node Under Investigation (NUI)</a:t>
          </a:r>
        </a:p>
        <a:p>
          <a:pPr algn="l"/>
          <a:endParaRPr lang="en-US" sz="1100"/>
        </a:p>
      </xdr:txBody>
    </xdr:sp>
    <xdr:clientData/>
  </xdr:twoCellAnchor>
  <xdr:twoCellAnchor>
    <xdr:from>
      <xdr:col>8</xdr:col>
      <xdr:colOff>126951</xdr:colOff>
      <xdr:row>9</xdr:row>
      <xdr:rowOff>0</xdr:rowOff>
    </xdr:from>
    <xdr:to>
      <xdr:col>11</xdr:col>
      <xdr:colOff>74221</xdr:colOff>
      <xdr:row>10</xdr:row>
      <xdr:rowOff>8835</xdr:rowOff>
    </xdr:to>
    <xdr:sp macro="" textlink="">
      <xdr:nvSpPr>
        <xdr:cNvPr id="46" name="Callout: Line 45">
          <a:extLst>
            <a:ext uri="{FF2B5EF4-FFF2-40B4-BE49-F238E27FC236}">
              <a16:creationId xmlns:a16="http://schemas.microsoft.com/office/drawing/2014/main" id="{AAE80C08-4293-41C9-A92A-F4867C34AF35}"/>
            </a:ext>
          </a:extLst>
        </xdr:cNvPr>
        <xdr:cNvSpPr/>
      </xdr:nvSpPr>
      <xdr:spPr>
        <a:xfrm>
          <a:off x="12224938" y="3232115"/>
          <a:ext cx="1765679" cy="326947"/>
        </a:xfrm>
        <a:prstGeom prst="borderCallout1">
          <a:avLst>
            <a:gd name="adj1" fmla="val 37500"/>
            <a:gd name="adj2" fmla="val -641"/>
            <a:gd name="adj3" fmla="val 125659"/>
            <a:gd name="adj4" fmla="val -52776"/>
          </a:avLst>
        </a:prstGeom>
        <a:solidFill>
          <a:schemeClr val="tx1"/>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Border router</a:t>
          </a:r>
          <a:r>
            <a:rPr lang="en-US" sz="1100" baseline="0"/>
            <a:t> (BR)</a:t>
          </a:r>
          <a:endParaRPr lang="en-US" sz="1100"/>
        </a:p>
        <a:p>
          <a:pPr algn="l"/>
          <a:endParaRPr lang="en-US" sz="1100"/>
        </a:p>
      </xdr:txBody>
    </xdr:sp>
    <xdr:clientData/>
  </xdr:twoCellAnchor>
  <xdr:twoCellAnchor>
    <xdr:from>
      <xdr:col>5</xdr:col>
      <xdr:colOff>545677</xdr:colOff>
      <xdr:row>0</xdr:row>
      <xdr:rowOff>119639</xdr:rowOff>
    </xdr:from>
    <xdr:to>
      <xdr:col>8</xdr:col>
      <xdr:colOff>594064</xdr:colOff>
      <xdr:row>0</xdr:row>
      <xdr:rowOff>1019639</xdr:rowOff>
    </xdr:to>
    <xdr:pic>
      <xdr:nvPicPr>
        <xdr:cNvPr id="31" name="Google Shape;49;gaf347bd313_0_132" descr="A picture containing object, clock&#10;&#10;Description automatically generated">
          <a:extLst>
            <a:ext uri="{FF2B5EF4-FFF2-40B4-BE49-F238E27FC236}">
              <a16:creationId xmlns:a16="http://schemas.microsoft.com/office/drawing/2014/main" id="{8402BF5B-251D-4899-9FD2-E200608A5B15}"/>
            </a:ext>
          </a:extLst>
        </xdr:cNvPr>
        <xdr:cNvPicPr>
          <a:picLocks/>
        </xdr:cNvPicPr>
      </xdr:nvPicPr>
      <xdr:blipFill rotWithShape="1">
        <a:blip xmlns:r="http://schemas.openxmlformats.org/officeDocument/2006/relationships" r:embed="rId1" cstate="screen">
          <a:alphaModFix/>
          <a:extLst>
            <a:ext uri="{28A0092B-C50C-407E-A947-70E740481C1C}">
              <a14:useLocalDpi xmlns:a14="http://schemas.microsoft.com/office/drawing/2010/main"/>
            </a:ext>
          </a:extLst>
        </a:blip>
        <a:srcRect/>
        <a:stretch/>
      </xdr:blipFill>
      <xdr:spPr>
        <a:xfrm>
          <a:off x="10004002" y="119639"/>
          <a:ext cx="1877187" cy="900000"/>
        </a:xfrm>
        <a:prstGeom prst="rect">
          <a:avLst/>
        </a:prstGeom>
        <a:noFill/>
        <a:ln>
          <a:noFill/>
        </a:ln>
      </xdr:spPr>
    </xdr:pic>
    <xdr:clientData/>
  </xdr:twoCellAnchor>
  <xdr:twoCellAnchor>
    <xdr:from>
      <xdr:col>8</xdr:col>
      <xdr:colOff>286414</xdr:colOff>
      <xdr:row>27</xdr:row>
      <xdr:rowOff>15219</xdr:rowOff>
    </xdr:from>
    <xdr:to>
      <xdr:col>11</xdr:col>
      <xdr:colOff>61851</xdr:colOff>
      <xdr:row>29</xdr:row>
      <xdr:rowOff>92972</xdr:rowOff>
    </xdr:to>
    <xdr:sp macro="" textlink="">
      <xdr:nvSpPr>
        <xdr:cNvPr id="33" name="Callout: Line 32">
          <a:extLst>
            <a:ext uri="{FF2B5EF4-FFF2-40B4-BE49-F238E27FC236}">
              <a16:creationId xmlns:a16="http://schemas.microsoft.com/office/drawing/2014/main" id="{2376CE83-6F6F-4831-A2DB-18D3F9950E84}"/>
            </a:ext>
          </a:extLst>
        </xdr:cNvPr>
        <xdr:cNvSpPr/>
      </xdr:nvSpPr>
      <xdr:spPr>
        <a:xfrm>
          <a:off x="11593511" y="6488122"/>
          <a:ext cx="1618985" cy="466947"/>
        </a:xfrm>
        <a:prstGeom prst="borderCallout1">
          <a:avLst>
            <a:gd name="adj1" fmla="val 37500"/>
            <a:gd name="adj2" fmla="val -641"/>
            <a:gd name="adj3" fmla="val 28551"/>
            <a:gd name="adj4" fmla="val -54017"/>
          </a:avLst>
        </a:prstGeom>
        <a:solidFill>
          <a:schemeClr val="tx1"/>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Direct child</a:t>
          </a:r>
        </a:p>
        <a:p>
          <a:pPr algn="l"/>
          <a:endParaRPr lang="en-US" sz="1100"/>
        </a:p>
      </xdr:txBody>
    </xdr:sp>
    <xdr:clientData/>
  </xdr:twoCellAnchor>
  <xdr:twoCellAnchor>
    <xdr:from>
      <xdr:col>7</xdr:col>
      <xdr:colOff>395843</xdr:colOff>
      <xdr:row>34</xdr:row>
      <xdr:rowOff>107371</xdr:rowOff>
    </xdr:from>
    <xdr:to>
      <xdr:col>11</xdr:col>
      <xdr:colOff>12369</xdr:colOff>
      <xdr:row>36</xdr:row>
      <xdr:rowOff>148443</xdr:rowOff>
    </xdr:to>
    <xdr:sp macro="" textlink="">
      <xdr:nvSpPr>
        <xdr:cNvPr id="35" name="Callout: Line 34">
          <a:extLst>
            <a:ext uri="{FF2B5EF4-FFF2-40B4-BE49-F238E27FC236}">
              <a16:creationId xmlns:a16="http://schemas.microsoft.com/office/drawing/2014/main" id="{4C17D9F9-0E94-4584-B751-B44CB4CE142A}"/>
            </a:ext>
          </a:extLst>
        </xdr:cNvPr>
        <xdr:cNvSpPr/>
      </xdr:nvSpPr>
      <xdr:spPr>
        <a:xfrm>
          <a:off x="11887694" y="7937663"/>
          <a:ext cx="2041071" cy="412176"/>
        </a:xfrm>
        <a:prstGeom prst="borderCallout1">
          <a:avLst>
            <a:gd name="adj1" fmla="val 37500"/>
            <a:gd name="adj2" fmla="val -641"/>
            <a:gd name="adj3" fmla="val 40045"/>
            <a:gd name="adj4" fmla="val -19456"/>
          </a:avLst>
        </a:prstGeom>
        <a:solidFill>
          <a:schemeClr val="tx1"/>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Descendant</a:t>
          </a:r>
          <a:r>
            <a:rPr lang="en-US" sz="1100" baseline="0"/>
            <a:t>, but not direct child</a:t>
          </a:r>
          <a:endParaRPr lang="en-US" sz="1100"/>
        </a:p>
        <a:p>
          <a:pPr algn="l"/>
          <a:endParaRPr lang="en-US" sz="1100"/>
        </a:p>
      </xdr:txBody>
    </xdr:sp>
    <xdr:clientData/>
  </xdr:twoCellAnchor>
  <xdr:twoCellAnchor>
    <xdr:from>
      <xdr:col>9</xdr:col>
      <xdr:colOff>185745</xdr:colOff>
      <xdr:row>18</xdr:row>
      <xdr:rowOff>95232</xdr:rowOff>
    </xdr:from>
    <xdr:to>
      <xdr:col>11</xdr:col>
      <xdr:colOff>98961</xdr:colOff>
      <xdr:row>20</xdr:row>
      <xdr:rowOff>126434</xdr:rowOff>
    </xdr:to>
    <xdr:sp macro="" textlink="">
      <xdr:nvSpPr>
        <xdr:cNvPr id="37" name="Callout: Line 36">
          <a:extLst>
            <a:ext uri="{FF2B5EF4-FFF2-40B4-BE49-F238E27FC236}">
              <a16:creationId xmlns:a16="http://schemas.microsoft.com/office/drawing/2014/main" id="{0252F9B4-4E65-4B1F-A805-D10C0C420760}"/>
            </a:ext>
          </a:extLst>
        </xdr:cNvPr>
        <xdr:cNvSpPr/>
      </xdr:nvSpPr>
      <xdr:spPr>
        <a:xfrm>
          <a:off x="12889868" y="5117505"/>
          <a:ext cx="1125489" cy="402306"/>
        </a:xfrm>
        <a:prstGeom prst="borderCallout1">
          <a:avLst>
            <a:gd name="adj1" fmla="val 37500"/>
            <a:gd name="adj2" fmla="val -641"/>
            <a:gd name="adj3" fmla="val 2816"/>
            <a:gd name="adj4" fmla="val -83645"/>
          </a:avLst>
        </a:prstGeom>
        <a:solidFill>
          <a:schemeClr val="tx1"/>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sz="1100"/>
            <a:t>Neighbor</a:t>
          </a:r>
        </a:p>
        <a:p>
          <a:pPr algn="l"/>
          <a:endParaRPr lang="en-US" sz="1100"/>
        </a:p>
      </xdr:txBody>
    </xdr:sp>
    <xdr:clientData/>
  </xdr:twoCellAnchor>
  <xdr:twoCellAnchor editAs="oneCell">
    <xdr:from>
      <xdr:col>1</xdr:col>
      <xdr:colOff>895599</xdr:colOff>
      <xdr:row>0</xdr:row>
      <xdr:rowOff>0</xdr:rowOff>
    </xdr:from>
    <xdr:to>
      <xdr:col>2</xdr:col>
      <xdr:colOff>706540</xdr:colOff>
      <xdr:row>1</xdr:row>
      <xdr:rowOff>81</xdr:rowOff>
    </xdr:to>
    <xdr:pic>
      <xdr:nvPicPr>
        <xdr:cNvPr id="51" name="Picture 50">
          <a:extLst>
            <a:ext uri="{FF2B5EF4-FFF2-40B4-BE49-F238E27FC236}">
              <a16:creationId xmlns:a16="http://schemas.microsoft.com/office/drawing/2014/main" id="{C166AF43-7C26-4488-907D-F9DF5554E64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07826" y="0"/>
          <a:ext cx="2512578" cy="1134000"/>
        </a:xfrm>
        <a:prstGeom prst="rect">
          <a:avLst/>
        </a:prstGeom>
      </xdr:spPr>
    </xdr:pic>
    <xdr:clientData/>
  </xdr:twoCellAnchor>
  <xdr:twoCellAnchor editAs="oneCell">
    <xdr:from>
      <xdr:col>0</xdr:col>
      <xdr:colOff>176646</xdr:colOff>
      <xdr:row>0</xdr:row>
      <xdr:rowOff>75086</xdr:rowOff>
    </xdr:from>
    <xdr:to>
      <xdr:col>0</xdr:col>
      <xdr:colOff>3106715</xdr:colOff>
      <xdr:row>0</xdr:row>
      <xdr:rowOff>1017861</xdr:rowOff>
    </xdr:to>
    <xdr:pic>
      <xdr:nvPicPr>
        <xdr:cNvPr id="53" name="Picture 52">
          <a:extLst>
            <a:ext uri="{FF2B5EF4-FFF2-40B4-BE49-F238E27FC236}">
              <a16:creationId xmlns:a16="http://schemas.microsoft.com/office/drawing/2014/main" id="{063EE5DD-9A73-4A1D-A7BB-55F5910F387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76646" y="75086"/>
          <a:ext cx="2930069" cy="939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603994</xdr:colOff>
      <xdr:row>0</xdr:row>
      <xdr:rowOff>168236</xdr:rowOff>
    </xdr:from>
    <xdr:to>
      <xdr:col>10</xdr:col>
      <xdr:colOff>42781</xdr:colOff>
      <xdr:row>0</xdr:row>
      <xdr:rowOff>1068236</xdr:rowOff>
    </xdr:to>
    <xdr:pic>
      <xdr:nvPicPr>
        <xdr:cNvPr id="2" name="Google Shape;49;gaf347bd313_0_132" descr="A picture containing object, clock&#10;&#10;Description automatically generated">
          <a:extLst>
            <a:ext uri="{FF2B5EF4-FFF2-40B4-BE49-F238E27FC236}">
              <a16:creationId xmlns:a16="http://schemas.microsoft.com/office/drawing/2014/main" id="{C61D0FE2-B87A-425D-B031-A6EF24467535}"/>
            </a:ext>
          </a:extLst>
        </xdr:cNvPr>
        <xdr:cNvPicPr>
          <a:picLocks/>
        </xdr:cNvPicPr>
      </xdr:nvPicPr>
      <xdr:blipFill rotWithShape="1">
        <a:blip xmlns:r="http://schemas.openxmlformats.org/officeDocument/2006/relationships" r:embed="rId1" cstate="screen">
          <a:alphaModFix/>
          <a:extLst>
            <a:ext uri="{28A0092B-C50C-407E-A947-70E740481C1C}">
              <a14:useLocalDpi xmlns:a14="http://schemas.microsoft.com/office/drawing/2010/main"/>
            </a:ext>
          </a:extLst>
        </a:blip>
        <a:srcRect/>
        <a:stretch/>
      </xdr:blipFill>
      <xdr:spPr>
        <a:xfrm>
          <a:off x="7938244" y="168236"/>
          <a:ext cx="1877187" cy="900000"/>
        </a:xfrm>
        <a:prstGeom prst="rect">
          <a:avLst/>
        </a:prstGeom>
        <a:noFill/>
        <a:ln>
          <a:noFill/>
        </a:ln>
      </xdr:spPr>
    </xdr:pic>
    <xdr:clientData/>
  </xdr:twoCellAnchor>
  <xdr:twoCellAnchor editAs="oneCell">
    <xdr:from>
      <xdr:col>2</xdr:col>
      <xdr:colOff>2930484</xdr:colOff>
      <xdr:row>0</xdr:row>
      <xdr:rowOff>0</xdr:rowOff>
    </xdr:from>
    <xdr:to>
      <xdr:col>5</xdr:col>
      <xdr:colOff>21234</xdr:colOff>
      <xdr:row>0</xdr:row>
      <xdr:rowOff>1130825</xdr:rowOff>
    </xdr:to>
    <xdr:pic>
      <xdr:nvPicPr>
        <xdr:cNvPr id="3" name="Picture 2">
          <a:extLst>
            <a:ext uri="{FF2B5EF4-FFF2-40B4-BE49-F238E27FC236}">
              <a16:creationId xmlns:a16="http://schemas.microsoft.com/office/drawing/2014/main" id="{7B0A983F-C505-4769-A2E9-AEA67DECCE4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25884" y="0"/>
          <a:ext cx="2520000" cy="1134000"/>
        </a:xfrm>
        <a:prstGeom prst="rect">
          <a:avLst/>
        </a:prstGeom>
      </xdr:spPr>
    </xdr:pic>
    <xdr:clientData/>
  </xdr:twoCellAnchor>
  <xdr:twoCellAnchor editAs="oneCell">
    <xdr:from>
      <xdr:col>0</xdr:col>
      <xdr:colOff>190500</xdr:colOff>
      <xdr:row>0</xdr:row>
      <xdr:rowOff>75086</xdr:rowOff>
    </xdr:from>
    <xdr:to>
      <xdr:col>2</xdr:col>
      <xdr:colOff>1829100</xdr:colOff>
      <xdr:row>0</xdr:row>
      <xdr:rowOff>1017861</xdr:rowOff>
    </xdr:to>
    <xdr:pic>
      <xdr:nvPicPr>
        <xdr:cNvPr id="4" name="Picture 3">
          <a:extLst>
            <a:ext uri="{FF2B5EF4-FFF2-40B4-BE49-F238E27FC236}">
              <a16:creationId xmlns:a16="http://schemas.microsoft.com/office/drawing/2014/main" id="{BB70EFE0-DC86-4BB9-876E-334FD466F17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0500" y="75086"/>
          <a:ext cx="2934000" cy="939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6FC382D-88EC-4142-8612-F2E063088A77}">
  <we:reference id="wa104380862" version="1.5.0.0" store="en-US" storeType="OMEX"/>
  <we:alternateReferences>
    <we:reference id="WA104380862" version="1.5.0.0" store="WA104380862"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54202-6194-40EC-A1D8-B836AD72C2F9}">
  <dimension ref="A1:N29"/>
  <sheetViews>
    <sheetView zoomScaleNormal="100" workbookViewId="0">
      <selection activeCell="B39" sqref="B39"/>
    </sheetView>
  </sheetViews>
  <sheetFormatPr defaultRowHeight="14.5" x14ac:dyDescent="0.35"/>
  <cols>
    <col min="1" max="1" width="9.1796875" customWidth="1"/>
    <col min="2" max="2" width="12.26953125" customWidth="1"/>
    <col min="3" max="3" width="9.1796875" customWidth="1"/>
    <col min="4" max="4" width="11.453125" customWidth="1"/>
    <col min="5" max="6" width="9.1796875" customWidth="1"/>
    <col min="7" max="7" width="76.453125" customWidth="1"/>
  </cols>
  <sheetData>
    <row r="1" spans="1:14" ht="90" customHeight="1" x14ac:dyDescent="0.35">
      <c r="A1" s="67"/>
      <c r="B1" s="65"/>
      <c r="C1" s="65"/>
      <c r="D1" s="65"/>
      <c r="E1" s="65"/>
      <c r="F1" s="65"/>
      <c r="G1" s="66"/>
    </row>
    <row r="2" spans="1:14" ht="35.25" customHeight="1" thickBot="1" x14ac:dyDescent="0.4">
      <c r="A2" s="73" t="s">
        <v>106</v>
      </c>
      <c r="B2" s="70"/>
      <c r="C2" s="70"/>
      <c r="D2" s="70"/>
      <c r="E2" s="70"/>
      <c r="F2" s="71"/>
      <c r="G2" s="72"/>
    </row>
    <row r="3" spans="1:14" x14ac:dyDescent="0.35">
      <c r="A3" s="76" t="s">
        <v>0</v>
      </c>
      <c r="B3" s="80" t="s">
        <v>120</v>
      </c>
      <c r="G3" s="35"/>
    </row>
    <row r="4" spans="1:14" ht="15" thickBot="1" x14ac:dyDescent="0.4">
      <c r="A4" s="77" t="s">
        <v>20</v>
      </c>
      <c r="B4" s="78">
        <v>45050</v>
      </c>
      <c r="G4" s="35"/>
    </row>
    <row r="5" spans="1:14" x14ac:dyDescent="0.35">
      <c r="A5" s="12"/>
      <c r="G5" s="35"/>
    </row>
    <row r="6" spans="1:14" x14ac:dyDescent="0.35">
      <c r="A6" s="12" t="s">
        <v>104</v>
      </c>
      <c r="G6" s="35"/>
    </row>
    <row r="7" spans="1:14" x14ac:dyDescent="0.35">
      <c r="A7" s="12" t="s">
        <v>72</v>
      </c>
      <c r="G7" s="35"/>
    </row>
    <row r="8" spans="1:14" x14ac:dyDescent="0.35">
      <c r="A8" s="12" t="s">
        <v>73</v>
      </c>
      <c r="G8" s="35"/>
    </row>
    <row r="9" spans="1:14" x14ac:dyDescent="0.35">
      <c r="A9" s="12" t="s">
        <v>74</v>
      </c>
      <c r="G9" s="35"/>
    </row>
    <row r="10" spans="1:14" x14ac:dyDescent="0.35">
      <c r="A10" s="12"/>
      <c r="G10" s="35"/>
    </row>
    <row r="11" spans="1:14" x14ac:dyDescent="0.35">
      <c r="A11" s="12" t="s">
        <v>45</v>
      </c>
      <c r="G11" s="35"/>
    </row>
    <row r="12" spans="1:14" x14ac:dyDescent="0.35">
      <c r="A12" s="12" t="s">
        <v>75</v>
      </c>
      <c r="G12" s="35"/>
    </row>
    <row r="13" spans="1:14" x14ac:dyDescent="0.35">
      <c r="A13" s="68" t="s">
        <v>76</v>
      </c>
      <c r="G13" s="35"/>
    </row>
    <row r="14" spans="1:14" ht="54.75" customHeight="1" x14ac:dyDescent="0.35">
      <c r="A14" s="82" t="s">
        <v>105</v>
      </c>
      <c r="B14" s="83"/>
      <c r="C14" s="83"/>
      <c r="D14" s="83"/>
      <c r="E14" s="83"/>
      <c r="F14" s="83"/>
      <c r="G14" s="84"/>
      <c r="H14" s="17"/>
      <c r="I14" s="17"/>
      <c r="J14" s="17"/>
      <c r="K14" s="17"/>
      <c r="L14" s="17"/>
      <c r="M14" s="17"/>
      <c r="N14" s="17"/>
    </row>
    <row r="15" spans="1:14" ht="33" customHeight="1" x14ac:dyDescent="0.35">
      <c r="A15" s="82" t="s">
        <v>77</v>
      </c>
      <c r="B15" s="83"/>
      <c r="C15" s="83"/>
      <c r="D15" s="83"/>
      <c r="E15" s="83"/>
      <c r="F15" s="83"/>
      <c r="G15" s="84"/>
      <c r="H15" s="22"/>
      <c r="I15" s="22"/>
      <c r="J15" s="22"/>
      <c r="K15" s="22"/>
      <c r="L15" s="22"/>
      <c r="M15" s="22"/>
      <c r="N15" s="22"/>
    </row>
    <row r="16" spans="1:14" ht="15.75" customHeight="1" x14ac:dyDescent="0.35">
      <c r="A16" s="82" t="s">
        <v>112</v>
      </c>
      <c r="B16" s="83"/>
      <c r="C16" s="83"/>
      <c r="D16" s="83"/>
      <c r="E16" s="83"/>
      <c r="F16" s="83"/>
      <c r="G16" s="84"/>
      <c r="H16" s="22"/>
      <c r="I16" s="22"/>
      <c r="J16" s="22"/>
      <c r="K16" s="22"/>
      <c r="L16" s="22"/>
      <c r="M16" s="22"/>
      <c r="N16" s="22"/>
    </row>
    <row r="17" spans="1:7" x14ac:dyDescent="0.35">
      <c r="A17" s="12"/>
      <c r="G17" s="35"/>
    </row>
    <row r="18" spans="1:7" x14ac:dyDescent="0.35">
      <c r="A18" s="75" t="s">
        <v>46</v>
      </c>
      <c r="G18" s="35"/>
    </row>
    <row r="19" spans="1:7" x14ac:dyDescent="0.35">
      <c r="A19" s="69" t="s">
        <v>78</v>
      </c>
      <c r="G19" s="35"/>
    </row>
    <row r="20" spans="1:7" x14ac:dyDescent="0.35">
      <c r="A20" s="12" t="s">
        <v>107</v>
      </c>
      <c r="G20" s="35"/>
    </row>
    <row r="21" spans="1:7" x14ac:dyDescent="0.35">
      <c r="A21" s="12" t="s">
        <v>79</v>
      </c>
      <c r="G21" s="35"/>
    </row>
    <row r="22" spans="1:7" x14ac:dyDescent="0.35">
      <c r="A22" s="12"/>
      <c r="G22" s="35"/>
    </row>
    <row r="23" spans="1:7" ht="15" thickBot="1" x14ac:dyDescent="0.4">
      <c r="A23" s="12"/>
      <c r="G23" s="35"/>
    </row>
    <row r="24" spans="1:7" ht="15" thickBot="1" x14ac:dyDescent="0.4">
      <c r="A24" s="51" t="s">
        <v>69</v>
      </c>
      <c r="B24" s="52"/>
      <c r="C24" s="52"/>
      <c r="D24" s="52"/>
      <c r="E24" s="54"/>
      <c r="F24" s="36"/>
      <c r="G24" s="37"/>
    </row>
    <row r="25" spans="1:7" x14ac:dyDescent="0.35">
      <c r="A25" s="51" t="s">
        <v>48</v>
      </c>
      <c r="B25" s="52"/>
      <c r="C25" s="52"/>
      <c r="D25" s="53">
        <f>'Internal (Calculations)'!C30</f>
        <v>2.8461406779661014E-2</v>
      </c>
      <c r="E25" s="54" t="s">
        <v>25</v>
      </c>
      <c r="F25" s="36"/>
      <c r="G25" s="37"/>
    </row>
    <row r="26" spans="1:7" ht="15" thickBot="1" x14ac:dyDescent="0.4">
      <c r="A26" s="55"/>
      <c r="B26" s="56"/>
      <c r="C26" s="56"/>
      <c r="D26" s="57">
        <f>D25*1000</f>
        <v>28.461406779661015</v>
      </c>
      <c r="E26" s="58" t="s">
        <v>47</v>
      </c>
      <c r="F26" s="36"/>
      <c r="G26" s="37"/>
    </row>
    <row r="27" spans="1:7" x14ac:dyDescent="0.35">
      <c r="A27" s="51" t="s">
        <v>33</v>
      </c>
      <c r="B27" s="52"/>
      <c r="C27" s="52"/>
      <c r="D27" s="59">
        <f>'Internal (Calculations)'!C33</f>
        <v>139135.77886915556</v>
      </c>
      <c r="E27" s="54" t="str">
        <f>'Internal (Calculations)'!D33</f>
        <v>hours</v>
      </c>
      <c r="F27" s="36"/>
      <c r="G27" s="37"/>
    </row>
    <row r="28" spans="1:7" x14ac:dyDescent="0.35">
      <c r="A28" s="49"/>
      <c r="B28" s="50"/>
      <c r="C28" s="50"/>
      <c r="D28" s="60">
        <f>'Internal (Calculations)'!C34</f>
        <v>5797.3241195481487</v>
      </c>
      <c r="E28" s="61" t="str">
        <f>'Internal (Calculations)'!D34</f>
        <v>days</v>
      </c>
      <c r="F28" s="36"/>
      <c r="G28" s="37"/>
    </row>
    <row r="29" spans="1:7" ht="15" thickBot="1" x14ac:dyDescent="0.4">
      <c r="A29" s="55"/>
      <c r="B29" s="56"/>
      <c r="C29" s="56"/>
      <c r="D29" s="57">
        <f>'Internal (Calculations)'!C35</f>
        <v>15.883079779583969</v>
      </c>
      <c r="E29" s="58" t="str">
        <f>'Internal (Calculations)'!D35</f>
        <v>years</v>
      </c>
      <c r="F29" s="38"/>
      <c r="G29" s="39"/>
    </row>
  </sheetData>
  <sheetProtection selectLockedCells="1" selectUnlockedCells="1"/>
  <mergeCells count="3">
    <mergeCell ref="A14:G14"/>
    <mergeCell ref="A15:G15"/>
    <mergeCell ref="A16:G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79A64-5225-4D81-AFFF-842E77A0E7D4}">
  <dimension ref="A1:L611"/>
  <sheetViews>
    <sheetView tabSelected="1" topLeftCell="A43" zoomScale="77" zoomScaleNormal="77" workbookViewId="0">
      <selection activeCell="B15" sqref="B15"/>
    </sheetView>
  </sheetViews>
  <sheetFormatPr defaultRowHeight="14.5" x14ac:dyDescent="0.35"/>
  <cols>
    <col min="1" max="1" width="64.54296875" customWidth="1"/>
    <col min="2" max="2" width="40.54296875" customWidth="1"/>
    <col min="3" max="3" width="18.453125" customWidth="1"/>
    <col min="4" max="12" width="9.1796875" style="23"/>
    <col min="13" max="15" width="9.1796875"/>
    <col min="16" max="16" width="8.81640625" customWidth="1"/>
    <col min="17" max="17" width="9.1796875"/>
  </cols>
  <sheetData>
    <row r="1" spans="1:12" ht="90" customHeight="1" thickBot="1" x14ac:dyDescent="0.4">
      <c r="A1" s="62"/>
      <c r="B1" s="15"/>
      <c r="C1" s="15"/>
      <c r="D1" s="63"/>
      <c r="E1" s="63"/>
      <c r="F1" s="63"/>
      <c r="G1" s="63"/>
      <c r="H1" s="63"/>
      <c r="I1" s="63"/>
      <c r="J1" s="63"/>
      <c r="K1" s="63"/>
      <c r="L1" s="64"/>
    </row>
    <row r="2" spans="1:12" ht="36" customHeight="1" thickBot="1" x14ac:dyDescent="0.4">
      <c r="A2" s="87" t="s">
        <v>106</v>
      </c>
      <c r="B2" s="88"/>
      <c r="C2" s="24"/>
      <c r="D2" s="24"/>
      <c r="E2" s="24"/>
      <c r="F2" s="24"/>
      <c r="G2" s="24"/>
      <c r="H2" s="24"/>
      <c r="I2" s="24"/>
      <c r="J2" s="24"/>
      <c r="K2" s="24"/>
      <c r="L2" s="25"/>
    </row>
    <row r="3" spans="1:12" x14ac:dyDescent="0.35">
      <c r="A3" s="2" t="s">
        <v>5</v>
      </c>
      <c r="B3" s="30" t="s">
        <v>66</v>
      </c>
      <c r="C3" s="10"/>
      <c r="D3" s="26"/>
      <c r="E3" s="26"/>
      <c r="F3" s="26"/>
      <c r="G3" s="26"/>
      <c r="H3" s="26"/>
      <c r="I3" s="26"/>
      <c r="J3" s="26"/>
      <c r="K3" s="26"/>
      <c r="L3" s="27"/>
    </row>
    <row r="4" spans="1:12" x14ac:dyDescent="0.35">
      <c r="A4" s="1" t="s">
        <v>49</v>
      </c>
      <c r="B4" s="28">
        <f>VLOOKUP(B3,'Internal (Batteries)'!A1:B12,2,FALSE)</f>
        <v>4400</v>
      </c>
      <c r="C4" s="11" t="s">
        <v>51</v>
      </c>
      <c r="D4" s="26"/>
      <c r="E4" s="26"/>
      <c r="F4" s="26"/>
      <c r="G4" s="26"/>
      <c r="H4" s="26"/>
      <c r="I4" s="26"/>
      <c r="J4" s="26"/>
      <c r="K4" s="26"/>
      <c r="L4" s="27"/>
    </row>
    <row r="5" spans="1:12" ht="15" thickBot="1" x14ac:dyDescent="0.4">
      <c r="A5" s="8" t="s">
        <v>60</v>
      </c>
      <c r="B5" s="31">
        <v>0.9</v>
      </c>
      <c r="C5" s="11"/>
      <c r="D5" s="26"/>
      <c r="E5" s="26"/>
      <c r="F5" s="26"/>
      <c r="G5" s="26"/>
      <c r="H5" s="26"/>
      <c r="I5" s="26"/>
      <c r="J5" s="26"/>
      <c r="K5" s="26"/>
      <c r="L5" s="27"/>
    </row>
    <row r="6" spans="1:12" x14ac:dyDescent="0.35">
      <c r="A6" s="9" t="s">
        <v>50</v>
      </c>
      <c r="B6" s="29">
        <f>B5*B4</f>
        <v>3960</v>
      </c>
      <c r="C6" s="11" t="s">
        <v>51</v>
      </c>
      <c r="D6" s="26"/>
      <c r="E6" s="26"/>
      <c r="F6" s="26"/>
      <c r="G6" s="26"/>
      <c r="H6" s="26"/>
      <c r="I6" s="26"/>
      <c r="J6" s="26"/>
      <c r="K6" s="26"/>
      <c r="L6" s="27"/>
    </row>
    <row r="7" spans="1:12" ht="14" customHeight="1" x14ac:dyDescent="0.35">
      <c r="A7" s="1"/>
      <c r="B7" s="28"/>
      <c r="C7" s="11"/>
      <c r="D7" s="26"/>
      <c r="E7" s="26"/>
      <c r="F7" s="26"/>
      <c r="G7" s="26"/>
      <c r="H7" s="26"/>
      <c r="I7" s="26"/>
      <c r="J7" s="26"/>
      <c r="K7" s="26"/>
      <c r="L7" s="27"/>
    </row>
    <row r="8" spans="1:12" ht="16.5" customHeight="1" x14ac:dyDescent="0.35">
      <c r="A8" s="1" t="s">
        <v>7</v>
      </c>
      <c r="B8" s="28"/>
      <c r="C8" s="11"/>
      <c r="D8" s="26"/>
      <c r="E8" s="26"/>
      <c r="F8" s="26"/>
      <c r="G8" s="26"/>
      <c r="H8" s="26"/>
      <c r="I8" s="26"/>
      <c r="J8" s="26"/>
      <c r="K8" s="26"/>
      <c r="L8" s="27"/>
    </row>
    <row r="9" spans="1:12" ht="16.5" customHeight="1" x14ac:dyDescent="0.35">
      <c r="A9" s="1" t="s">
        <v>125</v>
      </c>
      <c r="B9" s="32" t="s">
        <v>127</v>
      </c>
      <c r="C9" s="11"/>
      <c r="D9" s="26"/>
      <c r="E9" s="26"/>
      <c r="F9" s="26"/>
      <c r="G9" s="26"/>
      <c r="H9" s="26"/>
      <c r="I9" s="26"/>
      <c r="J9" s="26"/>
      <c r="K9" s="26"/>
      <c r="L9" s="27"/>
    </row>
    <row r="10" spans="1:12" x14ac:dyDescent="0.35">
      <c r="A10" s="1" t="s">
        <v>10</v>
      </c>
      <c r="B10" s="32" t="s">
        <v>122</v>
      </c>
      <c r="C10" s="11"/>
      <c r="D10" s="26"/>
      <c r="E10" s="26"/>
      <c r="F10" s="26"/>
      <c r="G10" s="26"/>
      <c r="H10" s="26"/>
      <c r="I10" s="26"/>
      <c r="J10" s="26"/>
      <c r="K10" s="26"/>
      <c r="L10" s="27"/>
    </row>
    <row r="11" spans="1:12" ht="13" customHeight="1" x14ac:dyDescent="0.35">
      <c r="A11" s="1" t="s">
        <v>138</v>
      </c>
      <c r="B11" s="33">
        <v>59</v>
      </c>
      <c r="C11" s="11"/>
      <c r="D11" s="26"/>
      <c r="E11" s="26"/>
      <c r="F11" s="26"/>
      <c r="G11" s="26"/>
      <c r="H11" s="26"/>
      <c r="I11" s="26"/>
      <c r="J11" s="26"/>
      <c r="K11" s="26"/>
      <c r="L11" s="27"/>
    </row>
    <row r="12" spans="1:12" ht="13.5" customHeight="1" x14ac:dyDescent="0.35">
      <c r="A12" s="1" t="s">
        <v>68</v>
      </c>
      <c r="B12" s="33">
        <v>128</v>
      </c>
      <c r="C12" s="11" t="s">
        <v>108</v>
      </c>
      <c r="D12" s="26"/>
      <c r="E12" s="26"/>
      <c r="F12" s="26"/>
      <c r="G12" s="26"/>
      <c r="H12" s="26"/>
      <c r="I12" s="26"/>
      <c r="J12" s="26"/>
      <c r="K12" s="26"/>
      <c r="L12" s="27"/>
    </row>
    <row r="13" spans="1:12" ht="30" customHeight="1" x14ac:dyDescent="0.35">
      <c r="A13" s="3" t="s">
        <v>26</v>
      </c>
      <c r="B13" s="31">
        <v>0</v>
      </c>
      <c r="C13" s="74" t="s">
        <v>109</v>
      </c>
      <c r="D13" s="26"/>
      <c r="E13" s="26"/>
      <c r="F13" s="26"/>
      <c r="G13" s="26"/>
      <c r="H13" s="26"/>
      <c r="I13" s="26"/>
      <c r="J13" s="26"/>
      <c r="K13" s="26"/>
      <c r="L13" s="27"/>
    </row>
    <row r="14" spans="1:12" x14ac:dyDescent="0.35">
      <c r="A14" s="5" t="s">
        <v>19</v>
      </c>
      <c r="B14" s="33">
        <v>1</v>
      </c>
      <c r="C14" s="11" t="s">
        <v>55</v>
      </c>
      <c r="D14" s="26"/>
      <c r="E14" s="26"/>
      <c r="F14" s="26"/>
      <c r="G14" s="26"/>
      <c r="H14" s="26"/>
      <c r="I14" s="26"/>
      <c r="J14" s="26"/>
      <c r="K14" s="26"/>
      <c r="L14" s="27"/>
    </row>
    <row r="15" spans="1:12" x14ac:dyDescent="0.35">
      <c r="A15" s="6" t="s">
        <v>32</v>
      </c>
      <c r="B15" s="33">
        <v>0</v>
      </c>
      <c r="C15" s="11" t="s">
        <v>56</v>
      </c>
      <c r="D15" s="26"/>
      <c r="E15" s="26"/>
      <c r="F15" s="26"/>
      <c r="G15" s="26"/>
      <c r="H15" s="26"/>
      <c r="I15" s="26"/>
      <c r="J15" s="26"/>
      <c r="K15" s="26"/>
      <c r="L15" s="27"/>
    </row>
    <row r="16" spans="1:12" x14ac:dyDescent="0.35">
      <c r="A16" s="6" t="s">
        <v>38</v>
      </c>
      <c r="B16" s="33">
        <v>0</v>
      </c>
      <c r="C16" s="11" t="s">
        <v>56</v>
      </c>
      <c r="D16" s="26"/>
      <c r="E16" s="26"/>
      <c r="F16" s="26"/>
      <c r="G16" s="26"/>
      <c r="H16" s="26"/>
      <c r="I16" s="26"/>
      <c r="J16" s="26"/>
      <c r="K16" s="26"/>
      <c r="L16" s="27"/>
    </row>
    <row r="17" spans="1:12" x14ac:dyDescent="0.35">
      <c r="A17" s="1" t="s">
        <v>12</v>
      </c>
      <c r="B17" s="33">
        <v>0</v>
      </c>
      <c r="C17" s="11" t="s">
        <v>56</v>
      </c>
      <c r="D17" s="26"/>
      <c r="E17" s="26"/>
      <c r="F17" s="26"/>
      <c r="G17" s="26"/>
      <c r="H17" s="26"/>
      <c r="I17" s="26"/>
      <c r="J17" s="26"/>
      <c r="K17" s="26"/>
      <c r="L17" s="27"/>
    </row>
    <row r="18" spans="1:12" ht="16.5" customHeight="1" x14ac:dyDescent="0.35">
      <c r="A18" s="3"/>
      <c r="B18" s="28"/>
      <c r="C18" s="11"/>
      <c r="D18" s="26"/>
      <c r="E18" s="26"/>
      <c r="F18" s="26"/>
      <c r="G18" s="26"/>
      <c r="H18" s="26"/>
      <c r="I18" s="26"/>
      <c r="J18" s="26"/>
      <c r="K18" s="26"/>
      <c r="L18" s="27"/>
    </row>
    <row r="19" spans="1:12" x14ac:dyDescent="0.35">
      <c r="A19" s="1" t="s">
        <v>93</v>
      </c>
      <c r="B19" s="28"/>
      <c r="C19" s="11"/>
      <c r="D19" s="26"/>
      <c r="E19" s="26"/>
      <c r="F19" s="26"/>
      <c r="G19" s="26"/>
      <c r="H19" s="26"/>
      <c r="I19" s="26"/>
      <c r="J19" s="26"/>
      <c r="K19" s="26"/>
      <c r="L19" s="27"/>
    </row>
    <row r="20" spans="1:12" x14ac:dyDescent="0.35">
      <c r="A20" s="4" t="s">
        <v>102</v>
      </c>
      <c r="B20" s="28"/>
      <c r="C20" s="11"/>
      <c r="D20" s="26"/>
      <c r="E20" s="26"/>
      <c r="F20" s="26"/>
      <c r="G20" s="26"/>
      <c r="H20" s="26"/>
      <c r="I20" s="26"/>
      <c r="J20" s="26"/>
      <c r="K20" s="26"/>
      <c r="L20" s="27"/>
    </row>
    <row r="21" spans="1:12" x14ac:dyDescent="0.35">
      <c r="A21" s="18" t="s">
        <v>11</v>
      </c>
      <c r="B21" s="33">
        <v>0</v>
      </c>
      <c r="C21" s="11" t="s">
        <v>52</v>
      </c>
      <c r="D21" s="26"/>
      <c r="E21" s="26"/>
      <c r="F21" s="26"/>
      <c r="G21" s="26"/>
      <c r="H21" s="26"/>
      <c r="I21" s="26"/>
      <c r="J21" s="26"/>
      <c r="K21" s="26"/>
      <c r="L21" s="27"/>
    </row>
    <row r="22" spans="1:12" x14ac:dyDescent="0.35">
      <c r="A22" s="18" t="s">
        <v>54</v>
      </c>
      <c r="B22" s="33">
        <v>240</v>
      </c>
      <c r="C22" s="11" t="s">
        <v>53</v>
      </c>
      <c r="D22" s="26"/>
      <c r="E22" s="26"/>
      <c r="F22" s="26"/>
      <c r="G22" s="26"/>
      <c r="H22" s="26"/>
      <c r="I22" s="26"/>
      <c r="J22" s="26"/>
      <c r="K22" s="26"/>
      <c r="L22" s="27"/>
    </row>
    <row r="23" spans="1:12" x14ac:dyDescent="0.35">
      <c r="A23" s="4" t="s">
        <v>103</v>
      </c>
      <c r="B23" s="20"/>
      <c r="C23" s="11"/>
      <c r="D23" s="26"/>
      <c r="E23" s="26"/>
      <c r="F23" s="26"/>
      <c r="G23" s="26"/>
      <c r="H23" s="26"/>
      <c r="I23" s="26"/>
      <c r="J23" s="26"/>
      <c r="K23" s="26"/>
      <c r="L23" s="27"/>
    </row>
    <row r="24" spans="1:12" x14ac:dyDescent="0.35">
      <c r="A24" s="18" t="s">
        <v>17</v>
      </c>
      <c r="B24" s="33">
        <v>0</v>
      </c>
      <c r="C24" s="11" t="s">
        <v>52</v>
      </c>
      <c r="D24" s="26"/>
      <c r="E24" s="26"/>
      <c r="F24" s="26"/>
      <c r="G24" s="26"/>
      <c r="H24" s="26"/>
      <c r="I24" s="26"/>
      <c r="J24" s="26"/>
      <c r="K24" s="26"/>
      <c r="L24" s="27"/>
    </row>
    <row r="25" spans="1:12" x14ac:dyDescent="0.35">
      <c r="A25" s="18" t="s">
        <v>18</v>
      </c>
      <c r="B25" s="33">
        <v>1000</v>
      </c>
      <c r="C25" s="11" t="s">
        <v>53</v>
      </c>
      <c r="D25" s="26"/>
      <c r="E25" s="26"/>
      <c r="F25" s="26"/>
      <c r="G25" s="26"/>
      <c r="H25" s="26"/>
      <c r="I25" s="26"/>
      <c r="J25" s="26"/>
      <c r="K25" s="26"/>
      <c r="L25" s="27"/>
    </row>
    <row r="26" spans="1:12" ht="9" customHeight="1" x14ac:dyDescent="0.35">
      <c r="A26" s="4"/>
      <c r="B26" s="28"/>
      <c r="C26" s="11"/>
      <c r="D26" s="26"/>
      <c r="E26" s="26"/>
      <c r="F26" s="26"/>
      <c r="G26" s="26"/>
      <c r="H26" s="26"/>
      <c r="I26" s="26"/>
      <c r="J26" s="26"/>
      <c r="K26" s="26"/>
      <c r="L26" s="27"/>
    </row>
    <row r="27" spans="1:12" x14ac:dyDescent="0.35">
      <c r="A27" s="6" t="s">
        <v>80</v>
      </c>
      <c r="B27" s="28"/>
      <c r="C27" s="11"/>
      <c r="D27" s="26"/>
      <c r="E27" s="26"/>
      <c r="F27" s="26"/>
      <c r="G27" s="26"/>
      <c r="H27" s="26"/>
      <c r="I27" s="26"/>
      <c r="J27" s="26"/>
      <c r="K27" s="26"/>
      <c r="L27" s="27"/>
    </row>
    <row r="28" spans="1:12" x14ac:dyDescent="0.35">
      <c r="A28" s="7" t="s">
        <v>102</v>
      </c>
      <c r="B28" s="28"/>
      <c r="C28" s="11"/>
      <c r="D28" s="26"/>
      <c r="E28" s="26"/>
      <c r="F28" s="26"/>
      <c r="G28" s="26"/>
      <c r="H28" s="26"/>
      <c r="I28" s="26"/>
      <c r="J28" s="26"/>
      <c r="K28" s="26"/>
      <c r="L28" s="27"/>
    </row>
    <row r="29" spans="1:12" x14ac:dyDescent="0.35">
      <c r="A29" s="19" t="s">
        <v>11</v>
      </c>
      <c r="B29" s="33">
        <v>0</v>
      </c>
      <c r="C29" s="11" t="s">
        <v>52</v>
      </c>
      <c r="D29" s="26"/>
      <c r="E29" s="26"/>
      <c r="F29" s="26"/>
      <c r="G29" s="26"/>
      <c r="H29" s="26"/>
      <c r="I29" s="26"/>
      <c r="J29" s="26"/>
      <c r="K29" s="26"/>
      <c r="L29" s="27"/>
    </row>
    <row r="30" spans="1:12" x14ac:dyDescent="0.35">
      <c r="A30" s="19" t="s">
        <v>57</v>
      </c>
      <c r="B30" s="33">
        <v>240</v>
      </c>
      <c r="C30" s="11" t="s">
        <v>53</v>
      </c>
      <c r="D30" s="26"/>
      <c r="E30" s="26"/>
      <c r="F30" s="26"/>
      <c r="G30" s="26"/>
      <c r="H30" s="26"/>
      <c r="I30" s="26"/>
      <c r="J30" s="26"/>
      <c r="K30" s="26"/>
      <c r="L30" s="27"/>
    </row>
    <row r="31" spans="1:12" x14ac:dyDescent="0.35">
      <c r="A31" s="7" t="s">
        <v>103</v>
      </c>
      <c r="B31" s="20"/>
      <c r="C31" s="11"/>
      <c r="D31" s="26"/>
      <c r="E31" s="26"/>
      <c r="F31" s="26"/>
      <c r="G31" s="26"/>
      <c r="H31" s="26"/>
      <c r="I31" s="26"/>
      <c r="J31" s="26"/>
      <c r="K31" s="26"/>
      <c r="L31" s="27"/>
    </row>
    <row r="32" spans="1:12" x14ac:dyDescent="0.35">
      <c r="A32" s="19" t="s">
        <v>17</v>
      </c>
      <c r="B32" s="33">
        <v>0</v>
      </c>
      <c r="C32" s="11" t="s">
        <v>52</v>
      </c>
      <c r="D32" s="26"/>
      <c r="E32" s="26"/>
      <c r="F32" s="26"/>
      <c r="G32" s="26"/>
      <c r="H32" s="26"/>
      <c r="I32" s="26"/>
      <c r="J32" s="26"/>
      <c r="K32" s="26"/>
      <c r="L32" s="27"/>
    </row>
    <row r="33" spans="1:12" x14ac:dyDescent="0.35">
      <c r="A33" s="19" t="s">
        <v>18</v>
      </c>
      <c r="B33" s="33">
        <v>1000</v>
      </c>
      <c r="C33" s="11" t="s">
        <v>53</v>
      </c>
      <c r="D33" s="26"/>
      <c r="E33" s="26"/>
      <c r="F33" s="26"/>
      <c r="G33" s="26"/>
      <c r="H33" s="26"/>
      <c r="I33" s="26"/>
      <c r="J33" s="26"/>
      <c r="K33" s="26"/>
      <c r="L33" s="27"/>
    </row>
    <row r="34" spans="1:12" ht="8.25" customHeight="1" x14ac:dyDescent="0.35">
      <c r="A34" s="1"/>
      <c r="B34" s="28"/>
      <c r="C34" s="11"/>
      <c r="D34" s="26"/>
      <c r="E34" s="26"/>
      <c r="F34" s="26"/>
      <c r="G34" s="26"/>
      <c r="H34" s="26"/>
      <c r="I34" s="26"/>
      <c r="J34" s="26"/>
      <c r="K34" s="26"/>
      <c r="L34" s="27"/>
    </row>
    <row r="35" spans="1:12" x14ac:dyDescent="0.35">
      <c r="A35" s="1" t="s">
        <v>16</v>
      </c>
      <c r="B35" s="34"/>
      <c r="C35" s="11"/>
      <c r="D35" s="26"/>
      <c r="E35" s="26"/>
      <c r="F35" s="26"/>
      <c r="G35" s="26"/>
      <c r="H35" s="26"/>
      <c r="I35" s="26"/>
      <c r="J35" s="26"/>
      <c r="K35" s="26"/>
      <c r="L35" s="27"/>
    </row>
    <row r="36" spans="1:12" x14ac:dyDescent="0.35">
      <c r="A36" s="4" t="s">
        <v>102</v>
      </c>
      <c r="B36" s="34"/>
      <c r="C36" s="11"/>
      <c r="D36" s="26"/>
      <c r="E36" s="26"/>
      <c r="F36" s="26"/>
      <c r="G36" s="26"/>
      <c r="H36" s="26"/>
      <c r="I36" s="26"/>
      <c r="J36" s="26"/>
      <c r="K36" s="26"/>
      <c r="L36" s="27"/>
    </row>
    <row r="37" spans="1:12" x14ac:dyDescent="0.35">
      <c r="A37" s="18" t="s">
        <v>85</v>
      </c>
      <c r="B37" s="33">
        <v>0</v>
      </c>
      <c r="C37" s="11" t="s">
        <v>52</v>
      </c>
      <c r="D37" s="26"/>
      <c r="E37" s="26"/>
      <c r="F37" s="26"/>
      <c r="G37" s="26"/>
      <c r="H37" s="26"/>
      <c r="I37" s="26"/>
      <c r="J37" s="26"/>
      <c r="K37" s="26"/>
      <c r="L37" s="27"/>
    </row>
    <row r="38" spans="1:12" x14ac:dyDescent="0.35">
      <c r="A38" s="18" t="s">
        <v>84</v>
      </c>
      <c r="B38" s="33">
        <v>60</v>
      </c>
      <c r="C38" s="11" t="s">
        <v>53</v>
      </c>
      <c r="D38" s="26"/>
      <c r="E38" s="26"/>
      <c r="F38" s="26"/>
      <c r="G38" s="26"/>
      <c r="H38" s="26"/>
      <c r="I38" s="26"/>
      <c r="J38" s="26"/>
      <c r="K38" s="26"/>
      <c r="L38" s="27"/>
    </row>
    <row r="39" spans="1:12" x14ac:dyDescent="0.35">
      <c r="A39" s="18" t="s">
        <v>82</v>
      </c>
      <c r="B39" s="33">
        <v>0</v>
      </c>
      <c r="C39" s="11" t="s">
        <v>52</v>
      </c>
      <c r="D39" s="26"/>
      <c r="E39" s="26"/>
      <c r="F39" s="26"/>
      <c r="G39" s="26"/>
      <c r="H39" s="26"/>
      <c r="I39" s="26"/>
      <c r="J39" s="26"/>
      <c r="K39" s="26"/>
      <c r="L39" s="27"/>
    </row>
    <row r="40" spans="1:12" x14ac:dyDescent="0.35">
      <c r="A40" s="18" t="s">
        <v>83</v>
      </c>
      <c r="B40" s="33">
        <v>60</v>
      </c>
      <c r="C40" s="11" t="s">
        <v>53</v>
      </c>
      <c r="D40" s="26"/>
      <c r="E40" s="26"/>
      <c r="F40" s="26"/>
      <c r="G40" s="26"/>
      <c r="H40" s="26"/>
      <c r="I40" s="26"/>
      <c r="J40" s="26"/>
      <c r="K40" s="26"/>
      <c r="L40" s="27"/>
    </row>
    <row r="41" spans="1:12" x14ac:dyDescent="0.35">
      <c r="A41" s="4" t="s">
        <v>103</v>
      </c>
      <c r="B41" s="20"/>
      <c r="C41" s="11"/>
      <c r="D41" s="26"/>
      <c r="E41" s="26"/>
      <c r="F41" s="26"/>
      <c r="G41" s="26"/>
      <c r="H41" s="26"/>
      <c r="I41" s="26"/>
      <c r="J41" s="26"/>
      <c r="K41" s="26"/>
      <c r="L41" s="27"/>
    </row>
    <row r="42" spans="1:12" x14ac:dyDescent="0.35">
      <c r="A42" s="18" t="s">
        <v>98</v>
      </c>
      <c r="B42" s="33">
        <v>1</v>
      </c>
      <c r="C42" s="11" t="s">
        <v>52</v>
      </c>
      <c r="D42" s="26"/>
      <c r="E42" s="26"/>
      <c r="F42" s="26"/>
      <c r="G42" s="26"/>
      <c r="H42" s="26"/>
      <c r="I42" s="26"/>
      <c r="J42" s="26"/>
      <c r="K42" s="26"/>
      <c r="L42" s="27"/>
    </row>
    <row r="43" spans="1:12" x14ac:dyDescent="0.35">
      <c r="A43" s="18" t="s">
        <v>99</v>
      </c>
      <c r="B43" s="33">
        <v>1000</v>
      </c>
      <c r="C43" s="11" t="s">
        <v>53</v>
      </c>
      <c r="D43" s="26"/>
      <c r="E43" s="26"/>
      <c r="F43" s="26"/>
      <c r="G43" s="26"/>
      <c r="H43" s="26"/>
      <c r="I43" s="26"/>
      <c r="J43" s="26"/>
      <c r="K43" s="26"/>
      <c r="L43" s="27"/>
    </row>
    <row r="44" spans="1:12" x14ac:dyDescent="0.35">
      <c r="A44" s="18" t="s">
        <v>100</v>
      </c>
      <c r="B44" s="33">
        <v>1</v>
      </c>
      <c r="C44" s="11" t="s">
        <v>52</v>
      </c>
      <c r="D44" s="26"/>
      <c r="E44" s="26"/>
      <c r="F44" s="26"/>
      <c r="G44" s="26"/>
      <c r="H44" s="26"/>
      <c r="I44" s="26"/>
      <c r="J44" s="26"/>
      <c r="K44" s="26"/>
      <c r="L44" s="27"/>
    </row>
    <row r="45" spans="1:12" x14ac:dyDescent="0.35">
      <c r="A45" s="18" t="s">
        <v>101</v>
      </c>
      <c r="B45" s="33">
        <v>1000</v>
      </c>
      <c r="C45" s="11" t="s">
        <v>53</v>
      </c>
      <c r="D45" s="26"/>
      <c r="E45" s="26"/>
      <c r="F45" s="26"/>
      <c r="G45" s="26"/>
      <c r="H45" s="26"/>
      <c r="I45" s="26"/>
      <c r="J45" s="26"/>
      <c r="K45" s="26"/>
      <c r="L45" s="27"/>
    </row>
    <row r="46" spans="1:12" x14ac:dyDescent="0.35">
      <c r="A46" s="85" t="str">
        <f>IF((B16+B15)/B30+1/B22&gt;'Internal (Calculations)'!C37,"WARNING - POSSIBLE CONGESTION DUE TO TOO MUCH TRAFFIC TO BORDER ROUTER","")</f>
        <v/>
      </c>
      <c r="B46" s="86"/>
      <c r="D46" s="26"/>
      <c r="E46" s="26"/>
      <c r="F46" s="26"/>
      <c r="G46" s="26"/>
      <c r="H46" s="26"/>
      <c r="I46" s="26"/>
      <c r="J46" s="26"/>
      <c r="K46" s="26"/>
      <c r="L46" s="27"/>
    </row>
    <row r="47" spans="1:12" ht="15" thickBot="1" x14ac:dyDescent="0.4">
      <c r="A47" s="85"/>
      <c r="B47" s="86"/>
      <c r="D47" s="26"/>
      <c r="E47" s="26"/>
      <c r="F47" s="26"/>
      <c r="G47" s="26"/>
      <c r="H47" s="26"/>
      <c r="I47" s="26"/>
      <c r="J47" s="26"/>
      <c r="K47" s="26"/>
      <c r="L47" s="27"/>
    </row>
    <row r="48" spans="1:12" x14ac:dyDescent="0.35">
      <c r="A48" s="40" t="str">
        <f>Summary!A25</f>
        <v>Average current consumption</v>
      </c>
      <c r="B48" s="41">
        <f>Summary!D25</f>
        <v>2.8461406779661014E-2</v>
      </c>
      <c r="C48" s="42" t="str">
        <f>Summary!E25</f>
        <v>mA</v>
      </c>
      <c r="D48" s="36"/>
      <c r="E48" s="36"/>
      <c r="F48" s="36"/>
      <c r="G48" s="36"/>
      <c r="H48" s="36"/>
      <c r="I48" s="36"/>
      <c r="J48" s="36"/>
      <c r="K48" s="36"/>
      <c r="L48" s="37"/>
    </row>
    <row r="49" spans="1:12" ht="15" thickBot="1" x14ac:dyDescent="0.4">
      <c r="A49" s="43"/>
      <c r="B49" s="44">
        <f>Summary!D26</f>
        <v>28.461406779661015</v>
      </c>
      <c r="C49" s="45" t="str">
        <f>Summary!E26</f>
        <v>uA</v>
      </c>
      <c r="D49" s="36"/>
      <c r="E49" s="36"/>
      <c r="F49" s="36"/>
      <c r="G49" s="36"/>
      <c r="H49" s="36"/>
      <c r="I49" s="36"/>
      <c r="J49" s="36"/>
      <c r="K49" s="36"/>
      <c r="L49" s="37"/>
    </row>
    <row r="50" spans="1:12" x14ac:dyDescent="0.35">
      <c r="A50" s="46" t="str">
        <f>Summary!A27</f>
        <v>Estimated battery lifetime</v>
      </c>
      <c r="B50" s="47">
        <f>Summary!D27</f>
        <v>139135.77886915556</v>
      </c>
      <c r="C50" s="48" t="str">
        <f>Summary!E27</f>
        <v>hours</v>
      </c>
      <c r="D50" s="36"/>
      <c r="E50" s="36"/>
      <c r="F50" s="36"/>
      <c r="G50" s="36"/>
      <c r="H50" s="36"/>
      <c r="I50" s="36"/>
      <c r="J50" s="36"/>
      <c r="K50" s="36"/>
      <c r="L50" s="37"/>
    </row>
    <row r="51" spans="1:12" x14ac:dyDescent="0.35">
      <c r="A51" s="46"/>
      <c r="B51" s="47">
        <f>Summary!D28</f>
        <v>5797.3241195481487</v>
      </c>
      <c r="C51" s="48" t="str">
        <f>Summary!E28</f>
        <v>days</v>
      </c>
      <c r="D51" s="36"/>
      <c r="E51" s="36"/>
      <c r="F51" s="36"/>
      <c r="G51" s="36"/>
      <c r="H51" s="36"/>
      <c r="I51" s="36"/>
      <c r="J51" s="36"/>
      <c r="K51" s="36"/>
      <c r="L51" s="37"/>
    </row>
    <row r="52" spans="1:12" ht="15" thickBot="1" x14ac:dyDescent="0.4">
      <c r="A52" s="43"/>
      <c r="B52" s="44">
        <f>Summary!D29</f>
        <v>15.883079779583969</v>
      </c>
      <c r="C52" s="45" t="str">
        <f>Summary!E29</f>
        <v>years</v>
      </c>
      <c r="D52" s="38"/>
      <c r="E52" s="38"/>
      <c r="F52" s="38"/>
      <c r="G52" s="38"/>
      <c r="H52" s="38"/>
      <c r="I52" s="38"/>
      <c r="J52" s="38"/>
      <c r="K52" s="38"/>
      <c r="L52" s="39"/>
    </row>
    <row r="53" spans="1:12" x14ac:dyDescent="0.35">
      <c r="D53"/>
      <c r="E53"/>
      <c r="F53"/>
      <c r="G53"/>
      <c r="H53"/>
      <c r="I53"/>
      <c r="J53"/>
      <c r="K53"/>
      <c r="L53"/>
    </row>
    <row r="54" spans="1:12" x14ac:dyDescent="0.35">
      <c r="D54"/>
      <c r="E54"/>
      <c r="F54"/>
      <c r="G54"/>
      <c r="H54"/>
      <c r="I54"/>
      <c r="J54"/>
      <c r="K54"/>
      <c r="L54"/>
    </row>
    <row r="55" spans="1:12" x14ac:dyDescent="0.35">
      <c r="D55"/>
      <c r="E55"/>
      <c r="F55"/>
      <c r="G55"/>
      <c r="H55"/>
      <c r="I55"/>
      <c r="J55"/>
      <c r="K55"/>
      <c r="L55"/>
    </row>
    <row r="56" spans="1:12" x14ac:dyDescent="0.35">
      <c r="D56"/>
      <c r="E56"/>
      <c r="F56"/>
      <c r="G56"/>
      <c r="H56"/>
      <c r="I56"/>
      <c r="J56"/>
      <c r="K56"/>
      <c r="L56"/>
    </row>
    <row r="57" spans="1:12" x14ac:dyDescent="0.35">
      <c r="D57"/>
      <c r="E57"/>
      <c r="F57"/>
      <c r="G57"/>
      <c r="H57"/>
      <c r="I57"/>
      <c r="J57"/>
      <c r="K57"/>
      <c r="L57"/>
    </row>
    <row r="58" spans="1:12" x14ac:dyDescent="0.35">
      <c r="D58"/>
      <c r="E58"/>
      <c r="F58"/>
      <c r="G58"/>
      <c r="H58"/>
      <c r="I58"/>
      <c r="J58"/>
      <c r="K58"/>
      <c r="L58"/>
    </row>
    <row r="59" spans="1:12" x14ac:dyDescent="0.35">
      <c r="D59"/>
      <c r="E59"/>
      <c r="F59"/>
      <c r="G59"/>
      <c r="H59"/>
      <c r="I59"/>
      <c r="J59"/>
      <c r="K59"/>
      <c r="L59"/>
    </row>
    <row r="60" spans="1:12" x14ac:dyDescent="0.35">
      <c r="D60"/>
      <c r="E60"/>
      <c r="F60"/>
      <c r="G60"/>
      <c r="H60"/>
      <c r="I60"/>
      <c r="J60"/>
      <c r="K60"/>
      <c r="L60"/>
    </row>
    <row r="61" spans="1:12" x14ac:dyDescent="0.35">
      <c r="D61"/>
      <c r="E61"/>
      <c r="F61"/>
      <c r="G61"/>
      <c r="H61"/>
      <c r="I61"/>
      <c r="J61"/>
      <c r="K61"/>
      <c r="L61"/>
    </row>
    <row r="62" spans="1:12" x14ac:dyDescent="0.35">
      <c r="D62"/>
      <c r="E62"/>
      <c r="F62"/>
      <c r="G62"/>
      <c r="H62"/>
      <c r="I62"/>
      <c r="J62"/>
      <c r="K62"/>
      <c r="L62"/>
    </row>
    <row r="63" spans="1:12" x14ac:dyDescent="0.35">
      <c r="D63"/>
      <c r="E63"/>
      <c r="F63"/>
      <c r="G63"/>
      <c r="H63"/>
      <c r="I63"/>
      <c r="J63"/>
      <c r="K63"/>
      <c r="L63"/>
    </row>
    <row r="64" spans="1:12" x14ac:dyDescent="0.35">
      <c r="D64"/>
      <c r="E64"/>
      <c r="F64"/>
      <c r="G64"/>
      <c r="H64"/>
      <c r="I64"/>
      <c r="J64"/>
      <c r="K64"/>
      <c r="L64"/>
    </row>
    <row r="65" customFormat="1" x14ac:dyDescent="0.35"/>
    <row r="66" customFormat="1" x14ac:dyDescent="0.35"/>
    <row r="67" customFormat="1" x14ac:dyDescent="0.35"/>
    <row r="68" customFormat="1" x14ac:dyDescent="0.35"/>
    <row r="69" customFormat="1" x14ac:dyDescent="0.35"/>
    <row r="70" customFormat="1" x14ac:dyDescent="0.35"/>
    <row r="71" customFormat="1" x14ac:dyDescent="0.35"/>
    <row r="72" customFormat="1" x14ac:dyDescent="0.35"/>
    <row r="73" customFormat="1" x14ac:dyDescent="0.35"/>
    <row r="74" customFormat="1" x14ac:dyDescent="0.35"/>
    <row r="75" customFormat="1" x14ac:dyDescent="0.35"/>
    <row r="76" customFormat="1" x14ac:dyDescent="0.35"/>
    <row r="77" customFormat="1" x14ac:dyDescent="0.35"/>
    <row r="78" customFormat="1" x14ac:dyDescent="0.35"/>
    <row r="79" customFormat="1" x14ac:dyDescent="0.35"/>
    <row r="80" customFormat="1" x14ac:dyDescent="0.35"/>
    <row r="81" customFormat="1" x14ac:dyDescent="0.35"/>
    <row r="82" customFormat="1" x14ac:dyDescent="0.35"/>
    <row r="83" customFormat="1" x14ac:dyDescent="0.35"/>
    <row r="84" customFormat="1" x14ac:dyDescent="0.35"/>
    <row r="85" customFormat="1" x14ac:dyDescent="0.35"/>
    <row r="86" customFormat="1" x14ac:dyDescent="0.35"/>
    <row r="87" customFormat="1" x14ac:dyDescent="0.35"/>
    <row r="88" customFormat="1" x14ac:dyDescent="0.35"/>
    <row r="89" customFormat="1" x14ac:dyDescent="0.35"/>
    <row r="90" customFormat="1" x14ac:dyDescent="0.35"/>
    <row r="91" customFormat="1" x14ac:dyDescent="0.35"/>
    <row r="92" customFormat="1" x14ac:dyDescent="0.35"/>
    <row r="93" customFormat="1" x14ac:dyDescent="0.35"/>
    <row r="94" customFormat="1" x14ac:dyDescent="0.35"/>
    <row r="95" customFormat="1" x14ac:dyDescent="0.35"/>
    <row r="96" customFormat="1" x14ac:dyDescent="0.35"/>
    <row r="97" customFormat="1" x14ac:dyDescent="0.35"/>
    <row r="98" customFormat="1" x14ac:dyDescent="0.35"/>
    <row r="99" customFormat="1" x14ac:dyDescent="0.35"/>
    <row r="100" customFormat="1" x14ac:dyDescent="0.35"/>
    <row r="101" customFormat="1" x14ac:dyDescent="0.35"/>
    <row r="102" customFormat="1" x14ac:dyDescent="0.35"/>
    <row r="103" customFormat="1" x14ac:dyDescent="0.35"/>
    <row r="104" customFormat="1" x14ac:dyDescent="0.35"/>
    <row r="105" customFormat="1" x14ac:dyDescent="0.35"/>
    <row r="106" customFormat="1" x14ac:dyDescent="0.35"/>
    <row r="107" customFormat="1" x14ac:dyDescent="0.35"/>
    <row r="108" customFormat="1" x14ac:dyDescent="0.35"/>
    <row r="109" customFormat="1" x14ac:dyDescent="0.35"/>
    <row r="110" customFormat="1" x14ac:dyDescent="0.35"/>
    <row r="111" customFormat="1" x14ac:dyDescent="0.35"/>
    <row r="112" customFormat="1" x14ac:dyDescent="0.35"/>
    <row r="113" customFormat="1" x14ac:dyDescent="0.35"/>
    <row r="114" customFormat="1" x14ac:dyDescent="0.35"/>
    <row r="115" customFormat="1" x14ac:dyDescent="0.35"/>
    <row r="116" customFormat="1" x14ac:dyDescent="0.35"/>
    <row r="117" customFormat="1" x14ac:dyDescent="0.35"/>
    <row r="118" customFormat="1" x14ac:dyDescent="0.35"/>
    <row r="119" customFormat="1" x14ac:dyDescent="0.35"/>
    <row r="120" customFormat="1" x14ac:dyDescent="0.35"/>
    <row r="121" customFormat="1" x14ac:dyDescent="0.35"/>
    <row r="122" customFormat="1" x14ac:dyDescent="0.35"/>
    <row r="123" customFormat="1" x14ac:dyDescent="0.35"/>
    <row r="124" customFormat="1" x14ac:dyDescent="0.35"/>
    <row r="125" customFormat="1" x14ac:dyDescent="0.35"/>
    <row r="126" customFormat="1" x14ac:dyDescent="0.35"/>
    <row r="127" customFormat="1" x14ac:dyDescent="0.35"/>
    <row r="128" customFormat="1" x14ac:dyDescent="0.35"/>
    <row r="129" customFormat="1" x14ac:dyDescent="0.35"/>
    <row r="130" customFormat="1" x14ac:dyDescent="0.35"/>
    <row r="131" customFormat="1" x14ac:dyDescent="0.35"/>
    <row r="132" customFormat="1" x14ac:dyDescent="0.35"/>
    <row r="133" customFormat="1" x14ac:dyDescent="0.35"/>
    <row r="134" customFormat="1" x14ac:dyDescent="0.35"/>
    <row r="135" customFormat="1" x14ac:dyDescent="0.35"/>
    <row r="136" customFormat="1" x14ac:dyDescent="0.35"/>
    <row r="137" customFormat="1" x14ac:dyDescent="0.35"/>
    <row r="138" customFormat="1" x14ac:dyDescent="0.35"/>
    <row r="139" customFormat="1" x14ac:dyDescent="0.35"/>
    <row r="140" customFormat="1" x14ac:dyDescent="0.35"/>
    <row r="141" customFormat="1" x14ac:dyDescent="0.35"/>
    <row r="142" customFormat="1" x14ac:dyDescent="0.35"/>
    <row r="143" customFormat="1" x14ac:dyDescent="0.35"/>
    <row r="144" customFormat="1" x14ac:dyDescent="0.35"/>
    <row r="145" customFormat="1" x14ac:dyDescent="0.35"/>
    <row r="146" customFormat="1" x14ac:dyDescent="0.35"/>
    <row r="147" customFormat="1" x14ac:dyDescent="0.35"/>
    <row r="148" customFormat="1" x14ac:dyDescent="0.35"/>
    <row r="149" customFormat="1" x14ac:dyDescent="0.35"/>
    <row r="150" customFormat="1" x14ac:dyDescent="0.35"/>
    <row r="151" customFormat="1" x14ac:dyDescent="0.35"/>
    <row r="152" customFormat="1" x14ac:dyDescent="0.35"/>
    <row r="153" customFormat="1" x14ac:dyDescent="0.35"/>
    <row r="154" customFormat="1" x14ac:dyDescent="0.35"/>
    <row r="155" customFormat="1" x14ac:dyDescent="0.35"/>
    <row r="156" customFormat="1" x14ac:dyDescent="0.35"/>
    <row r="157" customFormat="1" x14ac:dyDescent="0.35"/>
    <row r="158" customFormat="1" x14ac:dyDescent="0.35"/>
    <row r="159" customFormat="1" x14ac:dyDescent="0.35"/>
    <row r="160" customFormat="1" x14ac:dyDescent="0.35"/>
    <row r="161" customFormat="1" x14ac:dyDescent="0.35"/>
    <row r="162" customFormat="1" x14ac:dyDescent="0.35"/>
    <row r="163" customFormat="1" x14ac:dyDescent="0.35"/>
    <row r="164" customFormat="1" x14ac:dyDescent="0.35"/>
    <row r="165" customFormat="1" x14ac:dyDescent="0.35"/>
    <row r="166" customFormat="1" x14ac:dyDescent="0.35"/>
    <row r="167" customFormat="1" x14ac:dyDescent="0.35"/>
    <row r="168" customFormat="1" x14ac:dyDescent="0.35"/>
    <row r="169" customFormat="1" x14ac:dyDescent="0.35"/>
    <row r="170" customFormat="1" x14ac:dyDescent="0.35"/>
    <row r="171" customFormat="1" x14ac:dyDescent="0.35"/>
    <row r="172" customFormat="1" x14ac:dyDescent="0.35"/>
    <row r="173" customFormat="1" x14ac:dyDescent="0.35"/>
    <row r="174" customFormat="1" x14ac:dyDescent="0.35"/>
    <row r="175" customFormat="1" x14ac:dyDescent="0.35"/>
    <row r="176" customFormat="1" x14ac:dyDescent="0.35"/>
    <row r="177" customFormat="1" x14ac:dyDescent="0.35"/>
    <row r="178" customFormat="1" x14ac:dyDescent="0.35"/>
    <row r="179" customFormat="1" x14ac:dyDescent="0.35"/>
    <row r="180" customFormat="1" x14ac:dyDescent="0.35"/>
    <row r="181" customFormat="1" x14ac:dyDescent="0.35"/>
    <row r="182" customFormat="1" x14ac:dyDescent="0.35"/>
    <row r="183" customFormat="1" x14ac:dyDescent="0.35"/>
    <row r="184" customFormat="1" x14ac:dyDescent="0.35"/>
    <row r="185" customFormat="1" x14ac:dyDescent="0.35"/>
    <row r="186" customFormat="1" x14ac:dyDescent="0.35"/>
    <row r="187" customFormat="1" x14ac:dyDescent="0.35"/>
    <row r="188" customFormat="1" x14ac:dyDescent="0.35"/>
    <row r="189" customFormat="1" x14ac:dyDescent="0.35"/>
    <row r="190" customFormat="1" x14ac:dyDescent="0.35"/>
    <row r="191" customFormat="1" x14ac:dyDescent="0.35"/>
    <row r="192" customFormat="1" x14ac:dyDescent="0.35"/>
    <row r="193" customFormat="1" x14ac:dyDescent="0.35"/>
    <row r="194" customFormat="1" x14ac:dyDescent="0.35"/>
    <row r="195" customFormat="1" x14ac:dyDescent="0.35"/>
    <row r="196" customFormat="1" x14ac:dyDescent="0.35"/>
    <row r="197" customFormat="1" x14ac:dyDescent="0.35"/>
    <row r="198" customFormat="1" x14ac:dyDescent="0.35"/>
    <row r="199" customFormat="1" x14ac:dyDescent="0.35"/>
    <row r="200" customFormat="1" x14ac:dyDescent="0.35"/>
    <row r="201" customFormat="1" x14ac:dyDescent="0.35"/>
    <row r="202" customFormat="1" x14ac:dyDescent="0.35"/>
    <row r="203" customFormat="1" x14ac:dyDescent="0.35"/>
    <row r="204" customFormat="1" x14ac:dyDescent="0.35"/>
    <row r="205" customFormat="1" x14ac:dyDescent="0.35"/>
    <row r="206" customFormat="1" x14ac:dyDescent="0.35"/>
    <row r="207" customFormat="1" x14ac:dyDescent="0.35"/>
    <row r="208" customFormat="1" x14ac:dyDescent="0.35"/>
    <row r="209" customFormat="1" x14ac:dyDescent="0.35"/>
    <row r="210" customFormat="1" x14ac:dyDescent="0.35"/>
    <row r="211" customFormat="1" x14ac:dyDescent="0.35"/>
    <row r="212" customFormat="1" x14ac:dyDescent="0.35"/>
    <row r="213" customFormat="1" x14ac:dyDescent="0.35"/>
    <row r="214" customFormat="1" x14ac:dyDescent="0.35"/>
    <row r="215" customFormat="1" x14ac:dyDescent="0.35"/>
    <row r="216" customFormat="1" x14ac:dyDescent="0.35"/>
    <row r="217" customFormat="1" x14ac:dyDescent="0.35"/>
    <row r="218" customFormat="1" x14ac:dyDescent="0.35"/>
    <row r="219" customFormat="1" x14ac:dyDescent="0.35"/>
    <row r="220" customFormat="1" x14ac:dyDescent="0.35"/>
    <row r="221" customFormat="1" x14ac:dyDescent="0.35"/>
    <row r="222" customFormat="1" x14ac:dyDescent="0.35"/>
    <row r="223" customFormat="1" x14ac:dyDescent="0.35"/>
    <row r="224" customFormat="1" x14ac:dyDescent="0.35"/>
    <row r="225" customFormat="1" x14ac:dyDescent="0.35"/>
    <row r="226" customFormat="1" x14ac:dyDescent="0.35"/>
    <row r="227" customFormat="1" x14ac:dyDescent="0.35"/>
    <row r="228" customFormat="1" x14ac:dyDescent="0.35"/>
    <row r="229" customFormat="1" x14ac:dyDescent="0.35"/>
    <row r="230" customFormat="1" x14ac:dyDescent="0.35"/>
    <row r="231" customFormat="1" x14ac:dyDescent="0.35"/>
    <row r="232" customFormat="1" x14ac:dyDescent="0.35"/>
    <row r="233" customFormat="1" x14ac:dyDescent="0.35"/>
    <row r="234" customFormat="1" x14ac:dyDescent="0.35"/>
    <row r="235" customFormat="1" x14ac:dyDescent="0.35"/>
    <row r="236" customFormat="1" x14ac:dyDescent="0.35"/>
    <row r="237" customFormat="1" x14ac:dyDescent="0.35"/>
    <row r="238" customFormat="1" x14ac:dyDescent="0.35"/>
    <row r="239" customFormat="1" x14ac:dyDescent="0.35"/>
    <row r="240" customFormat="1" x14ac:dyDescent="0.35"/>
    <row r="241" customFormat="1" x14ac:dyDescent="0.35"/>
    <row r="242" customFormat="1" x14ac:dyDescent="0.35"/>
    <row r="243" customFormat="1" x14ac:dyDescent="0.35"/>
    <row r="244" customFormat="1" x14ac:dyDescent="0.35"/>
    <row r="245" customFormat="1" x14ac:dyDescent="0.35"/>
    <row r="246" customFormat="1" x14ac:dyDescent="0.35"/>
    <row r="247" customFormat="1" x14ac:dyDescent="0.35"/>
    <row r="248" customFormat="1" x14ac:dyDescent="0.35"/>
    <row r="249" customFormat="1" x14ac:dyDescent="0.35"/>
    <row r="250" customFormat="1" x14ac:dyDescent="0.35"/>
    <row r="251" customFormat="1" x14ac:dyDescent="0.35"/>
    <row r="252" customFormat="1" x14ac:dyDescent="0.35"/>
    <row r="253" customFormat="1" x14ac:dyDescent="0.35"/>
    <row r="254" customFormat="1" x14ac:dyDescent="0.35"/>
    <row r="255" customFormat="1" x14ac:dyDescent="0.35"/>
    <row r="256" customFormat="1" x14ac:dyDescent="0.35"/>
    <row r="257" customFormat="1" x14ac:dyDescent="0.35"/>
    <row r="258" customFormat="1" x14ac:dyDescent="0.35"/>
    <row r="259" customFormat="1" x14ac:dyDescent="0.35"/>
    <row r="260" customFormat="1" x14ac:dyDescent="0.35"/>
    <row r="261" customFormat="1" x14ac:dyDescent="0.35"/>
    <row r="262" customFormat="1" x14ac:dyDescent="0.35"/>
    <row r="263" customFormat="1" x14ac:dyDescent="0.35"/>
    <row r="264" customFormat="1" x14ac:dyDescent="0.35"/>
    <row r="265" customFormat="1" x14ac:dyDescent="0.35"/>
    <row r="266" customFormat="1" x14ac:dyDescent="0.35"/>
    <row r="267" customFormat="1" x14ac:dyDescent="0.35"/>
    <row r="268" customFormat="1" x14ac:dyDescent="0.35"/>
    <row r="269" customFormat="1" x14ac:dyDescent="0.35"/>
    <row r="270" customFormat="1" x14ac:dyDescent="0.35"/>
    <row r="271" customFormat="1" x14ac:dyDescent="0.35"/>
    <row r="272" customFormat="1" x14ac:dyDescent="0.35"/>
    <row r="273" customFormat="1" x14ac:dyDescent="0.35"/>
    <row r="274" customFormat="1" x14ac:dyDescent="0.35"/>
    <row r="275" customFormat="1" x14ac:dyDescent="0.35"/>
    <row r="276" customFormat="1" x14ac:dyDescent="0.35"/>
    <row r="277" customFormat="1" x14ac:dyDescent="0.35"/>
    <row r="278" customFormat="1" x14ac:dyDescent="0.35"/>
    <row r="279" customFormat="1" x14ac:dyDescent="0.35"/>
    <row r="280" customFormat="1" x14ac:dyDescent="0.35"/>
    <row r="281" customFormat="1" x14ac:dyDescent="0.35"/>
    <row r="282" customFormat="1" x14ac:dyDescent="0.35"/>
    <row r="283" customFormat="1" x14ac:dyDescent="0.35"/>
    <row r="284" customFormat="1" x14ac:dyDescent="0.35"/>
    <row r="285" customFormat="1" x14ac:dyDescent="0.35"/>
    <row r="286" customFormat="1" x14ac:dyDescent="0.35"/>
    <row r="287" customFormat="1" x14ac:dyDescent="0.35"/>
    <row r="288" customFormat="1" x14ac:dyDescent="0.35"/>
    <row r="289" customFormat="1" x14ac:dyDescent="0.35"/>
    <row r="290" customFormat="1" x14ac:dyDescent="0.35"/>
    <row r="291" customFormat="1" x14ac:dyDescent="0.35"/>
    <row r="292" customFormat="1" x14ac:dyDescent="0.35"/>
    <row r="293" customFormat="1" x14ac:dyDescent="0.35"/>
    <row r="294" customFormat="1" x14ac:dyDescent="0.35"/>
    <row r="295" customFormat="1" x14ac:dyDescent="0.35"/>
    <row r="296" customFormat="1" x14ac:dyDescent="0.35"/>
    <row r="297" customFormat="1" x14ac:dyDescent="0.35"/>
    <row r="298" customFormat="1" x14ac:dyDescent="0.35"/>
    <row r="299" customFormat="1" x14ac:dyDescent="0.35"/>
    <row r="300" customFormat="1" x14ac:dyDescent="0.35"/>
    <row r="301" customFormat="1" x14ac:dyDescent="0.35"/>
    <row r="302" customFormat="1" x14ac:dyDescent="0.35"/>
    <row r="303" customFormat="1" x14ac:dyDescent="0.35"/>
    <row r="304" customFormat="1" x14ac:dyDescent="0.35"/>
    <row r="305" customFormat="1" x14ac:dyDescent="0.35"/>
    <row r="306" customFormat="1" x14ac:dyDescent="0.35"/>
    <row r="307" customFormat="1" x14ac:dyDescent="0.35"/>
    <row r="308" customFormat="1" x14ac:dyDescent="0.35"/>
    <row r="309" customFormat="1" x14ac:dyDescent="0.35"/>
    <row r="310" customFormat="1" x14ac:dyDescent="0.35"/>
    <row r="311" customFormat="1" x14ac:dyDescent="0.35"/>
    <row r="312" customFormat="1" x14ac:dyDescent="0.35"/>
    <row r="313" customFormat="1" x14ac:dyDescent="0.35"/>
    <row r="314" customFormat="1" x14ac:dyDescent="0.35"/>
    <row r="315" customFormat="1" x14ac:dyDescent="0.35"/>
    <row r="316" customFormat="1" x14ac:dyDescent="0.35"/>
    <row r="317" customFormat="1" x14ac:dyDescent="0.35"/>
    <row r="318" customFormat="1" x14ac:dyDescent="0.35"/>
    <row r="319" customFormat="1" x14ac:dyDescent="0.35"/>
    <row r="320" customFormat="1" x14ac:dyDescent="0.35"/>
    <row r="321" customFormat="1" x14ac:dyDescent="0.35"/>
    <row r="322" customFormat="1" x14ac:dyDescent="0.35"/>
    <row r="323" customFormat="1" x14ac:dyDescent="0.35"/>
    <row r="324" customFormat="1" x14ac:dyDescent="0.35"/>
    <row r="325" customFormat="1" x14ac:dyDescent="0.35"/>
    <row r="326" customFormat="1" x14ac:dyDescent="0.35"/>
    <row r="327" customFormat="1" x14ac:dyDescent="0.35"/>
    <row r="328" customFormat="1" x14ac:dyDescent="0.35"/>
    <row r="329" customFormat="1" x14ac:dyDescent="0.35"/>
    <row r="330" customFormat="1" x14ac:dyDescent="0.35"/>
    <row r="331" customFormat="1" x14ac:dyDescent="0.35"/>
    <row r="332" customFormat="1" x14ac:dyDescent="0.35"/>
    <row r="333" customFormat="1" x14ac:dyDescent="0.35"/>
    <row r="334" customFormat="1" x14ac:dyDescent="0.35"/>
    <row r="335" customFormat="1" x14ac:dyDescent="0.35"/>
    <row r="336" customFormat="1" x14ac:dyDescent="0.35"/>
    <row r="337" customFormat="1" x14ac:dyDescent="0.35"/>
    <row r="338" customFormat="1" x14ac:dyDescent="0.35"/>
    <row r="339" customFormat="1" x14ac:dyDescent="0.35"/>
    <row r="340" customFormat="1" x14ac:dyDescent="0.35"/>
    <row r="341" customFormat="1" x14ac:dyDescent="0.35"/>
    <row r="342" customFormat="1" x14ac:dyDescent="0.35"/>
    <row r="343" customFormat="1" x14ac:dyDescent="0.35"/>
    <row r="344" customFormat="1" x14ac:dyDescent="0.35"/>
    <row r="345" customFormat="1" x14ac:dyDescent="0.35"/>
    <row r="346" customFormat="1" x14ac:dyDescent="0.35"/>
    <row r="347" customFormat="1" x14ac:dyDescent="0.35"/>
    <row r="348" customFormat="1" x14ac:dyDescent="0.35"/>
    <row r="349" customFormat="1" x14ac:dyDescent="0.35"/>
    <row r="350" customFormat="1" x14ac:dyDescent="0.35"/>
    <row r="351" customFormat="1" x14ac:dyDescent="0.35"/>
    <row r="352" customFormat="1" x14ac:dyDescent="0.35"/>
    <row r="353" customFormat="1" x14ac:dyDescent="0.35"/>
    <row r="354" customFormat="1" x14ac:dyDescent="0.35"/>
    <row r="355" customFormat="1" x14ac:dyDescent="0.35"/>
    <row r="356" customFormat="1" x14ac:dyDescent="0.35"/>
    <row r="357" customFormat="1" x14ac:dyDescent="0.35"/>
    <row r="358" customFormat="1" x14ac:dyDescent="0.35"/>
    <row r="359" customFormat="1" x14ac:dyDescent="0.35"/>
    <row r="360" customFormat="1" x14ac:dyDescent="0.35"/>
    <row r="361" customFormat="1" x14ac:dyDescent="0.35"/>
    <row r="362" customFormat="1" x14ac:dyDescent="0.35"/>
    <row r="363" customFormat="1" x14ac:dyDescent="0.35"/>
    <row r="364" customFormat="1" x14ac:dyDescent="0.35"/>
    <row r="365" customFormat="1" x14ac:dyDescent="0.35"/>
    <row r="366" customFormat="1" x14ac:dyDescent="0.35"/>
    <row r="367" customFormat="1" x14ac:dyDescent="0.35"/>
    <row r="368" customFormat="1" x14ac:dyDescent="0.35"/>
    <row r="369" customFormat="1" x14ac:dyDescent="0.35"/>
    <row r="370" customFormat="1" x14ac:dyDescent="0.35"/>
    <row r="371" customFormat="1" x14ac:dyDescent="0.35"/>
    <row r="372" customFormat="1" x14ac:dyDescent="0.35"/>
    <row r="373" customFormat="1" x14ac:dyDescent="0.35"/>
    <row r="374" customFormat="1" x14ac:dyDescent="0.35"/>
    <row r="375" customFormat="1" x14ac:dyDescent="0.35"/>
    <row r="376" customFormat="1" x14ac:dyDescent="0.35"/>
    <row r="377" customFormat="1" x14ac:dyDescent="0.35"/>
    <row r="378" customFormat="1" x14ac:dyDescent="0.35"/>
    <row r="379" customFormat="1" x14ac:dyDescent="0.35"/>
    <row r="380" customFormat="1" x14ac:dyDescent="0.35"/>
    <row r="381" customFormat="1" x14ac:dyDescent="0.35"/>
    <row r="382" customFormat="1" x14ac:dyDescent="0.35"/>
    <row r="383" customFormat="1" x14ac:dyDescent="0.35"/>
    <row r="384" customFormat="1" x14ac:dyDescent="0.35"/>
    <row r="385" customFormat="1" x14ac:dyDescent="0.35"/>
    <row r="386" customFormat="1" x14ac:dyDescent="0.35"/>
    <row r="387" customFormat="1" x14ac:dyDescent="0.35"/>
    <row r="388" customFormat="1" x14ac:dyDescent="0.35"/>
    <row r="389" customFormat="1" x14ac:dyDescent="0.35"/>
    <row r="390" customFormat="1" x14ac:dyDescent="0.35"/>
    <row r="391" customFormat="1" x14ac:dyDescent="0.35"/>
    <row r="392" customFormat="1" x14ac:dyDescent="0.35"/>
    <row r="393" customFormat="1" x14ac:dyDescent="0.35"/>
    <row r="394" customFormat="1" x14ac:dyDescent="0.35"/>
    <row r="395" customFormat="1" x14ac:dyDescent="0.35"/>
    <row r="396" customFormat="1" x14ac:dyDescent="0.35"/>
    <row r="397" customFormat="1" x14ac:dyDescent="0.35"/>
    <row r="398" customFormat="1" x14ac:dyDescent="0.35"/>
    <row r="399" customFormat="1" x14ac:dyDescent="0.35"/>
    <row r="400" customFormat="1" x14ac:dyDescent="0.35"/>
    <row r="401" customFormat="1" x14ac:dyDescent="0.35"/>
    <row r="402" customFormat="1" x14ac:dyDescent="0.35"/>
    <row r="403" customFormat="1" x14ac:dyDescent="0.35"/>
    <row r="404" customFormat="1" x14ac:dyDescent="0.35"/>
    <row r="405" customFormat="1" x14ac:dyDescent="0.35"/>
    <row r="406" customFormat="1" x14ac:dyDescent="0.35"/>
    <row r="407" customFormat="1" x14ac:dyDescent="0.35"/>
    <row r="408" customFormat="1" x14ac:dyDescent="0.35"/>
    <row r="409" customFormat="1" x14ac:dyDescent="0.35"/>
    <row r="410" customFormat="1" x14ac:dyDescent="0.35"/>
    <row r="411" customFormat="1" x14ac:dyDescent="0.35"/>
    <row r="412" customFormat="1" x14ac:dyDescent="0.35"/>
    <row r="413" customFormat="1" x14ac:dyDescent="0.35"/>
    <row r="414" customFormat="1" x14ac:dyDescent="0.35"/>
    <row r="415" customFormat="1" x14ac:dyDescent="0.35"/>
    <row r="416" customFormat="1" x14ac:dyDescent="0.35"/>
    <row r="417" customFormat="1" x14ac:dyDescent="0.35"/>
    <row r="418" customFormat="1" x14ac:dyDescent="0.35"/>
    <row r="419" customFormat="1" x14ac:dyDescent="0.35"/>
    <row r="420" customFormat="1" x14ac:dyDescent="0.35"/>
    <row r="421" customFormat="1" x14ac:dyDescent="0.35"/>
    <row r="422" customFormat="1" x14ac:dyDescent="0.35"/>
    <row r="423" customFormat="1" x14ac:dyDescent="0.35"/>
    <row r="424" customFormat="1" x14ac:dyDescent="0.35"/>
    <row r="425" customFormat="1" x14ac:dyDescent="0.35"/>
    <row r="426" customFormat="1" x14ac:dyDescent="0.35"/>
    <row r="427" customFormat="1" x14ac:dyDescent="0.35"/>
    <row r="428" customFormat="1" x14ac:dyDescent="0.35"/>
    <row r="429" customFormat="1" x14ac:dyDescent="0.35"/>
    <row r="430" customFormat="1" x14ac:dyDescent="0.35"/>
    <row r="431" customFormat="1" x14ac:dyDescent="0.35"/>
    <row r="432" customFormat="1" x14ac:dyDescent="0.35"/>
    <row r="433" customFormat="1" x14ac:dyDescent="0.35"/>
    <row r="434" customFormat="1" x14ac:dyDescent="0.35"/>
    <row r="435" customFormat="1" x14ac:dyDescent="0.35"/>
    <row r="436" customFormat="1" x14ac:dyDescent="0.35"/>
    <row r="437" customFormat="1" x14ac:dyDescent="0.35"/>
    <row r="438" customFormat="1" x14ac:dyDescent="0.35"/>
    <row r="439" customFormat="1" x14ac:dyDescent="0.35"/>
    <row r="440" customFormat="1" x14ac:dyDescent="0.35"/>
    <row r="441" customFormat="1" x14ac:dyDescent="0.35"/>
    <row r="442" customFormat="1" x14ac:dyDescent="0.35"/>
    <row r="443" customFormat="1" x14ac:dyDescent="0.35"/>
    <row r="444" customFormat="1" x14ac:dyDescent="0.35"/>
    <row r="445" customFormat="1" x14ac:dyDescent="0.35"/>
    <row r="446" customFormat="1" x14ac:dyDescent="0.35"/>
    <row r="447" customFormat="1" x14ac:dyDescent="0.35"/>
    <row r="448" customFormat="1" x14ac:dyDescent="0.35"/>
    <row r="449" customFormat="1" x14ac:dyDescent="0.35"/>
    <row r="450" customFormat="1" x14ac:dyDescent="0.35"/>
    <row r="451" customFormat="1" x14ac:dyDescent="0.35"/>
    <row r="452" customFormat="1" x14ac:dyDescent="0.35"/>
    <row r="453" customFormat="1" x14ac:dyDescent="0.35"/>
    <row r="454" customFormat="1" x14ac:dyDescent="0.35"/>
    <row r="455" customFormat="1" x14ac:dyDescent="0.35"/>
    <row r="456" customFormat="1" x14ac:dyDescent="0.35"/>
    <row r="457" customFormat="1" x14ac:dyDescent="0.35"/>
    <row r="458" customFormat="1" x14ac:dyDescent="0.35"/>
    <row r="459" customFormat="1" x14ac:dyDescent="0.35"/>
    <row r="460" customFormat="1" x14ac:dyDescent="0.35"/>
    <row r="461" customFormat="1" x14ac:dyDescent="0.35"/>
    <row r="462" customFormat="1" x14ac:dyDescent="0.35"/>
    <row r="463" customFormat="1" x14ac:dyDescent="0.35"/>
    <row r="464" customFormat="1" x14ac:dyDescent="0.35"/>
    <row r="465" customFormat="1" x14ac:dyDescent="0.35"/>
    <row r="466" customFormat="1" x14ac:dyDescent="0.35"/>
    <row r="467" customFormat="1" x14ac:dyDescent="0.35"/>
    <row r="468" customFormat="1" x14ac:dyDescent="0.35"/>
    <row r="469" customFormat="1" x14ac:dyDescent="0.35"/>
    <row r="470" customFormat="1" x14ac:dyDescent="0.35"/>
    <row r="471" customFormat="1" x14ac:dyDescent="0.35"/>
    <row r="472" customFormat="1" x14ac:dyDescent="0.35"/>
    <row r="473" customFormat="1" x14ac:dyDescent="0.35"/>
    <row r="474" customFormat="1" x14ac:dyDescent="0.35"/>
    <row r="475" customFormat="1" x14ac:dyDescent="0.35"/>
    <row r="476" customFormat="1" x14ac:dyDescent="0.35"/>
    <row r="477" customFormat="1" x14ac:dyDescent="0.35"/>
    <row r="478" customFormat="1" x14ac:dyDescent="0.35"/>
    <row r="479" customFormat="1" x14ac:dyDescent="0.35"/>
    <row r="480" customFormat="1" x14ac:dyDescent="0.35"/>
    <row r="481" customFormat="1" x14ac:dyDescent="0.35"/>
    <row r="482" customFormat="1" x14ac:dyDescent="0.35"/>
    <row r="483" customFormat="1" x14ac:dyDescent="0.35"/>
    <row r="484" customFormat="1" x14ac:dyDescent="0.35"/>
    <row r="485" customFormat="1" x14ac:dyDescent="0.35"/>
    <row r="486" customFormat="1" x14ac:dyDescent="0.35"/>
    <row r="487" customFormat="1" x14ac:dyDescent="0.35"/>
    <row r="488" customFormat="1" x14ac:dyDescent="0.35"/>
    <row r="489" customFormat="1" x14ac:dyDescent="0.35"/>
    <row r="490" customFormat="1" x14ac:dyDescent="0.35"/>
    <row r="491" customFormat="1" x14ac:dyDescent="0.35"/>
    <row r="492" customFormat="1" x14ac:dyDescent="0.35"/>
    <row r="493" customFormat="1" x14ac:dyDescent="0.35"/>
    <row r="494" customFormat="1" x14ac:dyDescent="0.35"/>
    <row r="495" customFormat="1" x14ac:dyDescent="0.35"/>
    <row r="496" customFormat="1" x14ac:dyDescent="0.35"/>
    <row r="497" customFormat="1" x14ac:dyDescent="0.35"/>
    <row r="498" customFormat="1" x14ac:dyDescent="0.35"/>
    <row r="499" customFormat="1" x14ac:dyDescent="0.35"/>
    <row r="500" customFormat="1" x14ac:dyDescent="0.35"/>
    <row r="501" customFormat="1" x14ac:dyDescent="0.35"/>
    <row r="502" customFormat="1" x14ac:dyDescent="0.35"/>
    <row r="503" customFormat="1" x14ac:dyDescent="0.35"/>
    <row r="504" customFormat="1" x14ac:dyDescent="0.35"/>
    <row r="505" customFormat="1" x14ac:dyDescent="0.35"/>
    <row r="506" customFormat="1" x14ac:dyDescent="0.35"/>
    <row r="507" customFormat="1" x14ac:dyDescent="0.35"/>
    <row r="508" customFormat="1" x14ac:dyDescent="0.35"/>
    <row r="509" customFormat="1" x14ac:dyDescent="0.35"/>
    <row r="510" customFormat="1" x14ac:dyDescent="0.35"/>
    <row r="511" customFormat="1" x14ac:dyDescent="0.35"/>
    <row r="512" customFormat="1" x14ac:dyDescent="0.35"/>
    <row r="513" customFormat="1" x14ac:dyDescent="0.35"/>
    <row r="514" customFormat="1" x14ac:dyDescent="0.35"/>
    <row r="515" customFormat="1" x14ac:dyDescent="0.35"/>
    <row r="516" customFormat="1" x14ac:dyDescent="0.35"/>
    <row r="517" customFormat="1" x14ac:dyDescent="0.35"/>
    <row r="518" customFormat="1" x14ac:dyDescent="0.35"/>
    <row r="519" customFormat="1" x14ac:dyDescent="0.35"/>
    <row r="520" customFormat="1" x14ac:dyDescent="0.35"/>
    <row r="521" customFormat="1" x14ac:dyDescent="0.35"/>
    <row r="522" customFormat="1" x14ac:dyDescent="0.35"/>
    <row r="523" customFormat="1" x14ac:dyDescent="0.35"/>
    <row r="524" customFormat="1" x14ac:dyDescent="0.35"/>
    <row r="525" customFormat="1" x14ac:dyDescent="0.35"/>
    <row r="526" customFormat="1" x14ac:dyDescent="0.35"/>
    <row r="527" customFormat="1" x14ac:dyDescent="0.35"/>
    <row r="528" customFormat="1" x14ac:dyDescent="0.35"/>
    <row r="529" customFormat="1" x14ac:dyDescent="0.35"/>
    <row r="530" customFormat="1" x14ac:dyDescent="0.35"/>
    <row r="531" customFormat="1" x14ac:dyDescent="0.35"/>
    <row r="532" customFormat="1" x14ac:dyDescent="0.35"/>
    <row r="533" customFormat="1" x14ac:dyDescent="0.35"/>
    <row r="534" customFormat="1" x14ac:dyDescent="0.35"/>
    <row r="535" customFormat="1" x14ac:dyDescent="0.35"/>
    <row r="536" customFormat="1" x14ac:dyDescent="0.35"/>
    <row r="537" customFormat="1" x14ac:dyDescent="0.35"/>
    <row r="538" customFormat="1" x14ac:dyDescent="0.35"/>
    <row r="539" customFormat="1" x14ac:dyDescent="0.35"/>
    <row r="540" customFormat="1" x14ac:dyDescent="0.35"/>
    <row r="541" customFormat="1" x14ac:dyDescent="0.35"/>
    <row r="542" customFormat="1" x14ac:dyDescent="0.35"/>
    <row r="543" customFormat="1" x14ac:dyDescent="0.35"/>
    <row r="544" customFormat="1" x14ac:dyDescent="0.35"/>
    <row r="545" customFormat="1" x14ac:dyDescent="0.35"/>
    <row r="546" customFormat="1" x14ac:dyDescent="0.35"/>
    <row r="547" customFormat="1" x14ac:dyDescent="0.35"/>
    <row r="548" customFormat="1" x14ac:dyDescent="0.35"/>
    <row r="549" customFormat="1" x14ac:dyDescent="0.35"/>
    <row r="550" customFormat="1" x14ac:dyDescent="0.35"/>
    <row r="551" customFormat="1" x14ac:dyDescent="0.35"/>
    <row r="552" customFormat="1" x14ac:dyDescent="0.35"/>
    <row r="553" customFormat="1" x14ac:dyDescent="0.35"/>
    <row r="554" customFormat="1" x14ac:dyDescent="0.35"/>
    <row r="555" customFormat="1" x14ac:dyDescent="0.35"/>
    <row r="556" customFormat="1" x14ac:dyDescent="0.35"/>
    <row r="557" customFormat="1" x14ac:dyDescent="0.35"/>
    <row r="558" customFormat="1" x14ac:dyDescent="0.35"/>
    <row r="559" customFormat="1" x14ac:dyDescent="0.35"/>
    <row r="560" customFormat="1" x14ac:dyDescent="0.35"/>
    <row r="561" customFormat="1" x14ac:dyDescent="0.35"/>
    <row r="562" customFormat="1" x14ac:dyDescent="0.35"/>
    <row r="563" customFormat="1" x14ac:dyDescent="0.35"/>
    <row r="564" customFormat="1" x14ac:dyDescent="0.35"/>
    <row r="565" customFormat="1" x14ac:dyDescent="0.35"/>
    <row r="566" customFormat="1" x14ac:dyDescent="0.35"/>
    <row r="567" customFormat="1" x14ac:dyDescent="0.35"/>
    <row r="568" customFormat="1" x14ac:dyDescent="0.35"/>
    <row r="569" customFormat="1" x14ac:dyDescent="0.35"/>
    <row r="570" customFormat="1" x14ac:dyDescent="0.35"/>
    <row r="571" customFormat="1" x14ac:dyDescent="0.35"/>
    <row r="572" customFormat="1" x14ac:dyDescent="0.35"/>
    <row r="573" customFormat="1" x14ac:dyDescent="0.35"/>
    <row r="574" customFormat="1" x14ac:dyDescent="0.35"/>
    <row r="575" customFormat="1" x14ac:dyDescent="0.35"/>
    <row r="576" customFormat="1" x14ac:dyDescent="0.35"/>
    <row r="577" customFormat="1" x14ac:dyDescent="0.35"/>
    <row r="578" customFormat="1" x14ac:dyDescent="0.35"/>
    <row r="579" customFormat="1" x14ac:dyDescent="0.35"/>
    <row r="580" customFormat="1" x14ac:dyDescent="0.35"/>
    <row r="581" customFormat="1" x14ac:dyDescent="0.35"/>
    <row r="582" customFormat="1" x14ac:dyDescent="0.35"/>
    <row r="583" customFormat="1" x14ac:dyDescent="0.35"/>
    <row r="584" customFormat="1" x14ac:dyDescent="0.35"/>
    <row r="585" customFormat="1" x14ac:dyDescent="0.35"/>
    <row r="586" customFormat="1" x14ac:dyDescent="0.35"/>
    <row r="587" customFormat="1" x14ac:dyDescent="0.35"/>
    <row r="588" customFormat="1" x14ac:dyDescent="0.35"/>
    <row r="589" customFormat="1" x14ac:dyDescent="0.35"/>
    <row r="590" customFormat="1" x14ac:dyDescent="0.35"/>
    <row r="591" customFormat="1" x14ac:dyDescent="0.35"/>
    <row r="592" customFormat="1" x14ac:dyDescent="0.35"/>
    <row r="593" customFormat="1" x14ac:dyDescent="0.35"/>
    <row r="594" customFormat="1" x14ac:dyDescent="0.35"/>
    <row r="595" customFormat="1" x14ac:dyDescent="0.35"/>
    <row r="596" customFormat="1" x14ac:dyDescent="0.35"/>
    <row r="597" customFormat="1" x14ac:dyDescent="0.35"/>
    <row r="598" customFormat="1" x14ac:dyDescent="0.35"/>
    <row r="599" customFormat="1" x14ac:dyDescent="0.35"/>
    <row r="600" customFormat="1" x14ac:dyDescent="0.35"/>
    <row r="601" customFormat="1" x14ac:dyDescent="0.35"/>
    <row r="602" customFormat="1" x14ac:dyDescent="0.35"/>
    <row r="603" customFormat="1" x14ac:dyDescent="0.35"/>
    <row r="604" customFormat="1" x14ac:dyDescent="0.35"/>
    <row r="605" customFormat="1" x14ac:dyDescent="0.35"/>
    <row r="606" customFormat="1" x14ac:dyDescent="0.35"/>
    <row r="607" customFormat="1" x14ac:dyDescent="0.35"/>
    <row r="608" customFormat="1" x14ac:dyDescent="0.35"/>
    <row r="609" customFormat="1" x14ac:dyDescent="0.35"/>
    <row r="610" customFormat="1" x14ac:dyDescent="0.35"/>
    <row r="611" customFormat="1" x14ac:dyDescent="0.35"/>
  </sheetData>
  <sheetProtection algorithmName="SHA-512" hashValue="l80dRWUghgqWyxwhwVOkmtWvm/gdZErqLj45gWGtj8awlwzaTdXIEQoFcPXsj2icqfBAxfjHQx5augFxN3PtSw==" saltValue="k38AexxZZy+/x0ELU3sx+g==" spinCount="100000" sheet="1" objects="1" scenarios="1"/>
  <mergeCells count="2">
    <mergeCell ref="A46:B47"/>
    <mergeCell ref="A2:B2"/>
  </mergeCells>
  <conditionalFormatting sqref="A46:B47">
    <cfRule type="containsText" dxfId="0" priority="1" operator="containsText" text="WARNING">
      <formula>NOT(ISERROR(SEARCH("WARNING",A46)))</formula>
    </cfRule>
  </conditionalFormatting>
  <dataValidations count="4">
    <dataValidation type="decimal" allowBlank="1" showInputMessage="1" showErrorMessage="1" sqref="B30:B31 B40:B41 B38 B22:B23 B45 B43 B25" xr:uid="{3F109940-5A0B-45B1-9DAD-C2557A10593F}">
      <formula1>0.5</formula1>
      <formula2>1000</formula2>
    </dataValidation>
    <dataValidation type="whole" allowBlank="1" showInputMessage="1" showErrorMessage="1" sqref="B14" xr:uid="{9F5DE972-C1B3-40E1-962C-2A3D70B78AFE}">
      <formula1>1</formula1>
      <formula2>27</formula2>
    </dataValidation>
    <dataValidation type="whole" allowBlank="1" showInputMessage="1" showErrorMessage="1" sqref="B15 B17" xr:uid="{69BA8C29-6E2F-4C30-85C6-0FC779A32F99}">
      <formula1>0</formula1>
      <formula2>20</formula2>
    </dataValidation>
    <dataValidation type="whole" allowBlank="1" showInputMessage="1" showErrorMessage="1" sqref="B16" xr:uid="{04804175-0882-4C39-BF0C-C8777DB1ADE0}">
      <formula1>0</formula1>
      <formula2>200</formula2>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6736FC77-5597-443C-911B-62D22011F0A2}">
          <x14:formula1>
            <xm:f>'Internal (TSCH-options)'!$A$5:$A$10</xm:f>
          </x14:formula1>
          <xm:sqref>B10</xm:sqref>
        </x14:dataValidation>
        <x14:dataValidation type="list" allowBlank="1" showInputMessage="1" showErrorMessage="1" xr:uid="{51E831D7-8E59-4A2B-BDCA-73B987422F8A}">
          <x14:formula1>
            <xm:f>'Internal (TSCH-options)'!$A$26:$A$32</xm:f>
          </x14:formula1>
          <xm:sqref>B12</xm:sqref>
        </x14:dataValidation>
        <x14:dataValidation type="list" allowBlank="1" showInputMessage="1" showErrorMessage="1" xr:uid="{FF682DA6-C7CE-450C-9C16-134B4819325B}">
          <x14:formula1>
            <xm:f>'Internal (TSCH-options)'!$C$35:$C$40</xm:f>
          </x14:formula1>
          <xm:sqref>B13</xm:sqref>
        </x14:dataValidation>
        <x14:dataValidation type="list" allowBlank="1" showInputMessage="1" showErrorMessage="1" xr:uid="{D7A76C5A-1714-4A7A-9E05-04D43742B41F}">
          <x14:formula1>
            <xm:f>'Internal (Batteries)'!$A$1:$A$12</xm:f>
          </x14:formula1>
          <xm:sqref>B3</xm:sqref>
        </x14:dataValidation>
        <x14:dataValidation type="list" allowBlank="1" showInputMessage="1" showErrorMessage="1" xr:uid="{F2A14D37-25D1-49F9-8321-53CE9CA6EBF2}">
          <x14:formula1>
            <xm:f>'Internal (TSCH-options)'!$A$49:$A$50</xm:f>
          </x14:formula1>
          <xm:sqref>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3A8D6-318C-454F-B55C-ACD6B7869072}">
  <dimension ref="A1:L6"/>
  <sheetViews>
    <sheetView workbookViewId="0">
      <selection activeCell="C18" sqref="C18"/>
    </sheetView>
  </sheetViews>
  <sheetFormatPr defaultRowHeight="14.5" x14ac:dyDescent="0.35"/>
  <cols>
    <col min="1" max="1" width="9" customWidth="1"/>
    <col min="2" max="2" width="10.453125" bestFit="1" customWidth="1"/>
    <col min="3" max="3" width="63.1796875" customWidth="1"/>
  </cols>
  <sheetData>
    <row r="1" spans="1:12" ht="90" customHeight="1" thickBot="1" x14ac:dyDescent="0.4">
      <c r="A1" s="62"/>
      <c r="B1" s="15"/>
      <c r="C1" s="15"/>
      <c r="D1" s="63"/>
      <c r="E1" s="63"/>
      <c r="F1" s="63"/>
      <c r="G1" s="63"/>
      <c r="H1" s="63"/>
      <c r="I1" s="63"/>
      <c r="J1" s="63"/>
      <c r="K1" s="63"/>
      <c r="L1" s="64"/>
    </row>
    <row r="2" spans="1:12" ht="36" customHeight="1" thickBot="1" x14ac:dyDescent="0.4">
      <c r="A2" s="89" t="s">
        <v>106</v>
      </c>
      <c r="B2" s="90"/>
      <c r="C2" s="90"/>
      <c r="D2" s="90"/>
      <c r="E2" s="90"/>
      <c r="F2" s="90"/>
      <c r="G2" s="90"/>
      <c r="H2" s="90"/>
      <c r="I2" s="90"/>
      <c r="J2" s="90"/>
      <c r="K2" s="90"/>
      <c r="L2" s="91"/>
    </row>
    <row r="3" spans="1:12" s="15" customFormat="1" ht="15" thickBot="1" x14ac:dyDescent="0.4">
      <c r="A3" s="13" t="s">
        <v>0</v>
      </c>
      <c r="B3" s="14" t="s">
        <v>20</v>
      </c>
      <c r="C3" s="14" t="s">
        <v>70</v>
      </c>
    </row>
    <row r="4" spans="1:12" ht="30.75" customHeight="1" x14ac:dyDescent="0.35">
      <c r="A4" t="s">
        <v>111</v>
      </c>
      <c r="B4" s="21">
        <v>44414</v>
      </c>
      <c r="C4" s="16" t="s">
        <v>110</v>
      </c>
    </row>
    <row r="5" spans="1:12" x14ac:dyDescent="0.35">
      <c r="A5" s="79" t="s">
        <v>117</v>
      </c>
      <c r="B5" s="21">
        <v>44461</v>
      </c>
      <c r="C5" s="81" t="s">
        <v>118</v>
      </c>
    </row>
    <row r="6" spans="1:12" x14ac:dyDescent="0.35">
      <c r="A6" s="79" t="s">
        <v>120</v>
      </c>
      <c r="B6" s="21">
        <v>45050</v>
      </c>
      <c r="C6" s="81" t="s">
        <v>128</v>
      </c>
    </row>
  </sheetData>
  <sheetProtection algorithmName="SHA-512" hashValue="3OQKgjpumYRSwmYMFRjCWPj2ESC1q4xn/VY+Coe+9zQQweB18Ojw3v8V64K8F+03PUussJEB9KCI1ioEIYoCtg==" saltValue="Ea4PohcNAHSCcoRn+OiyAw==" spinCount="100000" sheet="1" selectLockedCells="1" selectUnlockedCells="1"/>
  <mergeCells count="1">
    <mergeCell ref="A2:L2"/>
  </mergeCells>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FFA9C-4E55-4AB8-9C25-BB9460F3976B}">
  <dimension ref="A1:U50"/>
  <sheetViews>
    <sheetView topLeftCell="A14" workbookViewId="0">
      <selection activeCell="A20" sqref="A1:XFD1048576"/>
    </sheetView>
  </sheetViews>
  <sheetFormatPr defaultColWidth="9.1796875" defaultRowHeight="14.5" x14ac:dyDescent="0.35"/>
  <cols>
    <col min="1" max="1" width="36.1796875" style="94" customWidth="1"/>
    <col min="2" max="2" width="36.1796875" style="93" customWidth="1"/>
    <col min="3" max="4" width="9.1796875" style="93"/>
    <col min="5" max="5" width="14" style="93" customWidth="1"/>
    <col min="6" max="8" width="9.1796875" style="93"/>
    <col min="9" max="9" width="9.1796875" style="95"/>
    <col min="10" max="10" width="15.6328125" style="93" customWidth="1"/>
    <col min="11" max="16384" width="9.1796875" style="93"/>
  </cols>
  <sheetData>
    <row r="1" spans="1:21" x14ac:dyDescent="0.35">
      <c r="A1" s="92"/>
      <c r="B1" s="93" t="s">
        <v>135</v>
      </c>
      <c r="C1" s="108" t="s">
        <v>126</v>
      </c>
      <c r="D1" s="109"/>
      <c r="E1" s="109" t="s">
        <v>28</v>
      </c>
      <c r="F1" s="109" t="s">
        <v>29</v>
      </c>
      <c r="G1" s="109" t="s">
        <v>39</v>
      </c>
      <c r="H1" s="109"/>
      <c r="I1" s="110"/>
      <c r="J1" s="108" t="s">
        <v>127</v>
      </c>
    </row>
    <row r="2" spans="1:21" x14ac:dyDescent="0.35">
      <c r="A2" s="94" t="s">
        <v>8</v>
      </c>
      <c r="B2" s="93">
        <f>IF(Input!$B$9="50 kb/s",'Internal (TSCH-options)'!C2,'Internal (TSCH-options)'!J2)</f>
        <v>1.0005999999999999</v>
      </c>
      <c r="C2" s="93">
        <v>1.1906000000000001</v>
      </c>
      <c r="J2" s="93">
        <v>1.0005999999999999</v>
      </c>
    </row>
    <row r="3" spans="1:21" x14ac:dyDescent="0.35">
      <c r="A3" s="94" t="s">
        <v>9</v>
      </c>
      <c r="B3" s="93">
        <f>IF(Input!$B$9="50 kb/s",'Internal (TSCH-options)'!C3,'Internal (TSCH-options)'!J3)</f>
        <v>4.2599999999999999E-2</v>
      </c>
      <c r="C3" s="93">
        <v>6.8599999999999994E-2</v>
      </c>
      <c r="J3" s="93">
        <v>4.2599999999999999E-2</v>
      </c>
      <c r="Q3" s="93" t="s">
        <v>129</v>
      </c>
      <c r="R3" s="93" t="s">
        <v>130</v>
      </c>
      <c r="S3" s="93" t="s">
        <v>131</v>
      </c>
      <c r="T3" s="93" t="s">
        <v>132</v>
      </c>
    </row>
    <row r="4" spans="1:21" x14ac:dyDescent="0.35">
      <c r="J4" s="96" t="s">
        <v>127</v>
      </c>
      <c r="K4" s="96"/>
      <c r="L4" s="96"/>
      <c r="M4" s="96"/>
      <c r="N4" s="97"/>
    </row>
    <row r="5" spans="1:21" x14ac:dyDescent="0.35">
      <c r="A5" s="94" t="s">
        <v>113</v>
      </c>
      <c r="B5" s="93">
        <f>IF(Input!$B$12="50kb/s",'Internal (TSCH-options)'!D5,'Internal (TSCH-options)'!K5)</f>
        <v>0.11</v>
      </c>
      <c r="C5" s="93" t="s">
        <v>13</v>
      </c>
      <c r="D5" s="93">
        <v>0.11</v>
      </c>
      <c r="E5" s="93">
        <v>1E-3</v>
      </c>
      <c r="F5" s="93">
        <v>2E-3</v>
      </c>
      <c r="G5" s="93">
        <v>1E-4</v>
      </c>
      <c r="H5" s="93" t="s">
        <v>8</v>
      </c>
      <c r="J5" s="93" t="s">
        <v>13</v>
      </c>
      <c r="K5" s="93">
        <v>0.11</v>
      </c>
      <c r="L5" s="93">
        <v>1E-3</v>
      </c>
      <c r="M5" s="93">
        <v>2E-3</v>
      </c>
      <c r="N5" s="98">
        <v>1E-4</v>
      </c>
      <c r="Q5" s="93" t="s">
        <v>133</v>
      </c>
      <c r="R5" s="93">
        <v>37</v>
      </c>
      <c r="S5" s="93">
        <v>61</v>
      </c>
      <c r="T5" s="93">
        <v>47</v>
      </c>
    </row>
    <row r="6" spans="1:21" x14ac:dyDescent="0.35">
      <c r="A6" s="94" t="s">
        <v>114</v>
      </c>
      <c r="B6" s="93">
        <f>IF(Input!$B$12="50kb/s",'Internal (TSCH-options)'!D6,'Internal (TSCH-options)'!K6)</f>
        <v>0.108</v>
      </c>
      <c r="C6" s="93" t="s">
        <v>14</v>
      </c>
      <c r="D6" s="93">
        <v>0.108</v>
      </c>
      <c r="E6" s="93">
        <v>1E-3</v>
      </c>
      <c r="F6" s="93">
        <v>2E-3</v>
      </c>
      <c r="G6" s="93">
        <v>1E-4</v>
      </c>
      <c r="H6" s="93" t="s">
        <v>9</v>
      </c>
      <c r="J6" s="93" t="s">
        <v>14</v>
      </c>
      <c r="K6" s="93">
        <v>0.108</v>
      </c>
      <c r="L6" s="93">
        <v>1E-3</v>
      </c>
      <c r="M6" s="93">
        <v>2E-3</v>
      </c>
      <c r="N6" s="98">
        <v>1E-4</v>
      </c>
      <c r="Q6" s="93">
        <f>13</f>
        <v>13</v>
      </c>
      <c r="R6" s="93">
        <v>17</v>
      </c>
      <c r="S6" s="93">
        <v>61</v>
      </c>
      <c r="T6" s="93">
        <v>47</v>
      </c>
      <c r="U6" s="93">
        <v>0.13</v>
      </c>
    </row>
    <row r="7" spans="1:21" x14ac:dyDescent="0.35">
      <c r="A7" s="94" t="s">
        <v>115</v>
      </c>
      <c r="B7" s="93">
        <f>IF(Input!$B$12="50kb/s",'Internal (TSCH-options)'!D7,'Internal (TSCH-options)'!K7)</f>
        <v>5.8000000000000003E-2</v>
      </c>
      <c r="C7" s="93" t="s">
        <v>13</v>
      </c>
      <c r="D7" s="93">
        <v>5.8000000000000003E-2</v>
      </c>
      <c r="E7" s="93">
        <v>1.6000000000000001E-3</v>
      </c>
      <c r="F7" s="93">
        <v>2E-3</v>
      </c>
      <c r="G7" s="93">
        <v>1E-4</v>
      </c>
      <c r="H7" s="93" t="s">
        <v>9</v>
      </c>
      <c r="J7" s="93" t="s">
        <v>13</v>
      </c>
      <c r="K7" s="93">
        <v>5.8000000000000003E-2</v>
      </c>
      <c r="L7" s="93">
        <v>1.6000000000000001E-3</v>
      </c>
      <c r="M7" s="93">
        <v>2E-3</v>
      </c>
      <c r="N7" s="98">
        <v>1E-4</v>
      </c>
      <c r="P7" s="93">
        <v>0.189</v>
      </c>
      <c r="Q7" s="93">
        <f>13</f>
        <v>13</v>
      </c>
      <c r="R7" s="93">
        <v>37</v>
      </c>
      <c r="S7" s="93">
        <v>61</v>
      </c>
      <c r="T7" s="93">
        <v>47</v>
      </c>
      <c r="U7" s="93">
        <v>9.0999999999999998E-2</v>
      </c>
    </row>
    <row r="8" spans="1:21" x14ac:dyDescent="0.35">
      <c r="A8" s="94" t="s">
        <v>116</v>
      </c>
      <c r="B8" s="93">
        <f>IF(Input!$B$12="50kb/s",'Internal (TSCH-options)'!D8,'Internal (TSCH-options)'!K8)</f>
        <v>0</v>
      </c>
      <c r="C8" s="93" t="s">
        <v>15</v>
      </c>
      <c r="D8" s="93">
        <v>0</v>
      </c>
      <c r="E8" s="93">
        <v>1E-3</v>
      </c>
      <c r="F8" s="93">
        <v>2E-3</v>
      </c>
      <c r="G8" s="93">
        <v>1E-4</v>
      </c>
      <c r="H8" s="93" t="s">
        <v>9</v>
      </c>
      <c r="J8" s="93" t="s">
        <v>15</v>
      </c>
      <c r="K8" s="93">
        <v>0</v>
      </c>
      <c r="L8" s="93">
        <v>1E-3</v>
      </c>
      <c r="M8" s="93">
        <v>2E-3</v>
      </c>
      <c r="N8" s="98">
        <v>1E-4</v>
      </c>
      <c r="P8" s="93">
        <v>0.114</v>
      </c>
      <c r="Q8" s="93">
        <f>13</f>
        <v>13</v>
      </c>
      <c r="R8" s="93">
        <v>59</v>
      </c>
      <c r="S8" s="93">
        <v>89</v>
      </c>
      <c r="T8" s="93">
        <v>133</v>
      </c>
      <c r="U8" s="93">
        <v>5.7000000000000002E-2</v>
      </c>
    </row>
    <row r="9" spans="1:21" x14ac:dyDescent="0.35">
      <c r="A9" s="94" t="s">
        <v>121</v>
      </c>
      <c r="B9" s="93">
        <f>IF(Input!$B$12="50kb/s",'Internal (TSCH-options)'!D9,'Internal (TSCH-options)'!K9)</f>
        <v>0</v>
      </c>
      <c r="C9" s="93" t="s">
        <v>15</v>
      </c>
      <c r="D9" s="93">
        <v>0</v>
      </c>
      <c r="E9" s="93">
        <v>1E-3</v>
      </c>
      <c r="F9" s="93">
        <v>2E-3</v>
      </c>
      <c r="G9" s="93">
        <v>1E-4</v>
      </c>
      <c r="H9" s="93" t="s">
        <v>9</v>
      </c>
      <c r="J9" s="93" t="s">
        <v>15</v>
      </c>
      <c r="K9" s="93">
        <v>0</v>
      </c>
      <c r="L9" s="93">
        <v>1E-3</v>
      </c>
      <c r="M9" s="93">
        <v>2E-3</v>
      </c>
      <c r="N9" s="98">
        <v>1E-4</v>
      </c>
      <c r="P9" s="93">
        <v>9.7000000000000003E-2</v>
      </c>
      <c r="Q9" s="93">
        <v>59</v>
      </c>
      <c r="R9" s="93">
        <v>59</v>
      </c>
      <c r="S9" s="93">
        <v>89</v>
      </c>
      <c r="T9" s="93">
        <v>133</v>
      </c>
      <c r="U9" s="93">
        <v>4.7E-2</v>
      </c>
    </row>
    <row r="10" spans="1:21" x14ac:dyDescent="0.35">
      <c r="A10" s="94" t="s">
        <v>122</v>
      </c>
      <c r="B10" s="93">
        <f>IF(Input!$B$12="50kb/s",'Internal (TSCH-options)'!D10,'Internal (TSCH-options)'!K10)</f>
        <v>-1.9E-2</v>
      </c>
      <c r="C10" s="93" t="s">
        <v>123</v>
      </c>
      <c r="D10" s="93">
        <v>-3.5000000000000003E-2</v>
      </c>
      <c r="E10" s="93">
        <v>1E-3</v>
      </c>
      <c r="F10" s="93">
        <v>2E-3</v>
      </c>
      <c r="G10" s="93">
        <v>1E-4</v>
      </c>
      <c r="H10" s="93" t="s">
        <v>9</v>
      </c>
      <c r="J10" s="99" t="s">
        <v>123</v>
      </c>
      <c r="K10" s="99">
        <v>-1.9E-2</v>
      </c>
      <c r="L10" s="99">
        <v>1E-3</v>
      </c>
      <c r="M10" s="99">
        <v>2E-3</v>
      </c>
      <c r="N10" s="100">
        <v>1E-4</v>
      </c>
      <c r="P10" s="93">
        <v>5.0999999999999997E-2</v>
      </c>
      <c r="Q10" s="93">
        <v>133</v>
      </c>
      <c r="R10" s="93">
        <v>133</v>
      </c>
      <c r="S10" s="93">
        <v>179</v>
      </c>
      <c r="T10" s="93">
        <f>203</f>
        <v>203</v>
      </c>
      <c r="U10" s="93">
        <v>2.7E-2</v>
      </c>
    </row>
    <row r="11" spans="1:21" x14ac:dyDescent="0.35">
      <c r="A11" s="94" t="s">
        <v>67</v>
      </c>
      <c r="B11" s="93">
        <f>IF(Input!B18="50kb/s",'Internal (TSCH-options)'!C11,'Internal (TSCH-options)'!J11)</f>
        <v>0</v>
      </c>
      <c r="C11" s="93" t="str">
        <f>_xlfn.XLOOKUP(TSCHSettings,A5:A10,H5:H10)</f>
        <v>TSCH_PASSIVE</v>
      </c>
      <c r="Q11" s="93">
        <v>29</v>
      </c>
      <c r="R11" s="93">
        <v>59</v>
      </c>
      <c r="S11" s="93">
        <v>89</v>
      </c>
      <c r="T11" s="93">
        <v>133</v>
      </c>
      <c r="U11" s="93">
        <v>5.1999999999999998E-2</v>
      </c>
    </row>
    <row r="12" spans="1:21" x14ac:dyDescent="0.35">
      <c r="A12" s="93"/>
    </row>
    <row r="13" spans="1:21" x14ac:dyDescent="0.35">
      <c r="A13" s="94" t="s">
        <v>49</v>
      </c>
    </row>
    <row r="14" spans="1:21" x14ac:dyDescent="0.35">
      <c r="A14" s="94" t="s">
        <v>113</v>
      </c>
      <c r="B14" s="93">
        <v>60</v>
      </c>
    </row>
    <row r="15" spans="1:21" x14ac:dyDescent="0.35">
      <c r="A15" s="94" t="s">
        <v>114</v>
      </c>
      <c r="B15" s="93">
        <v>30</v>
      </c>
    </row>
    <row r="16" spans="1:21" x14ac:dyDescent="0.35">
      <c r="A16" s="94" t="s">
        <v>115</v>
      </c>
      <c r="B16" s="93">
        <v>30</v>
      </c>
    </row>
    <row r="17" spans="1:11" x14ac:dyDescent="0.35">
      <c r="A17" s="94" t="s">
        <v>116</v>
      </c>
      <c r="B17" s="93">
        <v>30</v>
      </c>
    </row>
    <row r="18" spans="1:11" x14ac:dyDescent="0.35">
      <c r="A18" s="94" t="s">
        <v>121</v>
      </c>
      <c r="B18" s="93">
        <v>7</v>
      </c>
    </row>
    <row r="19" spans="1:11" x14ac:dyDescent="0.35">
      <c r="A19" s="94" t="s">
        <v>122</v>
      </c>
      <c r="B19" s="93">
        <v>5</v>
      </c>
    </row>
    <row r="22" spans="1:11" x14ac:dyDescent="0.35">
      <c r="A22" s="94" t="s">
        <v>136</v>
      </c>
      <c r="B22" s="93">
        <f>IF(Input!$B$9="50 kb/s",'Internal (TSCH-options)'!C22,'Internal (TSCH-options)'!J22)</f>
        <v>13</v>
      </c>
      <c r="C22" s="93">
        <v>7</v>
      </c>
      <c r="J22" s="93">
        <v>13</v>
      </c>
    </row>
    <row r="23" spans="1:11" x14ac:dyDescent="0.35">
      <c r="A23" s="94" t="s">
        <v>137</v>
      </c>
      <c r="B23" s="93">
        <f>IF(Input!$B$9="50 kb/s",'Internal (TSCH-options)'!C23,'Internal (TSCH-options)'!J23)</f>
        <v>1.2999999999999999E-2</v>
      </c>
      <c r="C23" s="93">
        <v>2.1999999999999999E-2</v>
      </c>
      <c r="J23" s="93">
        <v>1.2999999999999999E-2</v>
      </c>
    </row>
    <row r="25" spans="1:11" x14ac:dyDescent="0.35">
      <c r="A25" s="101" t="s">
        <v>21</v>
      </c>
      <c r="B25" s="96"/>
      <c r="C25" s="96" t="s">
        <v>126</v>
      </c>
      <c r="D25" s="97"/>
      <c r="J25" s="96" t="s">
        <v>127</v>
      </c>
      <c r="K25" s="97"/>
    </row>
    <row r="26" spans="1:11" x14ac:dyDescent="0.35">
      <c r="A26" s="102">
        <v>2</v>
      </c>
      <c r="B26" s="93">
        <f>IF(Input!$B$9="50 kb/s",'Internal (TSCH-options)'!C26,'Internal (TSCH-options)'!J26)</f>
        <v>7.639719235104632E-2</v>
      </c>
      <c r="C26" s="93">
        <v>0.22919157705313895</v>
      </c>
      <c r="D26" s="98" t="s">
        <v>25</v>
      </c>
      <c r="J26" s="93">
        <f t="shared" ref="J26:J31" si="0">C26/3</f>
        <v>7.639719235104632E-2</v>
      </c>
      <c r="K26" s="98" t="s">
        <v>25</v>
      </c>
    </row>
    <row r="27" spans="1:11" x14ac:dyDescent="0.35">
      <c r="A27" s="102">
        <v>4</v>
      </c>
      <c r="B27" s="93">
        <f>IF(Input!$B$9="50 kb/s",'Internal (TSCH-options)'!C27,'Internal (TSCH-options)'!J27)</f>
        <v>4.5997192351046302E-2</v>
      </c>
      <c r="C27" s="93">
        <v>0.13799157705313891</v>
      </c>
      <c r="D27" s="98" t="s">
        <v>25</v>
      </c>
      <c r="J27" s="93">
        <f t="shared" si="0"/>
        <v>4.5997192351046302E-2</v>
      </c>
      <c r="K27" s="98" t="s">
        <v>25</v>
      </c>
    </row>
    <row r="28" spans="1:11" x14ac:dyDescent="0.35">
      <c r="A28" s="102">
        <v>8</v>
      </c>
      <c r="B28" s="93">
        <f>IF(Input!$B$9="50 kb/s",'Internal (TSCH-options)'!C28,'Internal (TSCH-options)'!J28)</f>
        <v>2.2397192351046313E-2</v>
      </c>
      <c r="C28" s="93">
        <v>6.719157705313894E-2</v>
      </c>
      <c r="D28" s="98" t="s">
        <v>25</v>
      </c>
      <c r="J28" s="93">
        <f t="shared" si="0"/>
        <v>2.2397192351046313E-2</v>
      </c>
      <c r="K28" s="98" t="s">
        <v>25</v>
      </c>
    </row>
    <row r="29" spans="1:11" x14ac:dyDescent="0.35">
      <c r="A29" s="102">
        <v>16</v>
      </c>
      <c r="B29" s="93">
        <f>IF(Input!$B$9="50 kb/s",'Internal (TSCH-options)'!C29,'Internal (TSCH-options)'!J29)</f>
        <v>1.0130525684379646E-2</v>
      </c>
      <c r="C29" s="93">
        <v>3.0391577053138941E-2</v>
      </c>
      <c r="D29" s="98" t="s">
        <v>25</v>
      </c>
      <c r="J29" s="93">
        <f t="shared" si="0"/>
        <v>1.0130525684379646E-2</v>
      </c>
      <c r="K29" s="98" t="s">
        <v>25</v>
      </c>
    </row>
    <row r="30" spans="1:11" x14ac:dyDescent="0.35">
      <c r="A30" s="102">
        <v>32</v>
      </c>
      <c r="B30" s="93">
        <f>IF(Input!$B$9="50 kb/s",'Internal (TSCH-options)'!C30,'Internal (TSCH-options)'!J30)</f>
        <v>4.1305256843796462E-3</v>
      </c>
      <c r="C30" s="93">
        <v>1.2391577053138939E-2</v>
      </c>
      <c r="D30" s="98" t="s">
        <v>25</v>
      </c>
      <c r="J30" s="93">
        <f t="shared" si="0"/>
        <v>4.1305256843796462E-3</v>
      </c>
      <c r="K30" s="98" t="s">
        <v>25</v>
      </c>
    </row>
    <row r="31" spans="1:11" x14ac:dyDescent="0.35">
      <c r="A31" s="102">
        <v>64</v>
      </c>
      <c r="B31" s="93">
        <f>IF(Input!$B$9="50 kb/s",'Internal (TSCH-options)'!C31,'Internal (TSCH-options)'!J31)</f>
        <v>1.2638590177129806E-3</v>
      </c>
      <c r="C31" s="93">
        <v>3.791577053138942E-3</v>
      </c>
      <c r="D31" s="98" t="s">
        <v>25</v>
      </c>
      <c r="J31" s="93">
        <f t="shared" si="0"/>
        <v>1.2638590177129806E-3</v>
      </c>
      <c r="K31" s="98" t="s">
        <v>25</v>
      </c>
    </row>
    <row r="32" spans="1:11" x14ac:dyDescent="0.35">
      <c r="A32" s="103">
        <v>128</v>
      </c>
      <c r="B32" s="99">
        <f>IF(Input!$B$9="50 kb/s",'Internal (TSCH-options)'!C32,'Internal (TSCH-options)'!J32)</f>
        <v>0</v>
      </c>
      <c r="C32" s="99">
        <v>0</v>
      </c>
      <c r="D32" s="100" t="s">
        <v>25</v>
      </c>
      <c r="J32" s="99">
        <v>0</v>
      </c>
      <c r="K32" s="100" t="s">
        <v>25</v>
      </c>
    </row>
    <row r="34" spans="1:11" x14ac:dyDescent="0.35">
      <c r="B34" s="93" t="s">
        <v>65</v>
      </c>
    </row>
    <row r="35" spans="1:11" x14ac:dyDescent="0.35">
      <c r="A35" s="94" t="s">
        <v>27</v>
      </c>
      <c r="B35" s="93">
        <f t="shared" ref="B35:B40" si="1">0.003/5%*C35/10</f>
        <v>0</v>
      </c>
      <c r="C35" s="104">
        <v>0</v>
      </c>
    </row>
    <row r="36" spans="1:11" x14ac:dyDescent="0.35">
      <c r="B36" s="93">
        <f t="shared" si="1"/>
        <v>5.9999999999999995E-5</v>
      </c>
      <c r="C36" s="104">
        <v>0.01</v>
      </c>
    </row>
    <row r="37" spans="1:11" x14ac:dyDescent="0.35">
      <c r="B37" s="93">
        <f t="shared" si="1"/>
        <v>1.1999999999999999E-4</v>
      </c>
      <c r="C37" s="104">
        <v>0.02</v>
      </c>
    </row>
    <row r="38" spans="1:11" x14ac:dyDescent="0.35">
      <c r="B38" s="93">
        <f t="shared" si="1"/>
        <v>1.7999999999999998E-4</v>
      </c>
      <c r="C38" s="104">
        <v>0.03</v>
      </c>
    </row>
    <row r="39" spans="1:11" x14ac:dyDescent="0.35">
      <c r="B39" s="93">
        <f t="shared" si="1"/>
        <v>2.3999999999999998E-4</v>
      </c>
      <c r="C39" s="104">
        <v>0.04</v>
      </c>
    </row>
    <row r="40" spans="1:11" x14ac:dyDescent="0.35">
      <c r="B40" s="93">
        <f t="shared" si="1"/>
        <v>3.0000000000000003E-4</v>
      </c>
      <c r="C40" s="104">
        <v>0.05</v>
      </c>
    </row>
    <row r="42" spans="1:11" x14ac:dyDescent="0.35">
      <c r="A42" s="94" t="s">
        <v>44</v>
      </c>
      <c r="B42" s="93">
        <f>IF(Input!$B$9="50 kb/s",'Internal (TSCH-options)'!C42,'Internal (TSCH-options)'!J42)</f>
        <v>1.6666666666666668E-3</v>
      </c>
      <c r="C42" s="105">
        <v>5.0000000000000001E-3</v>
      </c>
      <c r="D42" s="93" t="s">
        <v>25</v>
      </c>
      <c r="J42" s="106">
        <f>C42/3</f>
        <v>1.6666666666666668E-3</v>
      </c>
      <c r="K42" s="93" t="s">
        <v>25</v>
      </c>
    </row>
    <row r="43" spans="1:11" x14ac:dyDescent="0.35">
      <c r="A43" s="94" t="s">
        <v>40</v>
      </c>
      <c r="B43" s="93">
        <f>IF(Input!$B$9="50 kb/s",'Internal (TSCH-options)'!C43,'Internal (TSCH-options)'!J43)</f>
        <v>1.8333333333333333E-3</v>
      </c>
      <c r="C43" s="93">
        <v>5.4999999999999997E-3</v>
      </c>
      <c r="D43" s="93" t="s">
        <v>25</v>
      </c>
      <c r="J43" s="106">
        <f>C43/3</f>
        <v>1.8333333333333333E-3</v>
      </c>
      <c r="K43" s="93" t="s">
        <v>25</v>
      </c>
    </row>
    <row r="44" spans="1:11" x14ac:dyDescent="0.35">
      <c r="A44" s="94" t="s">
        <v>42</v>
      </c>
      <c r="B44" s="93">
        <f>IF(Input!$B$9="50 kb/s",'Internal (TSCH-options)'!C44,'Internal (TSCH-options)'!J44)</f>
        <v>2.3666666666666667E-3</v>
      </c>
      <c r="C44" s="93">
        <f>C43+0.0016</f>
        <v>7.0999999999999995E-3</v>
      </c>
      <c r="D44" s="93" t="s">
        <v>25</v>
      </c>
      <c r="J44" s="106">
        <f>C44/3</f>
        <v>2.3666666666666667E-3</v>
      </c>
      <c r="K44" s="93" t="s">
        <v>25</v>
      </c>
    </row>
    <row r="45" spans="1:11" x14ac:dyDescent="0.35">
      <c r="A45" s="94" t="s">
        <v>41</v>
      </c>
      <c r="B45" s="93">
        <f>IF(Input!$B$9="50 kb/s",'Internal (TSCH-options)'!C45,'Internal (TSCH-options)'!J45)</f>
        <v>2.8999999999999998E-3</v>
      </c>
      <c r="C45" s="93">
        <f>C44+0.0016</f>
        <v>8.6999999999999994E-3</v>
      </c>
      <c r="D45" s="93" t="s">
        <v>25</v>
      </c>
      <c r="J45" s="106">
        <f>C45/3</f>
        <v>2.8999999999999998E-3</v>
      </c>
      <c r="K45" s="93" t="s">
        <v>25</v>
      </c>
    </row>
    <row r="46" spans="1:11" x14ac:dyDescent="0.35">
      <c r="A46" s="94" t="s">
        <v>43</v>
      </c>
      <c r="B46" s="93">
        <f>IF(Input!$B$9="50 kb/s",'Internal (TSCH-options)'!C46,'Internal (TSCH-options)'!J46)</f>
        <v>2.666666666666667E-5</v>
      </c>
      <c r="C46" s="107">
        <f>0.0016/20</f>
        <v>8.0000000000000007E-5</v>
      </c>
      <c r="D46" s="93" t="s">
        <v>25</v>
      </c>
      <c r="J46" s="106">
        <f>C46/3</f>
        <v>2.666666666666667E-5</v>
      </c>
      <c r="K46" s="93" t="s">
        <v>25</v>
      </c>
    </row>
    <row r="48" spans="1:11" x14ac:dyDescent="0.35">
      <c r="B48" s="93" t="s">
        <v>134</v>
      </c>
    </row>
    <row r="49" spans="1:2" x14ac:dyDescent="0.35">
      <c r="A49" s="94" t="s">
        <v>126</v>
      </c>
      <c r="B49" s="93">
        <v>0</v>
      </c>
    </row>
    <row r="50" spans="1:2" x14ac:dyDescent="0.35">
      <c r="A50" s="94" t="s">
        <v>127</v>
      </c>
      <c r="B50" s="93">
        <v>7</v>
      </c>
    </row>
  </sheetData>
  <sheetProtection algorithmName="SHA-512" hashValue="YVixgKhbh8Jq3Cc+Qx3ps+JVNHmCg52Qaq0JqUCabOTxXbGzyG1Knn7uKeLibOluBmC3PJp6SDR+SLhJcB+mjw==" saltValue="yqZnNu78H1rON/TyAryFWA==" spinCount="100000" sheet="1" selectLockedCells="1" selectUnlockedCells="1"/>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A5FF0-88B2-4E29-BBEF-1A43339268CE}">
  <dimension ref="A1:D11"/>
  <sheetViews>
    <sheetView workbookViewId="0">
      <selection activeCell="D11" sqref="A1:D11"/>
    </sheetView>
  </sheetViews>
  <sheetFormatPr defaultColWidth="9.1796875" defaultRowHeight="14.5" x14ac:dyDescent="0.35"/>
  <cols>
    <col min="1" max="1" width="43.453125" style="81" customWidth="1"/>
    <col min="2" max="16384" width="9.1796875" style="81"/>
  </cols>
  <sheetData>
    <row r="1" spans="1:4" x14ac:dyDescent="0.35">
      <c r="A1" s="93" t="s">
        <v>6</v>
      </c>
      <c r="B1" s="93">
        <v>1100</v>
      </c>
      <c r="C1" s="93"/>
      <c r="D1" s="93"/>
    </row>
    <row r="2" spans="1:4" x14ac:dyDescent="0.35">
      <c r="A2" s="93" t="s">
        <v>1</v>
      </c>
      <c r="B2" s="93">
        <v>2200</v>
      </c>
      <c r="C2" s="93"/>
      <c r="D2" s="93"/>
    </row>
    <row r="3" spans="1:4" x14ac:dyDescent="0.35">
      <c r="A3" s="93" t="s">
        <v>2</v>
      </c>
      <c r="B3" s="93">
        <v>3600</v>
      </c>
      <c r="C3" s="93"/>
      <c r="D3" s="93"/>
    </row>
    <row r="4" spans="1:4" x14ac:dyDescent="0.35">
      <c r="A4" s="93" t="s">
        <v>66</v>
      </c>
      <c r="B4" s="93">
        <v>4400</v>
      </c>
      <c r="C4" s="93"/>
      <c r="D4" s="93"/>
    </row>
    <row r="5" spans="1:4" x14ac:dyDescent="0.35">
      <c r="A5" s="93" t="s">
        <v>4</v>
      </c>
      <c r="B5" s="93">
        <v>8500</v>
      </c>
      <c r="C5" s="93"/>
      <c r="D5" s="93"/>
    </row>
    <row r="6" spans="1:4" x14ac:dyDescent="0.35">
      <c r="A6" s="93" t="s">
        <v>3</v>
      </c>
      <c r="B6" s="93">
        <v>19000</v>
      </c>
      <c r="C6" s="93"/>
      <c r="D6" s="93"/>
    </row>
    <row r="7" spans="1:4" x14ac:dyDescent="0.35">
      <c r="A7" s="93"/>
      <c r="B7" s="93"/>
      <c r="C7" s="93"/>
      <c r="D7" s="93"/>
    </row>
    <row r="8" spans="1:4" x14ac:dyDescent="0.35">
      <c r="A8" s="93"/>
      <c r="B8" s="93"/>
      <c r="C8" s="93"/>
      <c r="D8" s="93"/>
    </row>
    <row r="9" spans="1:4" x14ac:dyDescent="0.35">
      <c r="A9" s="93"/>
      <c r="B9" s="93"/>
      <c r="C9" s="93"/>
      <c r="D9" s="93"/>
    </row>
    <row r="10" spans="1:4" x14ac:dyDescent="0.35">
      <c r="A10" s="93"/>
      <c r="B10" s="93"/>
      <c r="C10" s="93"/>
      <c r="D10" s="93"/>
    </row>
    <row r="11" spans="1:4" x14ac:dyDescent="0.35">
      <c r="A11" s="93"/>
      <c r="B11" s="93"/>
      <c r="C11" s="93"/>
      <c r="D11" s="93"/>
    </row>
  </sheetData>
  <sheetProtection algorithmName="SHA-512" hashValue="Ne7MRCaJX8cIYUhYs6UAGm8I99MF82ZrCh3Gh/nGwYAwBTrxL7UmUQB5L8kXbHycT7M2sC+DtFa50TREHAvCZA==" saltValue="v0MkOkhDupraoidWgHw9Kg==" spinCount="100000" sheet="1" selectLockedCells="1" selectUnlockedCell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E9C32-B9BF-41E3-9C23-C197271D12DB}">
  <dimension ref="A1:E37"/>
  <sheetViews>
    <sheetView workbookViewId="0">
      <selection sqref="A1:XFD1048576"/>
    </sheetView>
  </sheetViews>
  <sheetFormatPr defaultColWidth="9.1796875" defaultRowHeight="14.5" x14ac:dyDescent="0.35"/>
  <cols>
    <col min="1" max="1" width="40" style="93" customWidth="1"/>
    <col min="2" max="2" width="19.1796875" style="93" customWidth="1"/>
    <col min="3" max="3" width="13.26953125" style="93" bestFit="1" customWidth="1"/>
    <col min="4" max="16384" width="9.1796875" style="93"/>
  </cols>
  <sheetData>
    <row r="1" spans="1:3" x14ac:dyDescent="0.35">
      <c r="A1" s="93" t="s">
        <v>59</v>
      </c>
      <c r="C1" s="93">
        <v>2E-3</v>
      </c>
    </row>
    <row r="2" spans="1:3" x14ac:dyDescent="0.35">
      <c r="A2" s="93" t="s">
        <v>58</v>
      </c>
      <c r="C2" s="93">
        <f>_xlfn.XLOOKUP(TSCHMode,'Internal (TSCH-options)'!A2:A3,'Internal (TSCH-options)'!B2:B3)</f>
        <v>4.2599999999999999E-2</v>
      </c>
    </row>
    <row r="3" spans="1:3" x14ac:dyDescent="0.35">
      <c r="A3" s="93" t="s">
        <v>22</v>
      </c>
      <c r="C3" s="93">
        <f>_xlfn.XLOOKUP(Input!B10,'Internal (TSCH-options)'!A5:A10,'Internal (TSCH-options)'!B5:B10)</f>
        <v>-1.9E-2</v>
      </c>
    </row>
    <row r="4" spans="1:3" x14ac:dyDescent="0.35">
      <c r="A4" s="93" t="s">
        <v>23</v>
      </c>
      <c r="C4" s="93">
        <f>_xlfn.XLOOKUP(Input!B12,'Internal (TSCH-options)'!A26:A32,'Internal (TSCH-options)'!B26:B32)</f>
        <v>0</v>
      </c>
    </row>
    <row r="5" spans="1:3" x14ac:dyDescent="0.35">
      <c r="A5" s="93" t="s">
        <v>30</v>
      </c>
      <c r="C5" s="93">
        <f>_xlfn.XLOOKUP(Input!B10,'Internal (TSCH-options)'!A5:A10,'Internal (TSCH-options)'!E5:E10)*NumNeighbors</f>
        <v>0</v>
      </c>
    </row>
    <row r="6" spans="1:3" x14ac:dyDescent="0.35">
      <c r="A6" s="93" t="s">
        <v>124</v>
      </c>
      <c r="C6" s="93">
        <f>'Internal (TSCH-options)'!B22/(IF(HopsBorderRouter=1,Root_timeslot,1000))*'Internal (TSCH-options)'!B23</f>
        <v>2.8644067796610166E-3</v>
      </c>
    </row>
    <row r="8" spans="1:3" x14ac:dyDescent="0.35">
      <c r="A8" s="93" t="s">
        <v>31</v>
      </c>
      <c r="C8" s="93">
        <f>_xlfn.XLOOKUP(Input!B10,'Internal (TSCH-options)'!A5:A10,'Internal (TSCH-options)'!F5:F10)*NumChildren</f>
        <v>0</v>
      </c>
    </row>
    <row r="9" spans="1:3" x14ac:dyDescent="0.35">
      <c r="A9" s="93" t="s">
        <v>64</v>
      </c>
      <c r="C9" s="93">
        <f>_xlfn.XLOOKUP(PER,'Internal (TSCH-options)'!C35:C40,'Internal (TSCH-options)'!B35:B40)*NumChildren</f>
        <v>0</v>
      </c>
    </row>
    <row r="11" spans="1:3" x14ac:dyDescent="0.35">
      <c r="A11" s="93" t="s">
        <v>71</v>
      </c>
      <c r="C11" s="93">
        <f>(HopsBorderRouter-1)*0.0001</f>
        <v>0</v>
      </c>
    </row>
    <row r="12" spans="1:3" x14ac:dyDescent="0.35">
      <c r="A12" s="93" t="s">
        <v>81</v>
      </c>
      <c r="C12" s="93">
        <f>(1/UDPInterval)*(CurrentTXOneByteUDP + (UDPSize-1)*'Internal (TSCH-options)'!$C$46)</f>
        <v>-3.3333333333333335E-7</v>
      </c>
    </row>
    <row r="13" spans="1:3" s="111" customFormat="1" x14ac:dyDescent="0.35"/>
    <row r="14" spans="1:3" s="111" customFormat="1" x14ac:dyDescent="0.35"/>
    <row r="15" spans="1:3" x14ac:dyDescent="0.35">
      <c r="A15" s="112" t="s">
        <v>87</v>
      </c>
      <c r="C15" s="107">
        <f>C18*(C19 + (UDPSizeChildren-1)*'Internal (TSCH-options)'!C46)*PER</f>
        <v>0</v>
      </c>
    </row>
    <row r="16" spans="1:3" x14ac:dyDescent="0.35">
      <c r="A16" s="112" t="s">
        <v>86</v>
      </c>
      <c r="C16" s="93">
        <f>C18*(CurrentRXTXOneByteUDP + (UDPSizeChildren-1)*'Internal (TSCH-options)'!$C$46)</f>
        <v>0</v>
      </c>
    </row>
    <row r="17" spans="1:5" x14ac:dyDescent="0.35">
      <c r="A17" s="111" t="s">
        <v>61</v>
      </c>
      <c r="B17" s="111"/>
      <c r="C17" s="113">
        <f>1/Input!B30</f>
        <v>4.1666666666666666E-3</v>
      </c>
      <c r="D17" s="93" t="s">
        <v>63</v>
      </c>
    </row>
    <row r="18" spans="1:5" x14ac:dyDescent="0.35">
      <c r="A18" s="111" t="s">
        <v>62</v>
      </c>
      <c r="B18" s="111"/>
      <c r="C18" s="113">
        <f>C17*(NumChildren+NumDecend)</f>
        <v>0</v>
      </c>
      <c r="D18" s="93" t="s">
        <v>63</v>
      </c>
    </row>
    <row r="19" spans="1:5" x14ac:dyDescent="0.35">
      <c r="A19" s="111" t="s">
        <v>91</v>
      </c>
      <c r="C19" s="114">
        <v>3.0000000000000001E-3</v>
      </c>
    </row>
    <row r="20" spans="1:5" x14ac:dyDescent="0.35">
      <c r="A20" s="111" t="s">
        <v>90</v>
      </c>
      <c r="C20" s="114">
        <v>4.3E-3</v>
      </c>
    </row>
    <row r="21" spans="1:5" x14ac:dyDescent="0.35">
      <c r="A21" s="111" t="s">
        <v>92</v>
      </c>
      <c r="C21" s="114">
        <f>CurrentRXTXOneByteUDP-CurrentTXOneByteUDP</f>
        <v>0</v>
      </c>
    </row>
    <row r="22" spans="1:5" x14ac:dyDescent="0.35">
      <c r="A22" s="112" t="s">
        <v>88</v>
      </c>
      <c r="C22" s="93">
        <f>1/UDPIntervalDLDecendant*(CurrentRXTXOneByteUDP+(UDPSizeToDecendant-1)*'Internal (TSCH-options)'!C46)</f>
        <v>-1.3333333333333334E-6</v>
      </c>
    </row>
    <row r="23" spans="1:5" x14ac:dyDescent="0.35">
      <c r="A23" s="112" t="s">
        <v>89</v>
      </c>
      <c r="C23" s="105">
        <f>1/UDPIntervalDLToNui*(CurrentTXOneByteUDP + (UDPSizeToNUI-1)*'Internal (TSCH-options)'!C46)</f>
        <v>-1.3333333333333334E-6</v>
      </c>
    </row>
    <row r="24" spans="1:5" x14ac:dyDescent="0.35">
      <c r="A24" s="111"/>
      <c r="C24" s="114"/>
    </row>
    <row r="25" spans="1:5" x14ac:dyDescent="0.35">
      <c r="A25" s="112" t="s">
        <v>94</v>
      </c>
      <c r="C25" s="93">
        <f>(1/CoAPInterval)*((CurrentTXOneByteUDP + (CoAPSize+20)*'Internal (TSCH-options)'!$C$46)+(CurrentTXOneByteUDP + (CoAPSize+20)*'Internal (TSCH-options)'!C46))</f>
        <v>3.2000000000000003E-6</v>
      </c>
    </row>
    <row r="26" spans="1:5" x14ac:dyDescent="0.35">
      <c r="A26" s="112" t="s">
        <v>95</v>
      </c>
      <c r="C26" s="93">
        <f>C25*(NumDecend+NumChildren)</f>
        <v>0</v>
      </c>
    </row>
    <row r="27" spans="1:5" x14ac:dyDescent="0.35">
      <c r="A27" s="112" t="s">
        <v>96</v>
      </c>
      <c r="C27" s="114">
        <f>C25</f>
        <v>3.2000000000000003E-6</v>
      </c>
      <c r="E27" s="93" t="s">
        <v>119</v>
      </c>
    </row>
    <row r="28" spans="1:5" x14ac:dyDescent="0.35">
      <c r="A28" s="112" t="s">
        <v>97</v>
      </c>
      <c r="C28" s="93">
        <f>C27*(NumDecend+NumChildren)</f>
        <v>0</v>
      </c>
    </row>
    <row r="30" spans="1:5" x14ac:dyDescent="0.35">
      <c r="A30" s="93" t="s">
        <v>24</v>
      </c>
      <c r="C30" s="93">
        <f>SUM(C1:C16)+SUM(C22:C23)</f>
        <v>2.8461406779661014E-2</v>
      </c>
    </row>
    <row r="33" spans="1:4" x14ac:dyDescent="0.35">
      <c r="A33" s="93" t="s">
        <v>34</v>
      </c>
      <c r="C33" s="93">
        <f>_xlfn.XLOOKUP(Input!B3,'Internal (Batteries)'!A1:A6,'Internal (Batteries)'!B1:B6)*Input!B5/C30</f>
        <v>139135.77886915556</v>
      </c>
      <c r="D33" s="93" t="s">
        <v>35</v>
      </c>
    </row>
    <row r="34" spans="1:4" x14ac:dyDescent="0.35">
      <c r="C34" s="93">
        <f>C33/24</f>
        <v>5797.3241195481487</v>
      </c>
      <c r="D34" s="93" t="s">
        <v>36</v>
      </c>
    </row>
    <row r="35" spans="1:4" x14ac:dyDescent="0.35">
      <c r="C35" s="93">
        <f>C34/365</f>
        <v>15.883079779583969</v>
      </c>
      <c r="D35" s="93" t="s">
        <v>37</v>
      </c>
    </row>
    <row r="37" spans="1:4" x14ac:dyDescent="0.35">
      <c r="A37" s="93" t="s">
        <v>49</v>
      </c>
      <c r="C37" s="93">
        <f>_xlfn.XLOOKUP(Input!B10,'Internal (TSCH-options)'!A14:A19,'Internal (TSCH-options)'!B14:B19)</f>
        <v>5</v>
      </c>
    </row>
  </sheetData>
  <sheetProtection algorithmName="SHA-512" hashValue="He1/uti/UC/MJsdBTU3p6JdSXpfM1AY0QXPvr9J7eUIBwihvYuwHBmDU2iNEzB9Cjn4F6nL/PxijIsf1u6UapA==" saltValue="Vgyg0V4UME/RI2BZIBNZ3w==" spinCount="100000" sheet="1" selectLockedCells="1" selectUnlockedCells="1"/>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21</vt:i4>
      </vt:variant>
    </vt:vector>
  </HeadingPairs>
  <TitlesOfParts>
    <vt:vector size="27" baseType="lpstr">
      <vt:lpstr>Summary</vt:lpstr>
      <vt:lpstr>Input</vt:lpstr>
      <vt:lpstr>Revision history</vt:lpstr>
      <vt:lpstr>Internal (TSCH-options)</vt:lpstr>
      <vt:lpstr>Internal (Batteries)</vt:lpstr>
      <vt:lpstr>Internal (Calculations)</vt:lpstr>
      <vt:lpstr>CoAPInterval</vt:lpstr>
      <vt:lpstr>CoAPSize</vt:lpstr>
      <vt:lpstr>CurrentRXTXOneByteUDP</vt:lpstr>
      <vt:lpstr>CurrentTXOneByteUDP</vt:lpstr>
      <vt:lpstr>HopsBorderRouter</vt:lpstr>
      <vt:lpstr>NumChildren</vt:lpstr>
      <vt:lpstr>NumDecend</vt:lpstr>
      <vt:lpstr>NumNeighbors</vt:lpstr>
      <vt:lpstr>PER</vt:lpstr>
      <vt:lpstr>Root_timeslot</vt:lpstr>
      <vt:lpstr>TSCHMode</vt:lpstr>
      <vt:lpstr>TSCHSettings</vt:lpstr>
      <vt:lpstr>UDPInterval</vt:lpstr>
      <vt:lpstr>UDPIntervalChildren</vt:lpstr>
      <vt:lpstr>UDPIntervalDLDecendant</vt:lpstr>
      <vt:lpstr>UDPIntervalDLToNui</vt:lpstr>
      <vt:lpstr>UDPSize</vt:lpstr>
      <vt:lpstr>UDPSizeChildren</vt:lpstr>
      <vt:lpstr>UDPSizeToDecendant</vt:lpstr>
      <vt:lpstr>UDPSizeToNUI</vt:lpstr>
      <vt:lpstr>UPDIntervalChildren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Ørjan Nottveit</dc:creator>
  <cp:lastModifiedBy>Ørjan Nottveit</cp:lastModifiedBy>
  <dcterms:created xsi:type="dcterms:W3CDTF">2021-07-28T11:10:15Z</dcterms:created>
  <dcterms:modified xsi:type="dcterms:W3CDTF">2023-05-22T08:07:15Z</dcterms:modified>
</cp:coreProperties>
</file>