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codeName="ThisWorkbook" defaultThemeVersion="166925"/>
  <mc:AlternateContent xmlns:mc="http://schemas.openxmlformats.org/markup-compatibility/2006">
    <mc:Choice Requires="x15">
      <x15ac:absPath xmlns:x15ac="http://schemas.microsoft.com/office/spreadsheetml/2010/11/ac" url="https://radiocraftsas-my.sharepoint.com/personal/t_s_knutsen_radiocrafts_com/Documents/Desktop/"/>
    </mc:Choice>
  </mc:AlternateContent>
  <xr:revisionPtr revIDLastSave="2" documentId="8_{B349FD4B-88A0-401A-B99F-574CDE9CE1FC}" xr6:coauthVersionLast="47" xr6:coauthVersionMax="47" xr10:uidLastSave="{ED6736E4-1952-4B58-8360-9787D7D5AA4A}"/>
  <workbookProtection workbookAlgorithmName="SHA-512" workbookHashValue="1UuVo2kTSLvlTWFrKquGsPV8tsUfRlakke0xmoVcbTtoHw5sQrlz3KZPklHfA/IV1AOdsczWjK/YU7QTVEBxMA==" workbookSaltValue="apzW3jZWI3TELanirmfUQw==" workbookSpinCount="100000" lockStructure="1"/>
  <bookViews>
    <workbookView xWindow="-110" yWindow="-110" windowWidth="19420" windowHeight="10420" xr2:uid="{D2A1BE1C-BE6A-443C-8744-E08A734F08D5}"/>
  </bookViews>
  <sheets>
    <sheet name="Input" sheetId="1" r:id="rId1"/>
    <sheet name="Calculations" sheetId="2" state="hidden"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5" i="2" l="1"/>
  <c r="L4" i="2"/>
  <c r="P3" i="2"/>
  <c r="D6" i="2"/>
  <c r="P5" i="2" s="1"/>
  <c r="X10" i="2" s="1"/>
  <c r="V11" i="2"/>
  <c r="X11" i="2"/>
  <c r="W11" i="2"/>
  <c r="D4" i="2"/>
  <c r="Y12" i="2"/>
  <c r="P11" i="2"/>
  <c r="V10" i="2" l="1"/>
  <c r="P4" i="2"/>
  <c r="W10" i="2" s="1"/>
  <c r="Y11" i="2"/>
  <c r="D2" i="2"/>
  <c r="N9" i="2"/>
  <c r="P10" i="2" l="1"/>
  <c r="Q23" i="2"/>
  <c r="N11" i="2"/>
  <c r="Y10" i="2"/>
  <c r="S9" i="2"/>
  <c r="N24" i="2" l="1"/>
  <c r="O24" i="2" s="1"/>
  <c r="N31" i="2"/>
  <c r="P24" i="2"/>
  <c r="Q11" i="2"/>
  <c r="Q10" i="2"/>
  <c r="Q12" i="2" l="1"/>
  <c r="P26" i="2"/>
  <c r="S11" i="2"/>
  <c r="S10" i="2"/>
  <c r="S12" i="2" l="1"/>
  <c r="T11" i="2" l="1"/>
  <c r="O19" i="2"/>
  <c r="Q13" i="2"/>
  <c r="Q15" i="2" s="1"/>
  <c r="T10" i="2"/>
  <c r="G12" i="2" s="1"/>
  <c r="T15" i="2" l="1"/>
  <c r="S18" i="2"/>
  <c r="V16" i="2"/>
  <c r="Z10" i="2"/>
  <c r="AA10" i="2" l="1"/>
  <c r="G15" i="2" s="1"/>
  <c r="T12" i="2"/>
  <c r="Z12" i="2" s="1"/>
  <c r="U11" i="2"/>
  <c r="V14" i="2"/>
  <c r="G17" i="2" l="1"/>
  <c r="G13" i="2"/>
  <c r="G14" i="2"/>
  <c r="Z11" i="2"/>
  <c r="AA11" i="2" s="1"/>
  <c r="G16" i="2" l="1"/>
  <c r="AB11" i="2"/>
  <c r="AC11" i="2" s="1"/>
  <c r="Q24" i="2"/>
  <c r="N25" i="2" l="1"/>
  <c r="N32" i="2" s="1"/>
  <c r="P25" i="2" s="1"/>
  <c r="Q25" i="2" s="1"/>
  <c r="R31" i="2" s="1"/>
  <c r="R26" i="2" s="1"/>
  <c r="O25" i="2"/>
  <c r="O26" i="2" s="1"/>
  <c r="S26" i="2" l="1"/>
  <c r="E17" i="2" s="1"/>
  <c r="G13" i="1" s="1"/>
  <c r="P27" i="2"/>
  <c r="P31" i="2" s="1"/>
  <c r="R25" i="2"/>
  <c r="E14" i="2" l="1"/>
  <c r="G12" i="1" s="1"/>
  <c r="E13" i="2"/>
  <c r="F12" i="1" s="1"/>
  <c r="R24" i="2"/>
  <c r="S24" i="2" s="1"/>
  <c r="E15" i="2" s="1"/>
  <c r="E13" i="1" s="1"/>
  <c r="S25" i="2"/>
  <c r="E16" i="2" s="1"/>
  <c r="F13" i="1" s="1"/>
  <c r="D20" i="2"/>
  <c r="E19" i="2" s="1"/>
  <c r="D10" i="2"/>
  <c r="B15" i="1" s="1"/>
  <c r="E12" i="2" l="1"/>
  <c r="E12" i="1" s="1"/>
  <c r="F11" i="1"/>
  <c r="G19" i="2"/>
</calcChain>
</file>

<file path=xl/sharedStrings.xml><?xml version="1.0" encoding="utf-8"?>
<sst xmlns="http://schemas.openxmlformats.org/spreadsheetml/2006/main" count="68" uniqueCount="62">
  <si>
    <t>UDP</t>
  </si>
  <si>
    <t>type:</t>
  </si>
  <si>
    <t xml:space="preserve">Internal calculations from here down: </t>
  </si>
  <si>
    <t>type</t>
  </si>
  <si>
    <t>Number of packets</t>
  </si>
  <si>
    <t>Number of MESH hops</t>
  </si>
  <si>
    <t>No of bytes to be sent</t>
  </si>
  <si>
    <t>bestem slutt</t>
  </si>
  <si>
    <t>kvotient</t>
  </si>
  <si>
    <t>bergning av pakker</t>
  </si>
  <si>
    <t>pk1</t>
  </si>
  <si>
    <t>pkn</t>
  </si>
  <si>
    <t>pk limit</t>
  </si>
  <si>
    <t>pakkestr</t>
  </si>
  <si>
    <t>antall pakker</t>
  </si>
  <si>
    <t>pkn reminder</t>
  </si>
  <si>
    <t>Pk subtraction</t>
  </si>
  <si>
    <t>packets:</t>
  </si>
  <si>
    <t>Bytes pk1</t>
  </si>
  <si>
    <t>Limit is 44 hops</t>
  </si>
  <si>
    <t>RIIM Packet length estimation tool</t>
  </si>
  <si>
    <t>Type</t>
  </si>
  <si>
    <t>MESH hops</t>
  </si>
  <si>
    <t>CoAP</t>
  </si>
  <si>
    <t>CoAP DTLS</t>
  </si>
  <si>
    <t xml:space="preserve">This sheet can be used to calculate the number of packets sendt over the air, from the number of bytes in the payload. </t>
  </si>
  <si>
    <t>Link direction</t>
  </si>
  <si>
    <t>See the usermanual for limits on number of bytes to be sent.</t>
  </si>
  <si>
    <t xml:space="preserve">Multicast packets will have a number of hop of 1 independent of network size. </t>
  </si>
  <si>
    <t>UP</t>
  </si>
  <si>
    <t>DOWN</t>
  </si>
  <si>
    <t>Direction</t>
  </si>
  <si>
    <t xml:space="preserve">Up direction is from mesh router to border router. Down direction is from border router to mesh router. </t>
  </si>
  <si>
    <t>Packet size calculations</t>
  </si>
  <si>
    <t>End packet</t>
  </si>
  <si>
    <t>First packet</t>
  </si>
  <si>
    <t xml:space="preserve">When using RIIM, there can be times where it's neccesarry to determine the number of packets sendt, in order to determine parameters such as power useage, propagation delay and congestion factor. Sensors with varying payload length makes calculations more complicated. This spreadsheet are meant to help with the calculation of how many packets from a given number of bytes to be sent from a node. </t>
  </si>
  <si>
    <t>Pkts on air</t>
  </si>
  <si>
    <t>calc out</t>
  </si>
  <si>
    <t>Selected value</t>
  </si>
  <si>
    <t>payload size</t>
  </si>
  <si>
    <t>Payload pr packet</t>
  </si>
  <si>
    <t>Alternativ metode…</t>
  </si>
  <si>
    <t>Valgte parametere</t>
  </si>
  <si>
    <t>PK1</t>
  </si>
  <si>
    <t>PKn</t>
  </si>
  <si>
    <t>Pkend</t>
  </si>
  <si>
    <t>Packets on air</t>
  </si>
  <si>
    <t>Pakker</t>
  </si>
  <si>
    <t>Packet subtract</t>
  </si>
  <si>
    <t>Rest:</t>
  </si>
  <si>
    <t>kvotient 2</t>
  </si>
  <si>
    <t>Kvotient 1</t>
  </si>
  <si>
    <t>No packets:</t>
  </si>
  <si>
    <t>Onair</t>
  </si>
  <si>
    <t>payload</t>
  </si>
  <si>
    <t>Overhead UDP(first packet, no fragmentation)</t>
  </si>
  <si>
    <t>Number of bytes pr package(MAC layer)</t>
  </si>
  <si>
    <t>In Physical layer include 3 bytes preamble, 3 bytes syncronization word and 1 byte lenght.</t>
  </si>
  <si>
    <t>Overhead COAP TLS(first packet, no fragmentation)</t>
  </si>
  <si>
    <t>Overhead COAP(first packet, no fragmentation)</t>
  </si>
  <si>
    <t>Red section is not in use!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</si>
</sst>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1"/>
      <color rgb="FF1E1E1E"/>
      <name val="Segoe UI"/>
      <family val="2"/>
    </font>
    <font>
      <sz val="11"/>
      <name val="Calibri"/>
      <family val="2"/>
      <scheme val="minor"/>
    </font>
    <font>
      <sz val="14"/>
      <color theme="1"/>
      <name val="Calibri"/>
      <family val="2"/>
      <scheme val="minor"/>
    </font>
    <font>
      <sz val="11"/>
      <color rgb="FF9C0006"/>
      <name val="Calibri"/>
      <family val="2"/>
      <scheme val="minor"/>
    </font>
    <font>
      <b/>
      <sz val="11"/>
      <color rgb="FFFA7D00"/>
      <name val="Calibri"/>
      <family val="2"/>
      <scheme val="minor"/>
    </font>
  </fonts>
  <fills count="10">
    <fill>
      <patternFill patternType="none"/>
    </fill>
    <fill>
      <patternFill patternType="gray125"/>
    </fill>
    <fill>
      <patternFill patternType="solid">
        <fgColor theme="5" tint="0.39997558519241921"/>
        <bgColor indexed="64"/>
      </patternFill>
    </fill>
    <fill>
      <patternFill patternType="solid">
        <fgColor theme="0"/>
        <bgColor indexed="64"/>
      </patternFill>
    </fill>
    <fill>
      <patternFill patternType="solid">
        <fgColor theme="9" tint="0.39997558519241921"/>
        <bgColor indexed="64"/>
      </patternFill>
    </fill>
    <fill>
      <patternFill patternType="solid">
        <fgColor rgb="FF3C9086"/>
        <bgColor indexed="64"/>
      </patternFill>
    </fill>
    <fill>
      <patternFill patternType="solid">
        <fgColor theme="5"/>
        <bgColor indexed="64"/>
      </patternFill>
    </fill>
    <fill>
      <patternFill patternType="solid">
        <fgColor rgb="FFFF0000"/>
        <bgColor indexed="64"/>
      </patternFill>
    </fill>
    <fill>
      <patternFill patternType="solid">
        <fgColor rgb="FFFFC7CE"/>
      </patternFill>
    </fill>
    <fill>
      <patternFill patternType="solid">
        <fgColor rgb="FFF2F2F2"/>
      </patternFill>
    </fill>
  </fills>
  <borders count="8">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rgb="FF7F7F7F"/>
      </left>
      <right style="thin">
        <color rgb="FF7F7F7F"/>
      </right>
      <top style="thin">
        <color rgb="FF7F7F7F"/>
      </top>
      <bottom style="thin">
        <color rgb="FF7F7F7F"/>
      </bottom>
      <diagonal/>
    </border>
  </borders>
  <cellStyleXfs count="3">
    <xf numFmtId="0" fontId="0" fillId="0" borderId="0"/>
    <xf numFmtId="0" fontId="4" fillId="8" borderId="0" applyNumberFormat="0" applyBorder="0" applyAlignment="0" applyProtection="0"/>
    <xf numFmtId="0" fontId="5" fillId="9" borderId="7" applyNumberFormat="0" applyAlignment="0" applyProtection="0"/>
  </cellStyleXfs>
  <cellXfs count="24">
    <xf numFmtId="0" fontId="0" fillId="0" borderId="0" xfId="0"/>
    <xf numFmtId="0" fontId="1" fillId="0" borderId="0" xfId="0" applyFont="1" applyAlignment="1">
      <alignment horizontal="left" vertical="center" wrapText="1" indent="1"/>
    </xf>
    <xf numFmtId="0" fontId="0" fillId="0" borderId="0" xfId="0" applyAlignment="1">
      <alignment horizontal="center"/>
    </xf>
    <xf numFmtId="0" fontId="0" fillId="2" borderId="0" xfId="0" applyFill="1" applyAlignment="1">
      <alignment vertical="center"/>
    </xf>
    <xf numFmtId="0" fontId="0" fillId="0" borderId="0" xfId="0" applyAlignment="1">
      <alignment vertical="center"/>
    </xf>
    <xf numFmtId="0" fontId="0" fillId="3" borderId="0" xfId="0" applyFill="1" applyAlignment="1">
      <alignment vertical="center"/>
    </xf>
    <xf numFmtId="0" fontId="2" fillId="4" borderId="0" xfId="0" applyFont="1" applyFill="1" applyAlignment="1">
      <alignment vertical="center"/>
    </xf>
    <xf numFmtId="0" fontId="0" fillId="6" borderId="0" xfId="0" applyFill="1" applyAlignment="1">
      <alignment horizontal="center" vertical="center"/>
    </xf>
    <xf numFmtId="0" fontId="0" fillId="0" borderId="0" xfId="0" applyAlignment="1">
      <alignment horizontal="center" vertical="center"/>
    </xf>
    <xf numFmtId="0" fontId="2" fillId="6" borderId="0" xfId="0" applyFont="1" applyFill="1" applyAlignment="1">
      <alignment horizontal="center"/>
    </xf>
    <xf numFmtId="0" fontId="0" fillId="5" borderId="0" xfId="0" applyFill="1" applyAlignment="1">
      <alignment horizontal="center" vertical="center"/>
    </xf>
    <xf numFmtId="0" fontId="0" fillId="0" borderId="2" xfId="0" applyBorder="1" applyAlignment="1">
      <alignment horizontal="center"/>
    </xf>
    <xf numFmtId="0" fontId="0" fillId="5" borderId="3" xfId="0" applyFill="1" applyBorder="1" applyAlignment="1">
      <alignment horizontal="center"/>
    </xf>
    <xf numFmtId="0" fontId="0" fillId="0" borderId="0" xfId="0" applyAlignment="1">
      <alignment horizontal="center" wrapText="1"/>
    </xf>
    <xf numFmtId="0" fontId="0" fillId="5" borderId="1" xfId="0" applyFill="1" applyBorder="1" applyAlignment="1">
      <alignment horizontal="center"/>
    </xf>
    <xf numFmtId="0" fontId="0" fillId="7" borderId="0" xfId="0" applyFill="1"/>
    <xf numFmtId="0" fontId="4" fillId="8" borderId="0" xfId="1"/>
    <xf numFmtId="0" fontId="5" fillId="9" borderId="7" xfId="2"/>
    <xf numFmtId="0" fontId="0" fillId="0" borderId="0" xfId="0" applyAlignment="1">
      <alignment horizontal="center"/>
    </xf>
    <xf numFmtId="0" fontId="3" fillId="5" borderId="0" xfId="0" applyFont="1" applyFill="1" applyAlignment="1">
      <alignment horizontal="center"/>
    </xf>
    <xf numFmtId="0" fontId="0" fillId="0" borderId="4" xfId="0" applyBorder="1" applyAlignment="1">
      <alignment horizontal="center"/>
    </xf>
    <xf numFmtId="0" fontId="0" fillId="0" borderId="5" xfId="0" applyBorder="1" applyAlignment="1">
      <alignment horizontal="center"/>
    </xf>
    <xf numFmtId="0" fontId="0" fillId="0" borderId="6" xfId="0" applyBorder="1" applyAlignment="1">
      <alignment horizontal="center"/>
    </xf>
    <xf numFmtId="0" fontId="0" fillId="0" borderId="0" xfId="0" applyAlignment="1">
      <alignment horizontal="center" wrapText="1"/>
    </xf>
  </cellXfs>
  <cellStyles count="3">
    <cellStyle name="Bad" xfId="1" builtinId="27"/>
    <cellStyle name="Calculation" xfId="2" builtinId="22"/>
    <cellStyle name="Normal" xfId="0" builtinId="0"/>
  </cellStyles>
  <dxfs count="0"/>
  <tableStyles count="0" defaultTableStyle="TableStyleMedium2" defaultPivotStyle="PivotStyleLight16"/>
  <colors>
    <mruColors>
      <color rgb="FF3C9086"/>
      <color rgb="FF409E85"/>
      <color rgb="FF2AA274"/>
      <color rgb="FF3399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225425</xdr:colOff>
      <xdr:row>0</xdr:row>
      <xdr:rowOff>387350</xdr:rowOff>
    </xdr:from>
    <xdr:to>
      <xdr:col>0</xdr:col>
      <xdr:colOff>1844675</xdr:colOff>
      <xdr:row>0</xdr:row>
      <xdr:rowOff>904875</xdr:rowOff>
    </xdr:to>
    <xdr:pic>
      <xdr:nvPicPr>
        <xdr:cNvPr id="3" name="Picture 2">
          <a:extLst>
            <a:ext uri="{FF2B5EF4-FFF2-40B4-BE49-F238E27FC236}">
              <a16:creationId xmlns:a16="http://schemas.microsoft.com/office/drawing/2014/main" id="{B73C4267-3BC1-E63F-045E-1C05774A2AA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25425" y="387350"/>
          <a:ext cx="1619250" cy="514350"/>
        </a:xfrm>
        <a:prstGeom prst="rect">
          <a:avLst/>
        </a:prstGeom>
      </xdr:spPr>
    </xdr:pic>
    <xdr:clientData/>
  </xdr:twoCellAnchor>
  <xdr:twoCellAnchor editAs="oneCell">
    <xdr:from>
      <xdr:col>0</xdr:col>
      <xdr:colOff>2092325</xdr:colOff>
      <xdr:row>0</xdr:row>
      <xdr:rowOff>25400</xdr:rowOff>
    </xdr:from>
    <xdr:to>
      <xdr:col>4</xdr:col>
      <xdr:colOff>219075</xdr:colOff>
      <xdr:row>0</xdr:row>
      <xdr:rowOff>1113143</xdr:rowOff>
    </xdr:to>
    <xdr:pic>
      <xdr:nvPicPr>
        <xdr:cNvPr id="5" name="Picture 4">
          <a:extLst>
            <a:ext uri="{FF2B5EF4-FFF2-40B4-BE49-F238E27FC236}">
              <a16:creationId xmlns:a16="http://schemas.microsoft.com/office/drawing/2014/main" id="{B86A4C46-B7A1-E56A-E014-8E76A2CE724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092325" y="25400"/>
          <a:ext cx="2984500" cy="1090918"/>
        </a:xfrm>
        <a:prstGeom prst="rect">
          <a:avLst/>
        </a:prstGeom>
      </xdr:spPr>
    </xdr:pic>
    <xdr:clientData/>
  </xdr:twoCellAnchor>
  <xdr:twoCellAnchor editAs="oneCell">
    <xdr:from>
      <xdr:col>5</xdr:col>
      <xdr:colOff>406400</xdr:colOff>
      <xdr:row>0</xdr:row>
      <xdr:rowOff>0</xdr:rowOff>
    </xdr:from>
    <xdr:to>
      <xdr:col>10</xdr:col>
      <xdr:colOff>257175</xdr:colOff>
      <xdr:row>0</xdr:row>
      <xdr:rowOff>1133614</xdr:rowOff>
    </xdr:to>
    <xdr:pic>
      <xdr:nvPicPr>
        <xdr:cNvPr id="7" name="Picture 6">
          <a:extLst>
            <a:ext uri="{FF2B5EF4-FFF2-40B4-BE49-F238E27FC236}">
              <a16:creationId xmlns:a16="http://schemas.microsoft.com/office/drawing/2014/main" id="{6C0742CC-A263-DAF4-2BD3-CA40E2229A2E}"/>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5273675" y="0"/>
          <a:ext cx="2870200" cy="113361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706482-F9C5-4136-A3C4-A2570179FA1B}">
  <sheetPr codeName="Sheet1"/>
  <dimension ref="A1:L21"/>
  <sheetViews>
    <sheetView tabSelected="1" topLeftCell="A4" workbookViewId="0">
      <selection activeCell="D17" sqref="D17"/>
    </sheetView>
  </sheetViews>
  <sheetFormatPr defaultRowHeight="14.5" x14ac:dyDescent="0.35"/>
  <cols>
    <col min="1" max="1" width="34.81640625" customWidth="1"/>
    <col min="2" max="2" width="17.36328125" customWidth="1"/>
    <col min="5" max="6" width="10.54296875" customWidth="1"/>
    <col min="7" max="7" width="10.453125" customWidth="1"/>
    <col min="8" max="8" width="6.81640625" customWidth="1"/>
    <col min="9" max="9" width="6.6328125" customWidth="1"/>
    <col min="11" max="11" width="4.26953125" customWidth="1"/>
    <col min="12" max="12" width="3.6328125" customWidth="1"/>
  </cols>
  <sheetData>
    <row r="1" spans="1:12" ht="90.5" customHeight="1" x14ac:dyDescent="0.35">
      <c r="A1" s="18"/>
      <c r="B1" s="18"/>
      <c r="C1" s="18"/>
      <c r="D1" s="18"/>
      <c r="E1" s="18"/>
      <c r="F1" s="18"/>
      <c r="G1" s="18"/>
      <c r="H1" s="18"/>
      <c r="I1" s="18"/>
      <c r="J1" s="18"/>
      <c r="K1" s="18"/>
      <c r="L1" s="18"/>
    </row>
    <row r="2" spans="1:12" ht="18.5" x14ac:dyDescent="0.45">
      <c r="A2" s="19" t="s">
        <v>20</v>
      </c>
      <c r="B2" s="19"/>
      <c r="C2" s="19"/>
      <c r="D2" s="19"/>
      <c r="E2" s="19"/>
      <c r="F2" s="19"/>
      <c r="G2" s="19"/>
      <c r="H2" s="19"/>
      <c r="I2" s="19"/>
      <c r="J2" s="19"/>
      <c r="K2" s="19"/>
      <c r="L2" s="19"/>
    </row>
    <row r="4" spans="1:12" ht="60.5" customHeight="1" x14ac:dyDescent="0.35">
      <c r="A4" s="23" t="s">
        <v>36</v>
      </c>
      <c r="B4" s="23"/>
      <c r="C4" s="23"/>
      <c r="D4" s="23"/>
      <c r="E4" s="23"/>
      <c r="F4" s="23"/>
      <c r="G4" s="23"/>
      <c r="H4" s="23"/>
      <c r="I4" s="23"/>
      <c r="J4" s="23"/>
      <c r="K4" s="23"/>
      <c r="L4" s="23"/>
    </row>
    <row r="5" spans="1:12" ht="14.5" customHeight="1" x14ac:dyDescent="0.35">
      <c r="A5" s="13"/>
      <c r="B5" s="13"/>
      <c r="C5" s="13"/>
      <c r="D5" s="13"/>
      <c r="E5" s="13"/>
      <c r="F5" s="13"/>
      <c r="G5" s="13"/>
      <c r="H5" s="13"/>
      <c r="I5" s="13"/>
      <c r="J5" s="13"/>
      <c r="K5" s="13"/>
      <c r="L5" s="13"/>
    </row>
    <row r="7" spans="1:12" x14ac:dyDescent="0.35">
      <c r="B7" s="7">
        <v>90</v>
      </c>
      <c r="D7" t="s">
        <v>27</v>
      </c>
    </row>
    <row r="8" spans="1:12" x14ac:dyDescent="0.35">
      <c r="B8" s="8"/>
    </row>
    <row r="9" spans="1:12" ht="15" thickBot="1" x14ac:dyDescent="0.4">
      <c r="A9" t="s">
        <v>21</v>
      </c>
      <c r="B9" s="7" t="s">
        <v>0</v>
      </c>
    </row>
    <row r="10" spans="1:12" ht="15" thickBot="1" x14ac:dyDescent="0.4">
      <c r="B10" s="8"/>
      <c r="E10" s="20" t="s">
        <v>33</v>
      </c>
      <c r="F10" s="21"/>
      <c r="G10" s="22"/>
    </row>
    <row r="11" spans="1:12" x14ac:dyDescent="0.35">
      <c r="A11" t="s">
        <v>22</v>
      </c>
      <c r="B11" s="9">
        <v>3</v>
      </c>
      <c r="E11" s="11" t="s">
        <v>35</v>
      </c>
      <c r="F11" s="11" t="str">
        <f>CONCATENATE(Calculations!E19," Packets")</f>
        <v xml:space="preserve">  Packets</v>
      </c>
      <c r="G11" s="11" t="s">
        <v>34</v>
      </c>
    </row>
    <row r="12" spans="1:12" ht="15" thickBot="1" x14ac:dyDescent="0.4">
      <c r="B12" s="8"/>
      <c r="E12" s="12">
        <f>Calculations!E12</f>
        <v>90</v>
      </c>
      <c r="F12" s="12">
        <f>Calculations!E13</f>
        <v>0</v>
      </c>
      <c r="G12" s="12">
        <f>Calculations!E14</f>
        <v>0</v>
      </c>
      <c r="H12" t="s">
        <v>41</v>
      </c>
    </row>
    <row r="13" spans="1:12" ht="15" thickBot="1" x14ac:dyDescent="0.4">
      <c r="A13" t="s">
        <v>26</v>
      </c>
      <c r="B13" s="7" t="s">
        <v>30</v>
      </c>
      <c r="E13" s="14">
        <f>Calculations!E15</f>
        <v>127</v>
      </c>
      <c r="F13" s="14">
        <f>Calculations!E16</f>
        <v>0</v>
      </c>
      <c r="G13" s="14">
        <f>Calculations!E17</f>
        <v>0</v>
      </c>
      <c r="H13" t="s">
        <v>57</v>
      </c>
    </row>
    <row r="14" spans="1:12" x14ac:dyDescent="0.35">
      <c r="B14" s="8"/>
      <c r="H14" t="s">
        <v>58</v>
      </c>
    </row>
    <row r="15" spans="1:12" x14ac:dyDescent="0.35">
      <c r="A15" t="s">
        <v>4</v>
      </c>
      <c r="B15" s="10">
        <f>Calculations!D10</f>
        <v>1</v>
      </c>
    </row>
    <row r="19" spans="1:1" x14ac:dyDescent="0.35">
      <c r="A19" t="s">
        <v>25</v>
      </c>
    </row>
    <row r="20" spans="1:1" x14ac:dyDescent="0.35">
      <c r="A20" t="s">
        <v>28</v>
      </c>
    </row>
    <row r="21" spans="1:1" x14ac:dyDescent="0.35">
      <c r="A21" t="s">
        <v>32</v>
      </c>
    </row>
  </sheetData>
  <mergeCells count="4">
    <mergeCell ref="A1:L1"/>
    <mergeCell ref="A2:L2"/>
    <mergeCell ref="E10:G10"/>
    <mergeCell ref="A4:L4"/>
  </mergeCells>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2">
        <x14:dataValidation type="list" allowBlank="1" showInputMessage="1" showErrorMessage="1" xr:uid="{86AB018A-D626-463B-885B-8B236B6752F2}">
          <x14:formula1>
            <xm:f>Calculations!$O$3:$O$5</xm:f>
          </x14:formula1>
          <xm:sqref>B9</xm:sqref>
        </x14:dataValidation>
        <x14:dataValidation type="list" allowBlank="1" showInputMessage="1" showErrorMessage="1" xr:uid="{421AEB5E-8A0D-4C75-9E32-0D557BE9ACF1}">
          <x14:formula1>
            <xm:f>Calculations!$U$3:$U$4</xm:f>
          </x14:formula1>
          <xm:sqref>B13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12DD6E-9D2F-4072-8853-D384DCCC205A}">
  <sheetPr codeName="Sheet2"/>
  <dimension ref="C1:AC33"/>
  <sheetViews>
    <sheetView workbookViewId="0">
      <selection activeCell="M8" sqref="M8"/>
    </sheetView>
  </sheetViews>
  <sheetFormatPr defaultRowHeight="14.5" x14ac:dyDescent="0.35"/>
  <cols>
    <col min="2" max="2" width="5.453125" customWidth="1"/>
    <col min="3" max="3" width="21.36328125" customWidth="1"/>
    <col min="4" max="4" width="10.6328125" customWidth="1"/>
    <col min="7" max="7" width="9.81640625" bestFit="1" customWidth="1"/>
    <col min="11" max="11" width="14.36328125" customWidth="1"/>
    <col min="13" max="13" width="12.26953125" customWidth="1"/>
    <col min="15" max="15" width="11.08984375" customWidth="1"/>
  </cols>
  <sheetData>
    <row r="1" spans="3:29" x14ac:dyDescent="0.35">
      <c r="D1" s="4"/>
      <c r="M1" t="s">
        <v>2</v>
      </c>
    </row>
    <row r="2" spans="3:29" x14ac:dyDescent="0.35">
      <c r="C2" s="2" t="s">
        <v>6</v>
      </c>
      <c r="D2" s="3">
        <f>Input!B7</f>
        <v>90</v>
      </c>
      <c r="O2" s="4" t="s">
        <v>3</v>
      </c>
      <c r="P2" t="s">
        <v>18</v>
      </c>
      <c r="Q2" t="s">
        <v>11</v>
      </c>
      <c r="R2" t="s">
        <v>12</v>
      </c>
      <c r="U2" t="s">
        <v>31</v>
      </c>
    </row>
    <row r="3" spans="3:29" x14ac:dyDescent="0.35">
      <c r="C3" s="2"/>
      <c r="D3" s="4"/>
      <c r="H3" t="s">
        <v>56</v>
      </c>
      <c r="L3">
        <v>31</v>
      </c>
      <c r="O3" s="4" t="s">
        <v>0</v>
      </c>
      <c r="P3">
        <f>127-L3-(2*D6)</f>
        <v>90</v>
      </c>
      <c r="Q3">
        <v>111</v>
      </c>
      <c r="R3">
        <v>8</v>
      </c>
      <c r="U3" t="s">
        <v>29</v>
      </c>
    </row>
    <row r="4" spans="3:29" ht="19.5" customHeight="1" x14ac:dyDescent="0.35">
      <c r="C4" s="2" t="s">
        <v>1</v>
      </c>
      <c r="D4" s="3" t="str">
        <f>Input!B9</f>
        <v>UDP</v>
      </c>
      <c r="G4" s="1"/>
      <c r="H4" t="s">
        <v>60</v>
      </c>
      <c r="L4">
        <f>127-77</f>
        <v>50</v>
      </c>
      <c r="O4" s="4" t="s">
        <v>23</v>
      </c>
      <c r="P4">
        <f>77-(2*D6)</f>
        <v>71</v>
      </c>
      <c r="Q4">
        <v>94</v>
      </c>
      <c r="U4" t="s">
        <v>30</v>
      </c>
    </row>
    <row r="5" spans="3:29" x14ac:dyDescent="0.35">
      <c r="C5" s="2"/>
      <c r="D5" s="5"/>
      <c r="H5" t="s">
        <v>59</v>
      </c>
      <c r="L5">
        <f>127-68</f>
        <v>59</v>
      </c>
      <c r="O5" s="4" t="s">
        <v>24</v>
      </c>
      <c r="P5">
        <f>68-(2*D6)</f>
        <v>62</v>
      </c>
      <c r="Q5">
        <v>90</v>
      </c>
    </row>
    <row r="6" spans="3:29" x14ac:dyDescent="0.35">
      <c r="C6" s="2" t="s">
        <v>5</v>
      </c>
      <c r="D6" s="3">
        <f>IF(Input!B13="DOWN",Input!B11,1)</f>
        <v>3</v>
      </c>
      <c r="O6" s="4"/>
    </row>
    <row r="7" spans="3:29" x14ac:dyDescent="0.35">
      <c r="C7" s="2" t="s">
        <v>19</v>
      </c>
      <c r="D7" s="4"/>
    </row>
    <row r="8" spans="3:29" x14ac:dyDescent="0.35">
      <c r="C8" s="2"/>
      <c r="D8" s="4"/>
      <c r="M8" t="s">
        <v>61</v>
      </c>
      <c r="S8" t="s">
        <v>16</v>
      </c>
      <c r="T8" t="s">
        <v>40</v>
      </c>
      <c r="V8" t="s">
        <v>37</v>
      </c>
    </row>
    <row r="9" spans="3:29" x14ac:dyDescent="0.35">
      <c r="C9" s="2"/>
      <c r="D9" s="4"/>
      <c r="M9" s="16" t="s">
        <v>7</v>
      </c>
      <c r="N9" s="16">
        <f>IF(J8&lt;8,(J8),1)</f>
        <v>0</v>
      </c>
      <c r="O9" s="16" t="s">
        <v>9</v>
      </c>
      <c r="P9" s="16" t="s">
        <v>13</v>
      </c>
      <c r="Q9" s="16" t="s">
        <v>14</v>
      </c>
      <c r="R9" s="16"/>
      <c r="S9" s="16">
        <f>D2</f>
        <v>90</v>
      </c>
      <c r="T9" s="16"/>
      <c r="U9" s="16"/>
      <c r="V9" t="s">
        <v>0</v>
      </c>
      <c r="W9" t="s">
        <v>23</v>
      </c>
      <c r="X9" t="s">
        <v>24</v>
      </c>
      <c r="Y9" t="s">
        <v>39</v>
      </c>
      <c r="Z9" t="s">
        <v>38</v>
      </c>
    </row>
    <row r="10" spans="3:29" x14ac:dyDescent="0.35">
      <c r="C10" s="2"/>
      <c r="D10" s="6">
        <f>IF(AND(Input!B7&gt;128,OR(Input!B9="CoAP",Input!B9="CoAP DTLS")),"too long for CoAP",IF(D2&lt;1024,P31,"Too long packet"))</f>
        <v>1</v>
      </c>
      <c r="M10" s="16"/>
      <c r="N10" s="16"/>
      <c r="O10" s="16" t="s">
        <v>10</v>
      </c>
      <c r="P10" s="16">
        <f>IF(AND(D2&gt;Input!B71,(Input!B9="UDP")),P3,IF(AND(D2&gt;0,Input!B9="CoAP"),P4,P5))</f>
        <v>90</v>
      </c>
      <c r="Q10" s="16">
        <f>IF(P10&gt;0,1,0)</f>
        <v>1</v>
      </c>
      <c r="R10" s="16"/>
      <c r="S10" s="16">
        <f>Q10*P10</f>
        <v>90</v>
      </c>
      <c r="T10" s="16">
        <f>IF(AND(S11=0,S12&lt;8),S10+S12,S10)</f>
        <v>90</v>
      </c>
      <c r="U10" s="16"/>
      <c r="V10">
        <f>127-P3</f>
        <v>37</v>
      </c>
      <c r="W10">
        <f>127-P4</f>
        <v>56</v>
      </c>
      <c r="X10">
        <f>127-P5</f>
        <v>65</v>
      </c>
      <c r="Y10">
        <f>IF(AND(D2&gt;0,(Input!B9="UDP")),V10,IF(AND(D2&gt;0,Input!B9="CoAP"),W10,X10))</f>
        <v>37</v>
      </c>
      <c r="Z10">
        <f>IF(T10&gt;0,Y10+T10,0)</f>
        <v>127</v>
      </c>
      <c r="AA10">
        <f>IF(S18&gt;0,Z10+V16,Z10)</f>
        <v>127</v>
      </c>
    </row>
    <row r="11" spans="3:29" x14ac:dyDescent="0.35">
      <c r="C11" s="2"/>
      <c r="D11" s="4"/>
      <c r="E11" s="15"/>
      <c r="G11" s="15"/>
      <c r="M11" s="16" t="s">
        <v>8</v>
      </c>
      <c r="N11" s="16">
        <f>QUOTIENT(D2,P11)</f>
        <v>0</v>
      </c>
      <c r="O11" s="16" t="s">
        <v>15</v>
      </c>
      <c r="P11" s="16">
        <f>IF(Input!B9="UDP",Q3,IF(Input!B9="CoAP DTLS",Q5,Q4))</f>
        <v>111</v>
      </c>
      <c r="Q11" s="16">
        <f>N11</f>
        <v>0</v>
      </c>
      <c r="R11" s="16"/>
      <c r="S11" s="16">
        <f>P11*Q11</f>
        <v>0</v>
      </c>
      <c r="T11" s="16">
        <f>IF(AND(S12&lt;8,S11&gt;0),(P11),(P11*Q11))</f>
        <v>0</v>
      </c>
      <c r="U11" s="16">
        <f>IF(T15=0,0,IF(AND(S12&lt;8,S11&gt;0),(P11),(P11*Q11)))</f>
        <v>0</v>
      </c>
      <c r="V11">
        <f>127-Q3</f>
        <v>16</v>
      </c>
      <c r="W11">
        <f>127-Q4</f>
        <v>33</v>
      </c>
      <c r="X11">
        <f>127-Q5</f>
        <v>37</v>
      </c>
      <c r="Y11">
        <f>IF(Input!B9="UDP",V11,IF(Input!B9="CoAP DTLS",X11,W11))</f>
        <v>16</v>
      </c>
      <c r="Z11">
        <f>IF(AND(T11&gt;0,U11&gt;0),Y11+T11,0)</f>
        <v>0</v>
      </c>
      <c r="AA11">
        <f>IF(Z11&gt;128,125,Z11)</f>
        <v>0</v>
      </c>
      <c r="AB11">
        <f>(Z11-AA11)*T15</f>
        <v>0</v>
      </c>
      <c r="AC11">
        <f>IF(AND(AB11&lt;8,Z11&gt;128),128,0)</f>
        <v>0</v>
      </c>
    </row>
    <row r="12" spans="3:29" x14ac:dyDescent="0.35">
      <c r="C12" s="2"/>
      <c r="D12" s="4"/>
      <c r="E12" s="15">
        <f>IF(AND(Input!B7&gt;128,OR(Input!B9="CoAP",Input!B9="CoAP DTLS"))," ",IF(D2&lt;1024,R24," "))</f>
        <v>90</v>
      </c>
      <c r="G12" s="15">
        <f>IF(AND(Input!B7&gt;128,OR(Input!B9="CoAP",Input!B9="CoAP DTLS"))," ",IF(D2&lt;1024,T10," "))</f>
        <v>90</v>
      </c>
      <c r="M12" s="16"/>
      <c r="N12" s="16"/>
      <c r="O12" s="16"/>
      <c r="P12" s="16"/>
      <c r="Q12" s="16">
        <f>IF(AND(Q11=0,N11&gt;0),1,0)</f>
        <v>0</v>
      </c>
      <c r="R12" s="16"/>
      <c r="S12" s="16">
        <f>S9-S10-S11</f>
        <v>0</v>
      </c>
      <c r="T12" s="16">
        <f>IF(S12&gt;7,S12,IF(AND(S12&lt;0,T11&gt;0),S18,0))</f>
        <v>0</v>
      </c>
      <c r="U12" s="16"/>
      <c r="Y12">
        <f>IF(Input!B9="UDP",V11,IF(Input!B10="CoAP DTLS",X11,W11))</f>
        <v>16</v>
      </c>
      <c r="Z12">
        <f>IF(T12&gt;0,Y12+T12,0)</f>
        <v>0</v>
      </c>
    </row>
    <row r="13" spans="3:29" x14ac:dyDescent="0.35">
      <c r="C13" s="2"/>
      <c r="D13" s="4"/>
      <c r="E13" s="15">
        <f>IF(AND(Input!B7&gt;128,OR(Input!B9="CoAP",Input!B9="CoAP DTLS"))," ",IF(D2&lt;1024,R25," "))</f>
        <v>0</v>
      </c>
      <c r="G13" s="15">
        <f>IF(AND(Input!B7&gt;128,OR(Input!B9="CoAP",Input!B9="CoAP DTLS"))," ",IF(D2&lt;1024,U11," "))</f>
        <v>0</v>
      </c>
      <c r="M13" s="16"/>
      <c r="N13" s="16"/>
      <c r="O13" s="16"/>
      <c r="P13" s="16"/>
      <c r="Q13" s="16">
        <f>IF(OR(S12&gt;7,AND(D2&lt;8,Q10=0)),1,0)</f>
        <v>0</v>
      </c>
      <c r="R13" s="16"/>
      <c r="S13" s="16"/>
      <c r="T13" s="16"/>
      <c r="U13" s="16"/>
    </row>
    <row r="14" spans="3:29" x14ac:dyDescent="0.35">
      <c r="C14" s="2"/>
      <c r="D14" s="4"/>
      <c r="E14" s="15">
        <f>IF(AND(Input!B7&gt;128,OR(Input!B9="CoAP",Input!B9="CoAP DTLS"))," ",IF(D2&lt;1024,R26," "))</f>
        <v>0</v>
      </c>
      <c r="G14" s="15">
        <f>IF(AND(Input!B7&gt;128,OR(Input!B9="CoAP",Input!B9="CoAP DTLS"))," ",IF(D2&lt;1024,T12," "))</f>
        <v>0</v>
      </c>
      <c r="M14" s="16"/>
      <c r="N14" s="16"/>
      <c r="O14" s="16"/>
      <c r="P14" s="16"/>
      <c r="Q14" s="16"/>
      <c r="R14" s="16"/>
      <c r="S14" s="16"/>
      <c r="T14" s="16"/>
      <c r="U14" s="16"/>
      <c r="V14">
        <f>IF(OR(S12&gt;7,AND(D2&lt;8,Q10=0)),Z10,0)</f>
        <v>0</v>
      </c>
    </row>
    <row r="15" spans="3:29" x14ac:dyDescent="0.35">
      <c r="C15" s="2"/>
      <c r="D15" s="4"/>
      <c r="E15" s="15">
        <f>IF(AND(Input!B7&gt;128,OR(Input!B9="CoAP",Input!B9="CoAP DTLS"))," ",IF(D2&lt;1024,S24," "))</f>
        <v>127</v>
      </c>
      <c r="G15" s="15">
        <f>IF(AND(Input!B7&gt;128,OR(Input!B9="CoAP",Input!B9="CoAP DTLS"))," ",IF(D2&lt;1024,AA10," "))</f>
        <v>127</v>
      </c>
      <c r="M15" s="16"/>
      <c r="N15" s="16"/>
      <c r="O15" s="16"/>
      <c r="P15" s="16" t="s">
        <v>17</v>
      </c>
      <c r="Q15" s="16">
        <f>SUM(Q10:Q13)</f>
        <v>1</v>
      </c>
      <c r="R15" s="16"/>
      <c r="S15" s="16"/>
      <c r="T15" s="16">
        <f>IF(S12&gt;0,Q11,IF(Q15=0,0,Q11+Q13-1))</f>
        <v>-1</v>
      </c>
      <c r="U15" s="16"/>
    </row>
    <row r="16" spans="3:29" x14ac:dyDescent="0.35">
      <c r="D16" s="4"/>
      <c r="E16" s="15">
        <f>IF(AND(Input!B7&gt;128,OR(Input!B9="CoAP",Input!B9="CoAP DTLS"))," ",IF(D2&lt;1024,S25," "))</f>
        <v>0</v>
      </c>
      <c r="G16" s="15">
        <f>IF(AND(Input!B7&gt;128,OR(Input!B9="CoAP",Input!B9="CoAP DTLS"))," ",IF(D2&lt;1024,AA11," "))</f>
        <v>0</v>
      </c>
      <c r="M16" s="16"/>
      <c r="N16" s="16"/>
      <c r="O16" s="16"/>
      <c r="P16" s="16"/>
      <c r="Q16" s="16"/>
      <c r="R16" s="16"/>
      <c r="S16" s="16"/>
      <c r="T16" s="16"/>
      <c r="U16" s="16"/>
      <c r="V16">
        <f>IF(T11&gt;-S12,T11+S12,0)</f>
        <v>0</v>
      </c>
    </row>
    <row r="17" spans="3:21" x14ac:dyDescent="0.35">
      <c r="E17" s="15">
        <f>IF(AND(Input!B7&gt;128,OR(Input!B9="CoAP",Input!B9="CoAP DTLS"))," ",IF(D2&lt;1024,S26," "))</f>
        <v>0</v>
      </c>
      <c r="G17" s="15">
        <f>IF(AND(Input!B7&gt;128,OR(Input!B9="CoAP",Input!B9="CoAP DTLS"))," ",IF(D2&lt;1024,Z12," "))</f>
        <v>0</v>
      </c>
      <c r="M17" s="16"/>
      <c r="N17" s="16"/>
      <c r="O17" s="16"/>
      <c r="P17" s="16"/>
      <c r="Q17" s="16"/>
      <c r="R17" s="16"/>
      <c r="S17" s="16"/>
      <c r="T17" s="16"/>
      <c r="U17" s="16"/>
    </row>
    <row r="18" spans="3:21" x14ac:dyDescent="0.35">
      <c r="E18" s="15"/>
      <c r="G18" s="15"/>
      <c r="M18" s="16"/>
      <c r="N18" s="16"/>
      <c r="O18" s="16"/>
      <c r="P18" s="16"/>
      <c r="Q18" s="16"/>
      <c r="R18" s="16"/>
      <c r="S18" s="16">
        <f>S9-S10-(O19*T11)</f>
        <v>0</v>
      </c>
      <c r="T18" s="16"/>
      <c r="U18" s="16"/>
    </row>
    <row r="19" spans="3:21" x14ac:dyDescent="0.35">
      <c r="E19" s="15" t="str">
        <f>IF(AND(Input!B7&gt;128,OR(Input!B9="CoAP",Input!B9="CoAP DTLS"))," ",IF(AND(D2&lt;1024,D20&gt;2),P25," "))</f>
        <v xml:space="preserve"> </v>
      </c>
      <c r="G19" s="15" t="str">
        <f>IF(AND(Input!B7&gt;128,OR(Input!B9="CoAP",Input!B9="CoAP DTLS"))," ",IF(AND(D2&lt;1024,D20&gt;2),T15," "))</f>
        <v xml:space="preserve"> </v>
      </c>
      <c r="M19" s="16"/>
      <c r="N19" s="16"/>
      <c r="O19" s="16">
        <f>IF(S12&lt;0,Q11-1,Q11)</f>
        <v>0</v>
      </c>
      <c r="P19" s="16"/>
      <c r="Q19" s="16"/>
      <c r="R19" s="16"/>
      <c r="S19" s="16"/>
      <c r="T19" s="16"/>
      <c r="U19" s="16"/>
    </row>
    <row r="20" spans="3:21" x14ac:dyDescent="0.35">
      <c r="C20" s="2" t="s">
        <v>4</v>
      </c>
      <c r="D20" s="6">
        <f>P31</f>
        <v>1</v>
      </c>
      <c r="M20" s="17"/>
      <c r="N20" s="17"/>
      <c r="O20" s="17"/>
      <c r="P20" s="17"/>
      <c r="Q20" s="17"/>
      <c r="R20" s="17"/>
      <c r="S20" s="17"/>
      <c r="T20" s="17"/>
    </row>
    <row r="21" spans="3:21" x14ac:dyDescent="0.35">
      <c r="M21" s="17" t="s">
        <v>42</v>
      </c>
      <c r="N21" s="17"/>
      <c r="O21" s="17"/>
      <c r="P21" s="17"/>
      <c r="Q21" s="17" t="s">
        <v>49</v>
      </c>
      <c r="R21" s="17"/>
      <c r="S21" s="17"/>
      <c r="T21" s="17"/>
    </row>
    <row r="22" spans="3:21" x14ac:dyDescent="0.35">
      <c r="M22" s="17"/>
      <c r="N22" s="17"/>
      <c r="O22" s="17"/>
      <c r="P22" s="17"/>
      <c r="Q22" s="17"/>
      <c r="R22" s="17"/>
      <c r="S22" s="17"/>
      <c r="T22" s="17"/>
    </row>
    <row r="23" spans="3:21" x14ac:dyDescent="0.35">
      <c r="M23" s="17" t="s">
        <v>43</v>
      </c>
      <c r="N23" s="17"/>
      <c r="O23" s="17" t="s">
        <v>47</v>
      </c>
      <c r="P23" s="17" t="s">
        <v>48</v>
      </c>
      <c r="Q23" s="17">
        <f>D2</f>
        <v>90</v>
      </c>
      <c r="R23" s="17" t="s">
        <v>55</v>
      </c>
      <c r="S23" s="17" t="s">
        <v>54</v>
      </c>
      <c r="T23" s="17"/>
    </row>
    <row r="24" spans="3:21" x14ac:dyDescent="0.35">
      <c r="M24" s="17" t="s">
        <v>44</v>
      </c>
      <c r="N24" s="17">
        <f>IF(Q23&gt;(P10),P10-6,P10)</f>
        <v>90</v>
      </c>
      <c r="O24" s="17">
        <f>IF((Q23&lt;=P10),127-P10,125-N24)</f>
        <v>37</v>
      </c>
      <c r="P24" s="17">
        <f>IF(Q23&gt;0,1,0)</f>
        <v>1</v>
      </c>
      <c r="Q24" s="17">
        <f>N24*P24</f>
        <v>90</v>
      </c>
      <c r="R24" s="17">
        <f>IF(AND(R25=0,R31&lt;5),Q24+R31,Q24)</f>
        <v>90</v>
      </c>
      <c r="S24" s="17">
        <f>R24+O24</f>
        <v>127</v>
      </c>
      <c r="T24" s="17"/>
    </row>
    <row r="25" spans="3:21" x14ac:dyDescent="0.35">
      <c r="M25" s="17" t="s">
        <v>45</v>
      </c>
      <c r="N25" s="17">
        <f>IF((Q23-Q24)&gt;P11+2,P11,P11+2)</f>
        <v>113</v>
      </c>
      <c r="O25" s="17">
        <f>IF((Q24&lt;P11),125-P11,127-N25)</f>
        <v>14</v>
      </c>
      <c r="P25" s="17">
        <f>N32</f>
        <v>0</v>
      </c>
      <c r="Q25" s="17">
        <f>P25*N25</f>
        <v>0</v>
      </c>
      <c r="R25" s="17">
        <f>IF(N32&gt;0,Q25/P25,0)</f>
        <v>0</v>
      </c>
      <c r="S25" s="17">
        <f>IF(N32&gt;0,R25+O25,0)</f>
        <v>0</v>
      </c>
      <c r="T25" s="17"/>
    </row>
    <row r="26" spans="3:21" x14ac:dyDescent="0.35">
      <c r="M26" s="17" t="s">
        <v>46</v>
      </c>
      <c r="N26" s="17"/>
      <c r="O26" s="17">
        <f>O25</f>
        <v>14</v>
      </c>
      <c r="P26" s="17">
        <f>IF(AND(Q11=0,N11&gt;0),1,0)</f>
        <v>0</v>
      </c>
      <c r="Q26" s="17"/>
      <c r="R26" s="17">
        <f>IF(AND(R31&gt;0,R31&lt;7),7,IF(R31&lt;1,0,R31))</f>
        <v>0</v>
      </c>
      <c r="S26" s="17">
        <f>IF(R26&gt;0,R26+O26,0)</f>
        <v>0</v>
      </c>
      <c r="T26" s="17"/>
    </row>
    <row r="27" spans="3:21" x14ac:dyDescent="0.35">
      <c r="M27" s="17"/>
      <c r="N27" s="17"/>
      <c r="O27" s="17"/>
      <c r="P27" s="17">
        <f>IF(R31&gt;1,1,0)</f>
        <v>0</v>
      </c>
      <c r="Q27" s="17"/>
      <c r="R27" s="17"/>
      <c r="S27" s="17"/>
      <c r="T27" s="17"/>
    </row>
    <row r="28" spans="3:21" x14ac:dyDescent="0.35">
      <c r="M28" s="17"/>
      <c r="N28" s="17"/>
      <c r="O28" s="17"/>
      <c r="P28" s="17"/>
      <c r="Q28" s="17"/>
      <c r="R28" s="17"/>
      <c r="S28" s="17"/>
      <c r="T28" s="17"/>
    </row>
    <row r="29" spans="3:21" x14ac:dyDescent="0.35">
      <c r="M29" s="17"/>
      <c r="N29" s="17"/>
      <c r="O29" s="17"/>
      <c r="P29" s="17"/>
      <c r="Q29" s="17"/>
      <c r="R29" s="17"/>
      <c r="S29" s="17"/>
      <c r="T29" s="17"/>
    </row>
    <row r="30" spans="3:21" x14ac:dyDescent="0.35">
      <c r="M30" s="17"/>
      <c r="N30" s="17"/>
      <c r="O30" s="17"/>
      <c r="P30" s="17"/>
      <c r="Q30" s="17"/>
      <c r="R30" s="17"/>
      <c r="S30" s="17"/>
      <c r="T30" s="17"/>
    </row>
    <row r="31" spans="3:21" x14ac:dyDescent="0.35">
      <c r="M31" s="17" t="s">
        <v>51</v>
      </c>
      <c r="N31" s="17">
        <f>QUOTIENT(D2,Q23)</f>
        <v>1</v>
      </c>
      <c r="O31" s="17" t="s">
        <v>53</v>
      </c>
      <c r="P31" s="17">
        <f>SUM(P24:P30)</f>
        <v>1</v>
      </c>
      <c r="Q31" s="17" t="s">
        <v>50</v>
      </c>
      <c r="R31" s="17">
        <f>Q23-Q24-Q25</f>
        <v>0</v>
      </c>
      <c r="S31" s="17"/>
      <c r="T31" s="17"/>
    </row>
    <row r="32" spans="3:21" x14ac:dyDescent="0.35">
      <c r="M32" s="17" t="s">
        <v>52</v>
      </c>
      <c r="N32" s="17">
        <f>QUOTIENT(Q23-Q24,N25+1)</f>
        <v>0</v>
      </c>
      <c r="O32" s="17"/>
      <c r="P32" s="17"/>
      <c r="Q32" s="17"/>
      <c r="R32" s="17"/>
      <c r="S32" s="17"/>
      <c r="T32" s="17"/>
    </row>
    <row r="33" spans="13:20" x14ac:dyDescent="0.35">
      <c r="M33" s="17"/>
      <c r="N33" s="17"/>
      <c r="O33" s="17"/>
      <c r="P33" s="17"/>
      <c r="Q33" s="17"/>
      <c r="R33" s="17"/>
      <c r="S33" s="17"/>
      <c r="T33" s="17"/>
    </row>
  </sheetData>
  <sheetProtection selectLockedCells="1" selectUnlockedCells="1"/>
  <dataValidations disablePrompts="1" count="1">
    <dataValidation type="list" allowBlank="1" showInputMessage="1" showErrorMessage="1" sqref="D4" xr:uid="{1E29F697-502D-40FD-914E-4F7BF0562BA6}">
      <formula1>$O$3:$O$5</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Input</vt:lpstr>
      <vt:lpstr>Calculations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Thomas Snare Knutsen</dc:creator>
  <cp:lastModifiedBy>Thomas Snare Knutsen</cp:lastModifiedBy>
  <dcterms:created xsi:type="dcterms:W3CDTF">2022-09-21T15:11:18Z</dcterms:created>
  <dcterms:modified xsi:type="dcterms:W3CDTF">2022-11-15T10:40:01Z</dcterms:modified>
</cp:coreProperties>
</file>