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comments+xml" PartName="/xl/comments2.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5"/>
  </s:bookViews>
  <s:sheets>
    <s:sheet name="Introduction" sheetId="1" r:id="rId1"/>
    <s:sheet name="Deterministic LCCA" sheetId="2" r:id="rId2"/>
    <s:sheet name="User &amp; Social Cost Worksheet" sheetId="3" r:id="rId3"/>
    <s:sheet name="VOC worksheet" sheetId="4" r:id="rId4"/>
    <s:sheet name="Probabilistic LCCA" sheetId="5" r:id="rId5"/>
    <s:sheet name="Deterministic LCCA(hypo)" sheetId="6" r:id="rId6"/>
    <s:sheet name="Material Mix" sheetId="7" r:id="rId7"/>
    <s:sheet name="Deterioration" sheetId="8" r:id="rId8"/>
    <s:sheet name="Terminology" sheetId="9" r:id="rId9"/>
    <s:sheet name="Distribution" sheetId="10" r:id="rId10"/>
  </s:sheets>
  <s:definedNames>
    <s:definedName name="dis">'Distribution'!$A$1:$A$4</s:definedName>
    <s:definedName localSheetId="4" name="LOCAL_MYSQL_DATE_FORMAT">REPT(local_year_format,4)&amp;local_date_separator&amp;REPT(local_month_format,2)&amp;local_date_separator&amp;REPT(local_day_format,2)&amp;" "&amp;REPT(local_hour_format,2)&amp;local_time_separator&amp;REPT(local_minute_format,2)&amp;local_time_separator&amp;REPT(local_second_format,2)</s:definedName>
    <s:definedName localSheetId="2" name="LOCAL_MYSQL_DATE_FORMAT">REPT(local_year_format,4)&amp;local_date_separator&amp;REPT(local_month_format,2)&amp;local_date_separator&amp;REPT(local_day_format,2)&amp;" "&amp;REPT(local_hour_format,2)&amp;local_time_separator&amp;REPT(local_minute_format,2)&amp;local_time_separator&amp;REPT(local_second_format,2)</s:definedName>
    <s: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s:definedName>
  </s:definedNames>
  <s:calcPr calcId="124519" fullCalcOnLoad="1"/>
</s:workbook>
</file>

<file path=xl/comments1.xml><?xml version="1.0" encoding="utf-8"?>
<comments xmlns="http://schemas.openxmlformats.org/spreadsheetml/2006/main">
  <authors>
    <author>None</author>
  </authors>
  <commentList>
    <comment authorId="0" ref="E21" shapeId="0">
      <text>
        <t>Jingqin Gao:
labor saving $6.05/sf (2012 value) convert to 2015 value</t>
      </text>
    </comment>
    <comment authorId="0" ref="G25" shapeId="0">
      <text>
        <t>Time of day when workzone is in effect</t>
      </text>
    </comment>
    <comment authorId="0" ref="E38" shapeId="0">
      <text>
        <t>duration will be reduced by 10%-15%</t>
      </text>
    </comment>
  </commentList>
</comments>
</file>

<file path=xl/comments2.xml><?xml version="1.0" encoding="utf-8"?>
<comments xmlns="http://schemas.openxmlformats.org/spreadsheetml/2006/main">
  <authors>
    <author>None</author>
  </authors>
  <commentList>
    <comment authorId="0" ref="E20" shapeId="0">
      <text>
        <t>Jingqin Gao:
labor saving $6.05/sf (2012 value) convert to 2015 value</t>
      </text>
    </comment>
    <comment authorId="0" ref="E37" shapeId="0">
      <text>
        <t>duration will be reduced by 10%-15%</t>
      </text>
    </comment>
  </commentList>
</comments>
</file>

<file path=xl/sharedStrings.xml><?xml version="1.0" encoding="utf-8"?>
<sst xmlns="http://schemas.openxmlformats.org/spreadsheetml/2006/main" uniqueCount="401">
  <si>
    <t>INTRODUCTION</t>
  </si>
  <si>
    <t>About RE-CAST Project</t>
  </si>
  <si>
    <t>In recent years, the concepts of sustainable transportation and sustainable infrastructure started being incorporated in the policy and practice at all levels of the transportation sector.The University Transportation Center (UTC) for REsearch on Concrete Applications for Sustainable Transportation (RE-CAST) will provide a collaborative and multidisciplinaryvehicle to develop the next generation of cement-basedconstruction materials. Such materials areessential to address the growing technical andenvironmental requirements of the transportation infrastructure. The reconstruction of the nation’s infrastructure should take into consideration the life cycle cost of the construction, including maintenance and future repair, delays in traffic, and social-economic impact resulting from these activities.</t>
  </si>
  <si>
    <t>About Life Cycle Cost Analysis</t>
  </si>
  <si>
    <t>In order to investigate the use of innovative materials, one should take into consideration not only the initial construction cost, but also the life cycle cost of the construction, future maintenance and repair, vehicle operation cost, work-zone delay cost, and social-economic impact resulting from these activities. Such analysis is known as the life cycle cost analysis (LCCA). LCCA is one of the most recognized economic evaluation techniques that can be performed to find optimum strategies to accurately assess long-term internal and external costs of any maintenance and rehabilitation project with the ultimate objective of satisfying budget constraints. By considering all of the relevant costs-agency and user-incurred during the service life of an asset, this analytical process helps transportation officials to identify the lowest cost option. Additionally, LCCA introduces a structured methodology that quantifies the effects of agency activities on transportation users and provides a means to balance those effects with the construction, rehabilitation, and preservation needs of the system itself. It will provide guideline for selecting appropriate construction and maintenance techniques, including evaluation of material’s durability under different aggressive environments.</t>
  </si>
  <si>
    <t>About this Spreadsheet</t>
  </si>
  <si>
    <t>This spreasheet provide an instructional tool for pavement and bridge designers and decision makers, which they can use to incorporate life-cycle costs into agency's investment decisions.  It automates life cycle cost methodologies for both conventional and new-technology materials, considering agency cost, user cost, as well as social cost.</t>
  </si>
  <si>
    <t>LCCA Objective Function</t>
  </si>
  <si>
    <t>Cost Function:</t>
  </si>
  <si>
    <t>LCCN(T) = CND + Cc + CM(T) + CR(T) + CU(T) +CS(T) + SV</t>
  </si>
  <si>
    <t>Where LCCN = Life Cycle Cost for new-technology material</t>
  </si>
  <si>
    <t xml:space="preserve">          CND = New-material Design Cost</t>
  </si>
  <si>
    <t xml:space="preserve">          CC = Construction Cost</t>
  </si>
  <si>
    <t xml:space="preserve">          CM = Maintenance Cost</t>
  </si>
  <si>
    <t xml:space="preserve">         CR = Rehabilitation Cost</t>
  </si>
  <si>
    <t xml:space="preserve">         CU = User Cost</t>
  </si>
  <si>
    <t xml:space="preserve">         CS = Social Cost</t>
  </si>
  <si>
    <t>SV = Salvage Value</t>
  </si>
  <si>
    <t>Rutger's Example</t>
  </si>
  <si>
    <t>Hypothetical Scenario</t>
  </si>
  <si>
    <t>INPUT</t>
  </si>
  <si>
    <t>Project Detail</t>
  </si>
  <si>
    <t>Project site:</t>
  </si>
  <si>
    <t>Interstate-80</t>
  </si>
  <si>
    <t>A hypothetical bridge</t>
  </si>
  <si>
    <t>Construction type (Pavement/bridge):</t>
  </si>
  <si>
    <t>Bridge Deck</t>
  </si>
  <si>
    <t>State:</t>
  </si>
  <si>
    <t>New Jersey</t>
  </si>
  <si>
    <t>Milepost from:</t>
  </si>
  <si>
    <t>To</t>
  </si>
  <si>
    <t>Structure Length (feet):</t>
  </si>
  <si>
    <t>Structure Width (feet):</t>
  </si>
  <si>
    <t>Comments:</t>
  </si>
  <si>
    <t>Bridge build in 1963</t>
  </si>
  <si>
    <t>A hypothetical example</t>
  </si>
  <si>
    <t>Analysis Option</t>
  </si>
  <si>
    <t>Alternatives:</t>
  </si>
  <si>
    <t>Alternative A:</t>
  </si>
  <si>
    <t>Class A Conventional Concrete</t>
  </si>
  <si>
    <t>Alternative A</t>
  </si>
  <si>
    <t>Alternative B:</t>
  </si>
  <si>
    <t>Fiber reinforced self-consolidating concrete (FR-SCC)</t>
  </si>
  <si>
    <t>Alternative B</t>
  </si>
  <si>
    <t>Analysis period (years):</t>
  </si>
  <si>
    <t>Discount rate (%):</t>
  </si>
  <si>
    <t>Service Life (years):</t>
  </si>
  <si>
    <t>Material Unit Price ($/cubic yard):</t>
  </si>
  <si>
    <t>Construction Unit Cost ($/square feet):</t>
  </si>
  <si>
    <t>Design/Lab testing Cost (if available) ($)</t>
  </si>
  <si>
    <t>N/A</t>
  </si>
  <si>
    <t>Material Mix</t>
  </si>
  <si>
    <t>Cement, Water, Coarse Aggregate, Fine Aggregate, Air Entraining Agent, High-Range Water Reducer</t>
  </si>
  <si>
    <t>Cement, Slag, Water, Coarse Aggregate, Fine Aggregate, Air Entraining Agent, High-Range Water Reducer, Steel fiber</t>
  </si>
  <si>
    <t>Material Distribution</t>
  </si>
  <si>
    <t>Refer to sheet "Material Distribution" for details</t>
  </si>
  <si>
    <t>Key deterioration mode</t>
  </si>
  <si>
    <t>Based on NBI condition rating</t>
  </si>
  <si>
    <t>Rehab Workzone Schedule</t>
  </si>
  <si>
    <t>Y/N</t>
  </si>
  <si>
    <t>Deterioration function/model</t>
  </si>
  <si>
    <t>(Please refer to "Deterioration" sheet for examples</t>
  </si>
  <si>
    <t>12AM - 1AM</t>
  </si>
  <si>
    <t>Y</t>
  </si>
  <si>
    <t>1AM-2AM</t>
  </si>
  <si>
    <t>Traffic Data</t>
  </si>
  <si>
    <t>2AM-3AM</t>
  </si>
  <si>
    <t>Average Daily Traffic (ADT) (veh/day):</t>
  </si>
  <si>
    <t>3AM-4AM</t>
  </si>
  <si>
    <t>Trucks as percentage of ADT (%):</t>
  </si>
  <si>
    <t>4AM-5AM</t>
  </si>
  <si>
    <t>Annual Growth Rate of Traffic (%):</t>
  </si>
  <si>
    <t>5AM-6AM</t>
  </si>
  <si>
    <t>Lanes opened under normal condition:</t>
  </si>
  <si>
    <t>Inbound</t>
  </si>
  <si>
    <t>Outbound</t>
  </si>
  <si>
    <t>6AM-7AM</t>
  </si>
  <si>
    <t>N</t>
  </si>
  <si>
    <t>Value of time ($/hr):</t>
  </si>
  <si>
    <t>Passenger cars:</t>
  </si>
  <si>
    <t>Trucks:</t>
  </si>
  <si>
    <t>7AM-8AM</t>
  </si>
  <si>
    <t>8AM-9AM</t>
  </si>
  <si>
    <t>Work Zone Input</t>
  </si>
  <si>
    <t>9AM-10AM</t>
  </si>
  <si>
    <t>Maintenance Schedule (Every XX years):</t>
  </si>
  <si>
    <t>10AM-11AM</t>
  </si>
  <si>
    <t>Rehabilitation Schedule (Every XX years):</t>
  </si>
  <si>
    <t>11AM-12PM</t>
  </si>
  <si>
    <t>Maintenance Duration (days):</t>
  </si>
  <si>
    <t>12PM-1PM</t>
  </si>
  <si>
    <t>Rehabilitation Duration (days):</t>
  </si>
  <si>
    <t>1PM-2PM</t>
  </si>
  <si>
    <t>Number of Maintenance activity:</t>
  </si>
  <si>
    <t>2PM-3PM</t>
  </si>
  <si>
    <t>Number of Rehabilitation activity:</t>
  </si>
  <si>
    <t>3PM-4PM</t>
  </si>
  <si>
    <t>Number of lanes opened during work zone:</t>
  </si>
  <si>
    <t>4PM-5PM</t>
  </si>
  <si>
    <t>Maintenance:</t>
  </si>
  <si>
    <t>5PM-6PM</t>
  </si>
  <si>
    <t>Rehabilitation:</t>
  </si>
  <si>
    <t>6PM-7PM</t>
  </si>
  <si>
    <t>Capacity (vehs/hour/lane)</t>
  </si>
  <si>
    <t>Workzone:</t>
  </si>
  <si>
    <t>Non-workzone:</t>
  </si>
  <si>
    <t>7PM-8PM</t>
  </si>
  <si>
    <t>Number of hours per day during work zone:</t>
  </si>
  <si>
    <t>Numbr of workzone hours (per day)</t>
  </si>
  <si>
    <t>8PM-9PM</t>
  </si>
  <si>
    <t>Free Flow Speed (miles/hour):</t>
  </si>
  <si>
    <t>9PM-10PM</t>
  </si>
  <si>
    <t>Work Zone Speed during maintainence (miles/hour):</t>
  </si>
  <si>
    <t>10PM-11PM</t>
  </si>
  <si>
    <t>Work Zone Speed during rehabilitation (miles/hour):</t>
  </si>
  <si>
    <t>11PM-12AM</t>
  </si>
  <si>
    <t>OUTPUT</t>
  </si>
  <si>
    <t>Agency Cost</t>
  </si>
  <si>
    <t>Initial Construction Cost ($):</t>
  </si>
  <si>
    <t>Maintenance Cost ($):</t>
  </si>
  <si>
    <t>Rehabilitation Cost:</t>
  </si>
  <si>
    <t>(A) Replace the structure (price include demolition&amp;traffic control)($):</t>
  </si>
  <si>
    <t>(B) Approach roadway work (Lump Sum)($):</t>
  </si>
  <si>
    <t>(C) Traffic Staging ($):</t>
  </si>
  <si>
    <t>(D) Preliminary Engineering($):</t>
  </si>
  <si>
    <t>Total Rehabilitation Cost (s):</t>
  </si>
  <si>
    <t>Salvage Value ($):</t>
  </si>
  <si>
    <t>Total Agency Cost ($):</t>
  </si>
  <si>
    <t>User Cost</t>
  </si>
  <si>
    <t>Traffic Delay Cost ($):</t>
  </si>
  <si>
    <t>Vehicle Operation Cost ($):</t>
  </si>
  <si>
    <t>Crash Risk Cost ($):</t>
  </si>
  <si>
    <t>Total User Cost ($):</t>
  </si>
  <si>
    <t>Social Cost (Environmental/Energy Cosumption)</t>
  </si>
  <si>
    <t>Air Pollution Cost ($):</t>
  </si>
  <si>
    <t>Noise Cost ($):</t>
  </si>
  <si>
    <t>Energy Consumption Cost ($):</t>
  </si>
  <si>
    <t>Total Social Cost ($):</t>
  </si>
  <si>
    <t>User Cost Factor:</t>
  </si>
  <si>
    <t>Social Cost Factor:</t>
  </si>
  <si>
    <t>Total Life Cycle Cost</t>
  </si>
  <si>
    <t>Network Present Value ($):</t>
  </si>
  <si>
    <t>Recommended Alternative:</t>
  </si>
  <si>
    <t>Favorite Alternative Benefit:</t>
  </si>
  <si>
    <t>Social Cost</t>
  </si>
  <si>
    <t>USER COST &amp; SOCIAL COST</t>
  </si>
  <si>
    <t>Rutgers Example</t>
  </si>
  <si>
    <t>WZ Status</t>
  </si>
  <si>
    <t>Time Period</t>
  </si>
  <si>
    <t>Distribution Factor</t>
  </si>
  <si>
    <t>Inbound (%)</t>
  </si>
  <si>
    <t>Outbound (%)</t>
  </si>
  <si>
    <t>Demand</t>
  </si>
  <si>
    <t>Future traffic Rehab #1</t>
  </si>
  <si>
    <t>Rehab #1</t>
  </si>
  <si>
    <t>Future traffic Rehab #2</t>
  </si>
  <si>
    <t>Rehab #2</t>
  </si>
  <si>
    <t>Future traffic Rehab #3</t>
  </si>
  <si>
    <t>Rehab #3</t>
  </si>
  <si>
    <t>Inbound Queue? (1=Yes, 0=No)</t>
  </si>
  <si>
    <t>Outbound Queue? (1=Yes, 0=No)</t>
  </si>
  <si>
    <t>Input</t>
  </si>
  <si>
    <t>12-1</t>
  </si>
  <si>
    <t>WZ distance (mile)</t>
  </si>
  <si>
    <t>1-2</t>
  </si>
  <si>
    <t>Traffic Volume (veh/hr)</t>
  </si>
  <si>
    <t>See right table</t>
  </si>
  <si>
    <t>2-3</t>
  </si>
  <si>
    <t>Value of time ($/hr)</t>
  </si>
  <si>
    <t>VOT (passenger)</t>
  </si>
  <si>
    <t>VOT (truck)</t>
  </si>
  <si>
    <t>3-4</t>
  </si>
  <si>
    <t>4-5</t>
  </si>
  <si>
    <t>Capacity (veh/hr)</t>
  </si>
  <si>
    <t>During rehabilibation</t>
  </si>
  <si>
    <t>During maintenance</t>
  </si>
  <si>
    <t>5-6</t>
  </si>
  <si>
    <t>6-7</t>
  </si>
  <si>
    <t>Freeflow speed (vph)</t>
  </si>
  <si>
    <t>7-8</t>
  </si>
  <si>
    <t>Traffic growth rate (%)</t>
  </si>
  <si>
    <t>8-9</t>
  </si>
  <si>
    <t>Average Daily Traffic (vpd)</t>
  </si>
  <si>
    <t>9-10</t>
  </si>
  <si>
    <t>Percentage of Trucks</t>
  </si>
  <si>
    <t>10-11</t>
  </si>
  <si>
    <t>Discount Rate</t>
  </si>
  <si>
    <t>11-12</t>
  </si>
  <si>
    <t>Crash rate/Million vehicles -WZ</t>
  </si>
  <si>
    <t>12-13</t>
  </si>
  <si>
    <t>Crash rate/Million vehicles -Normal</t>
  </si>
  <si>
    <t>13-14</t>
  </si>
  <si>
    <t>Average crash cost ($/crash)</t>
  </si>
  <si>
    <t>14-15</t>
  </si>
  <si>
    <t>Work Zone speed (mph)</t>
  </si>
  <si>
    <t>15-16</t>
  </si>
  <si>
    <t>16-17</t>
  </si>
  <si>
    <t>weighted-average vehicle cost</t>
  </si>
  <si>
    <t>17-18</t>
  </si>
  <si>
    <t>18-19</t>
  </si>
  <si>
    <t>WZ Schedule</t>
  </si>
  <si>
    <t>Conventional</t>
  </si>
  <si>
    <t>New</t>
  </si>
  <si>
    <t>19-20</t>
  </si>
  <si>
    <t>Maintenance (years)</t>
  </si>
  <si>
    <t>20-21</t>
  </si>
  <si>
    <t>Rehabilitation (years)</t>
  </si>
  <si>
    <t>21-22</t>
  </si>
  <si>
    <t>22-23</t>
  </si>
  <si>
    <t>WZ Duration (N)</t>
  </si>
  <si>
    <t>23-24</t>
  </si>
  <si>
    <t>Maintenance (days)</t>
  </si>
  <si>
    <t>Delay time (veh-hr)</t>
  </si>
  <si>
    <t>Rehabilitation (days)</t>
  </si>
  <si>
    <t>Delay Cost ($)</t>
  </si>
  <si>
    <t>Discounted Delay Cost ($)</t>
  </si>
  <si>
    <t>*Max capacity is assumed to be 1900 vpl.</t>
  </si>
  <si>
    <t>Affected vehicles</t>
  </si>
  <si>
    <t>Future traffic demand per lane should not exceed this max number.</t>
  </si>
  <si>
    <t>Stopping VOC ($)</t>
  </si>
  <si>
    <t>Idling VOC($)</t>
  </si>
  <si>
    <t>Alt A</t>
  </si>
  <si>
    <t>Alt B</t>
  </si>
  <si>
    <t>Discounted VOC ($)</t>
  </si>
  <si>
    <t>Total Delay Cost</t>
  </si>
  <si>
    <t>Crash risk cost ($)</t>
  </si>
  <si>
    <t>Total Vehicle Operation Cost</t>
  </si>
  <si>
    <t>Discounted CRC($)</t>
  </si>
  <si>
    <t>Total Crash Risk Cost</t>
  </si>
  <si>
    <t>Air Pullotion Cost($)</t>
  </si>
  <si>
    <t>Total Air Pullotion Cost</t>
  </si>
  <si>
    <t>Discounted APC ($)</t>
  </si>
  <si>
    <t>Rehab #1 (Alt 1) @ year</t>
  </si>
  <si>
    <t>Rehab #2 (Alt 1) @ year</t>
  </si>
  <si>
    <t>Time of day</t>
  </si>
  <si>
    <t>Distrubution Factor*</t>
  </si>
  <si>
    <t>Inbound (%)*</t>
  </si>
  <si>
    <t>Outbound (%)*</t>
  </si>
  <si>
    <t>Future traffic</t>
  </si>
  <si>
    <t>Capacity</t>
  </si>
  <si>
    <t>Queue rate</t>
  </si>
  <si>
    <t>#Queue Vehs</t>
  </si>
  <si>
    <t>Number of Vehicles that</t>
  </si>
  <si>
    <t>Avg queued vehs</t>
  </si>
  <si>
    <t>Avg queue vehs</t>
  </si>
  <si>
    <t>Traverse WZ</t>
  </si>
  <si>
    <t>Traverse Queue</t>
  </si>
  <si>
    <t>Stop</t>
  </si>
  <si>
    <t>Slowdown</t>
  </si>
  <si>
    <t>Sum</t>
  </si>
  <si>
    <t>Time</t>
  </si>
  <si>
    <t>Queued Vehs</t>
  </si>
  <si>
    <t>Average queue vehs</t>
  </si>
  <si>
    <t>Average Queue Length (Miles)</t>
  </si>
  <si>
    <t>Time @ Queue
Speed</t>
  </si>
  <si>
    <t>Time @ freeflow Speed</t>
  </si>
  <si>
    <t>Average Queue Delay per Vehicle (hour)</t>
  </si>
  <si>
    <t>10-15</t>
  </si>
  <si>
    <t>15-19</t>
  </si>
  <si>
    <t>19-24</t>
  </si>
  <si>
    <t>M&amp;R activity</t>
  </si>
  <si>
    <t>Year</t>
  </si>
  <si>
    <t>VOC</t>
  </si>
  <si>
    <t>Discounted VOC</t>
  </si>
  <si>
    <t>Delay Cost</t>
  </si>
  <si>
    <t>Discounted Delay Cost</t>
  </si>
  <si>
    <t>Speed change VOC/Delay</t>
  </si>
  <si>
    <t>Rehab#1</t>
  </si>
  <si>
    <t>Affected vehs</t>
  </si>
  <si>
    <t>Added VOC cost/1000 veh</t>
  </si>
  <si>
    <t>Speed change VOC</t>
  </si>
  <si>
    <t>Added hour/1000vehs</t>
  </si>
  <si>
    <t>Speed change Delay cost</t>
  </si>
  <si>
    <t>Rehab#2</t>
  </si>
  <si>
    <t>Pass car</t>
  </si>
  <si>
    <t>Rehab#3</t>
  </si>
  <si>
    <t>Truck</t>
  </si>
  <si>
    <t>Total stopping VOC/Delay</t>
  </si>
  <si>
    <t>Stopping VOC</t>
  </si>
  <si>
    <t>Stopping Delay cost</t>
  </si>
  <si>
    <t>Total stopping VOC</t>
  </si>
  <si>
    <t>Total stopping delay</t>
  </si>
  <si>
    <t>Total idling VOC/Queue reduced speed delay</t>
  </si>
  <si>
    <t>Idling VOC</t>
  </si>
  <si>
    <t>Queue Speed Delay cost</t>
  </si>
  <si>
    <t>Total idling VOC</t>
  </si>
  <si>
    <t>Total inbound VOC</t>
  </si>
  <si>
    <t>Total inbound Delay Cost</t>
  </si>
  <si>
    <t>Total outbound VOC</t>
  </si>
  <si>
    <t>Total outbound Delay Cost</t>
  </si>
  <si>
    <t>VOC Sum</t>
  </si>
  <si>
    <t>Delay Sum</t>
  </si>
  <si>
    <t>Probabilistic Hypothetical Scenario</t>
  </si>
  <si>
    <t>GENERAL INPUT</t>
  </si>
  <si>
    <t>Number of Runs:</t>
  </si>
  <si>
    <t>Conventional Concrete</t>
  </si>
  <si>
    <t>FR-SCC</t>
  </si>
  <si>
    <t>Analysis Period (years):</t>
  </si>
  <si>
    <t>Workzone Schedule (Time of day when workzone is in effect)</t>
  </si>
  <si>
    <t>0-1</t>
  </si>
  <si>
    <t>User Cost weighted factor</t>
  </si>
  <si>
    <t>Social Cost weighted factor</t>
  </si>
  <si>
    <t>PROBABILISTIC INPUT</t>
  </si>
  <si>
    <t>Both Alternatives:</t>
  </si>
  <si>
    <t>Select Distribution:</t>
  </si>
  <si>
    <t>Normal</t>
  </si>
  <si>
    <t>Service Life (years) (numerically equals to rehab schedule):</t>
  </si>
  <si>
    <t>Triangular</t>
  </si>
  <si>
    <t>Fixed</t>
  </si>
  <si>
    <t>Alternative 1:</t>
  </si>
  <si>
    <t>Mean (Million$)</t>
  </si>
  <si>
    <t>Std (Million$)</t>
  </si>
  <si>
    <t>Alternative 2:</t>
  </si>
  <si>
    <t>Deterministic Hypothetical Scenario</t>
  </si>
  <si>
    <t>projectSite</t>
  </si>
  <si>
    <t>constructionType</t>
  </si>
  <si>
    <t>state</t>
  </si>
  <si>
    <t>61.1901306</t>
  </si>
  <si>
    <t>61.3100552</t>
  </si>
  <si>
    <t>comments</t>
  </si>
  <si>
    <t>alternativeA</t>
  </si>
  <si>
    <t>alternativeB</t>
  </si>
  <si>
    <t>0</t>
  </si>
  <si>
    <t>0.5</t>
  </si>
  <si>
    <t>alternative A</t>
  </si>
  <si>
    <t>20%</t>
  </si>
  <si>
    <t>Material Mix and Distributions</t>
  </si>
  <si>
    <t>Cost of Material for 1 cubic yard</t>
  </si>
  <si>
    <t>Materials and Admixtures</t>
  </si>
  <si>
    <t>Conventional (Class A)</t>
  </si>
  <si>
    <t>Unit cost</t>
  </si>
  <si>
    <t>Cost, $</t>
  </si>
  <si>
    <t>FR-SCC (0.2% fiber)</t>
  </si>
  <si>
    <t>Cost,$</t>
  </si>
  <si>
    <t>Type I Cement, lb</t>
  </si>
  <si>
    <t>Grade 120 Slag, lb</t>
  </si>
  <si>
    <t>Water, lb</t>
  </si>
  <si>
    <t>Coarse Aggregate, lb</t>
  </si>
  <si>
    <t>Fine Aggregate (Sand), lb</t>
  </si>
  <si>
    <t>Air Entraining Agent, ozs</t>
  </si>
  <si>
    <t>High-Range Water Reducer, ozs</t>
  </si>
  <si>
    <t>Fiber, Lbs</t>
  </si>
  <si>
    <t>Total cost, $</t>
  </si>
  <si>
    <t xml:space="preserve">Mix proportions for typical NJDOT Class A concrete </t>
  </si>
  <si>
    <t>Mix design for FR-SCC at different fiber percentage by volume (0, 0.1, 0.15, 0.2)</t>
  </si>
  <si>
    <t>(http://cait.rutgers.edu/files/FHWA-NJ-2000-003.pdf)</t>
  </si>
  <si>
    <t>Eample A: Conventional Bridge/ECC bridge</t>
  </si>
  <si>
    <t>Deterioration Model/Curves</t>
  </si>
  <si>
    <t>Other Deterioration Model Example</t>
  </si>
  <si>
    <t>Example A: A general pavement deterioration curve</t>
  </si>
  <si>
    <t>(Rancho Palos Verdes Biennial Pavement Management Update, Draft Report – May 15, 1997)</t>
  </si>
  <si>
    <t>In this example, a third order polynomial regression equation was estimated based on the NBI database to represent the deterioration of conventional bridge decks on Interstate-80.</t>
  </si>
  <si>
    <t>Since FR-SCC has enhanced performance on preventing cracking, we assume its deterioration curve will be stretched with the average improvement rate before reaching to Rating 6 (minimum rating before cracking), then follows the same deterioration rate until Rating 4 (minimum acceptable rating).</t>
  </si>
  <si>
    <t>Example B: A simple linear deterioration function example</t>
  </si>
  <si>
    <t>(Reference: Mohammadi et. al , 1995)</t>
  </si>
  <si>
    <t>Deck Condition Rating = 9-0.119 *(AGE)-2.158E- 6*(ADT*AGE/10)</t>
  </si>
  <si>
    <t>Assume maintenance action occurs when condition rating falls below 3.5.)</t>
  </si>
  <si>
    <t>Example C: Deterioration Curve used in ECC pavement</t>
  </si>
  <si>
    <t>(Zhang et. Al. An integrated life cycle assessment and life cycle analysis model for pavement overlay systems, 2008)</t>
  </si>
  <si>
    <t>In Michigan, a Distress Index (DI), which represents a holistic measure of pavement condition, (including surface roughness and deterioration), is used rather than IRI to gauge pavement conditions.</t>
  </si>
  <si>
    <t>It depends on many factors such as temperature, traffic flow and load, types of pavements, and age of pavement.</t>
  </si>
  <si>
    <t>Currently, MDOT uses a threshold of DI of 50 to indicate the need for overlay reconstruction.</t>
  </si>
  <si>
    <t>Example D: A bridge Deterioration Model Example (from the same author for the deterioration model used in ECC bridge example)</t>
  </si>
  <si>
    <t>(Yanev and Testa, Life Cycle Performance of Bridge Components in New York City, 1999)</t>
  </si>
  <si>
    <t>The overall bridge condition rating R can be expressed as a function of the condition ratings Ri of the 13 bridge components in Table 2</t>
  </si>
  <si>
    <t>(Bear, Bwall,Abut, Wwall, Seats,Prim. Mem., Secon. Mem., Curbs, Side Walk, Deck, Wear. Surface, Piers, Joints)</t>
  </si>
  <si>
    <t>where: kei are the normalized values of the weight factors wi, shown in Table 2, Ri are the condition ratings of the 13 bridge components listed in Table 2.</t>
  </si>
  <si>
    <t>The condition rating of each bridge component deterioration rate ri is:</t>
  </si>
  <si>
    <t>where: ri1 and ri0 are the deterioration rates at “full” and at no maintenance, Mij are the maintenance levels for the 15 maintenance operations of Table 1, kij are the normalized values of the influence factors Iij listed in Table 1.</t>
  </si>
  <si>
    <t>The expected bridge life L can be expressed in terms of the known bridge life at no maintenance L0 and the expected bridge life at “full” maintenance L1 as follows:</t>
  </si>
  <si>
    <t>Anaylsis Period</t>
  </si>
  <si>
    <t>The analysis period is the period of time during which the initial and any future costs for the project alternatives will be evaluated</t>
  </si>
  <si>
    <t>The rate by which future expenditures will be discounted to present value. This is entered as a decimal number. FHEA's recommendation is using rReal discount rate of 3% to 5%.</t>
  </si>
  <si>
    <t>Service Life</t>
  </si>
  <si>
    <t>Service life is the estimated time period that the structure will remain viable for public use at or above a minimum level of service.</t>
  </si>
  <si>
    <t>To determine service life, key deterioration mode (faliure mode) will be needed.</t>
  </si>
  <si>
    <t>Design/ Lab testing Cost</t>
  </si>
  <si>
    <t>This is a cost component related to the design stage of the new material. These costs are generated from lab testing, evaluating, and bringing the new material to accepted, mainstream use.</t>
  </si>
  <si>
    <t>Costs incurred by government agencies all through the value chain (from raw material acquisition to end of life).</t>
  </si>
  <si>
    <t>Usually includes material cost, labor cost, equipment cost, construction activity schedules, and construction equipment used.</t>
  </si>
  <si>
    <t>Expenses incurred by those using the system</t>
  </si>
  <si>
    <t>Input may includes traffic flow rate (e.g. 35000 cars/day/direction), road capacity, work zone speed limits, lane width, and lane closure.</t>
  </si>
  <si>
    <t>Here refer only to enviornmental cost. Environmental 
costs are based on estimates of criteria air
pollutants and greenhouse gases.</t>
  </si>
  <si>
    <t>Salvage Value</t>
  </si>
  <si>
    <t>represents value of an investment alternative at the end of the analysis period.</t>
  </si>
  <si>
    <t>Crash Risk Cost</t>
  </si>
  <si>
    <t>Cost associate with number of work-zone-related traffic crashes, injuries, and fatalities</t>
  </si>
  <si>
    <t>Mean</t>
  </si>
  <si>
    <t>Std</t>
  </si>
  <si>
    <t>-</t>
  </si>
  <si>
    <t>Min</t>
  </si>
  <si>
    <t>Most Likely</t>
  </si>
  <si>
    <t>Max</t>
  </si>
  <si>
    <t>Uniform</t>
  </si>
  <si>
    <t>Value</t>
  </si>
  <si>
    <t>Added Time (hr/1000 stops) (Excludes idling Time)</t>
  </si>
  <si>
    <t>Added Cost ($/1000 stops) (Excludes idling time)</t>
  </si>
  <si>
    <t>Initial Speed (mi/h)</t>
  </si>
  <si>
    <t>Pass. Cars</t>
  </si>
  <si>
    <t>Trucks</t>
  </si>
  <si>
    <t>Idling Cost($/Veh-hr)</t>
  </si>
</sst>
</file>

<file path=xl/styles.xml><?xml version="1.0" encoding="utf-8"?>
<styleSheet xmlns="http://schemas.openxmlformats.org/spreadsheetml/2006/main">
  <numFmts count="6">
    <numFmt formatCode="0.0%" numFmtId="164"/>
    <numFmt formatCode="0.00000000%" numFmtId="165"/>
    <numFmt formatCode="\$#,##0" numFmtId="166"/>
    <numFmt formatCode="\$#,##0_);[Red]&quot;($&quot;#,##0\)" numFmtId="167"/>
    <numFmt formatCode="0.0000" numFmtId="168"/>
    <numFmt formatCode="[$$-409]#,##0.0000;[Red]\-[$$-409]#,##0.0000" numFmtId="169"/>
  </numFmts>
  <fonts count="39">
    <font>
      <name val="Calibri"/>
      <charset val="1"/>
      <family val="2"/>
      <color rgb="FF000000"/>
      <sz val="11"/>
    </font>
    <font>
      <name val="Calibri"/>
      <charset val="1"/>
      <family val="2"/>
      <b val="1"/>
      <color rgb="FF4472C4"/>
      <sz val="22"/>
    </font>
    <font>
      <name val="Calibri"/>
      <charset val="1"/>
      <family val="2"/>
      <b val="1"/>
      <color rgb="FF000000"/>
      <sz val="16"/>
    </font>
    <font>
      <name val="Calibri"/>
      <charset val="1"/>
      <family val="2"/>
      <color rgb="FF000000"/>
      <sz val="12"/>
    </font>
    <font>
      <name val="Times New Roman"/>
      <charset val="1"/>
      <family val="1"/>
      <color rgb="FF000000"/>
      <sz val="12"/>
    </font>
    <font>
      <name val="Calibri"/>
      <charset val="1"/>
      <family val="2"/>
      <b val="1"/>
      <color rgb="FF548235"/>
      <sz val="11"/>
    </font>
    <font>
      <name val="Times New Roman"/>
      <charset val="1"/>
      <family val="1"/>
      <b val="1"/>
      <color rgb="FF000000"/>
      <sz val="12"/>
    </font>
    <font>
      <name val="Times New Roman"/>
      <charset val="1"/>
      <family val="1"/>
      <b val="1"/>
      <color rgb="FF000000"/>
      <sz val="12"/>
      <vertAlign val="subscript"/>
    </font>
    <font>
      <name val="Times New Roman"/>
      <charset val="1"/>
      <family val="1"/>
      <b val="1"/>
      <color rgb="FFC00000"/>
      <sz val="12"/>
    </font>
    <font>
      <name val="Times New Roman"/>
      <charset val="1"/>
      <family val="1"/>
      <b val="1"/>
      <color rgb="FFC00000"/>
      <sz val="12"/>
      <vertAlign val="subscript"/>
    </font>
    <font>
      <name val="Times New Roman"/>
      <charset val="1"/>
      <family val="1"/>
      <color rgb="FF000000"/>
      <sz val="10"/>
    </font>
    <font>
      <name val="Times New Roman"/>
      <charset val="1"/>
      <family val="1"/>
      <i val="1"/>
      <color rgb="FF000000"/>
      <sz val="10"/>
    </font>
    <font>
      <name val="Times New Roman"/>
      <charset val="1"/>
      <family val="1"/>
      <i val="1"/>
      <color rgb="FF000000"/>
      <sz val="10"/>
      <vertAlign val="subscript"/>
    </font>
    <font>
      <name val="Calibri"/>
      <charset val="1"/>
      <family val="2"/>
      <color rgb="FF000000"/>
      <sz val="10"/>
    </font>
    <font>
      <name val="Calibri"/>
      <charset val="1"/>
      <family val="2"/>
      <b val="1"/>
      <color rgb="FF000000"/>
      <sz val="11"/>
    </font>
    <font>
      <name val="Calibri"/>
      <charset val="1"/>
      <family val="2"/>
      <b val="1"/>
      <color rgb="FF000000"/>
      <sz val="18"/>
    </font>
    <font>
      <name val="Calibri"/>
      <charset val="1"/>
      <family val="2"/>
      <b val="1"/>
      <color rgb="FF548235"/>
      <sz val="18"/>
    </font>
    <font>
      <name val="Calibri"/>
      <charset val="1"/>
      <family val="2"/>
      <b val="1"/>
      <color rgb="FF2E75B6"/>
      <sz val="18"/>
    </font>
    <font>
      <name val="Times New Roman"/>
      <charset val="1"/>
      <family val="1"/>
      <color rgb="FF000000"/>
      <sz val="11"/>
    </font>
    <font>
      <name val="Calibri"/>
      <charset val="1"/>
      <family val="2"/>
      <b val="1"/>
      <color rgb="FF000000"/>
      <sz val="12"/>
    </font>
    <font>
      <name val="Calibri"/>
      <charset val="1"/>
      <family val="2"/>
      <color rgb="FF000000"/>
      <sz val="14"/>
    </font>
    <font>
      <name val="Tahoma"/>
      <charset val="1"/>
      <family val="2"/>
      <b val="1"/>
      <color rgb="FF000000"/>
      <sz val="9"/>
    </font>
    <font>
      <name val="Tahoma"/>
      <charset val="1"/>
      <family val="2"/>
      <color rgb="FF000000"/>
      <sz val="9"/>
    </font>
    <font>
      <name val="Calibri"/>
      <charset val="1"/>
      <family val="2"/>
      <b val="1"/>
      <color rgb="FF5B9BD5"/>
      <sz val="26"/>
    </font>
    <font>
      <name val="Calibri"/>
      <charset val="1"/>
      <family val="2"/>
      <b val="1"/>
      <color rgb="00000000"/>
      <sz val="22"/>
    </font>
    <font>
      <name val="Calibri"/>
      <charset val="1"/>
      <family val="2"/>
      <b val="1"/>
      <color rgb="FF000000"/>
      <sz val="14"/>
    </font>
    <font>
      <name val="Calibri"/>
      <charset val="1"/>
      <family val="2"/>
      <b val="1"/>
      <color rgb="FFED7D31"/>
      <sz val="18"/>
    </font>
    <font>
      <name val="Calibri"/>
      <charset val="1"/>
      <family val="2"/>
      <b val="1"/>
      <color rgb="FFCC0000"/>
      <sz val="11"/>
    </font>
    <font>
      <name val="Calibri"/>
      <charset val="1"/>
      <family val="2"/>
      <b val="1"/>
      <color rgb="FF000000"/>
      <sz val="14"/>
    </font>
    <font>
      <name val="Calibri"/>
      <charset val="1"/>
      <family val="2"/>
      <b val="1"/>
      <color rgb="FFCC0000"/>
      <sz val="14"/>
    </font>
    <font>
      <name val="Calibri"/>
      <charset val="1"/>
      <family val="2"/>
      <b val="1"/>
      <color rgb="00000000"/>
      <sz val="14"/>
    </font>
    <font>
      <name val="Calibri"/>
      <charset val="1"/>
      <family val="2"/>
      <b val="1"/>
      <color rgb="FF333F50"/>
      <sz val="11"/>
    </font>
    <font>
      <name val="Calibri"/>
      <charset val="1"/>
      <family val="2"/>
      <b val="1"/>
      <color rgb="FFFF0000"/>
      <sz val="11"/>
    </font>
    <font>
      <name val="Times New Roman"/>
      <charset val="1"/>
      <family val="1"/>
      <b val="1"/>
      <color rgb="00000000"/>
      <sz val="12"/>
    </font>
    <font>
      <name val="Times New Roman"/>
      <charset val="1"/>
      <family val="1"/>
      <b val="1"/>
      <color rgb="FFFF0000"/>
      <sz val="12"/>
    </font>
    <font>
      <name val="Calibri"/>
      <charset val="1"/>
      <family val="2"/>
      <b val="1"/>
      <color rgb="00000000"/>
      <sz val="11"/>
    </font>
    <font>
      <name val="Calibri"/>
      <charset val="1"/>
      <family val="2"/>
      <color rgb="00000000"/>
      <sz val="16"/>
    </font>
    <font>
      <name val="Calibri"/>
      <charset val="1"/>
      <family val="2"/>
      <i val="1"/>
      <color rgb="FF000000"/>
      <sz val="11"/>
    </font>
    <font>
      <name val="Calibri"/>
      <charset val="1"/>
      <family val="2"/>
      <b val="1"/>
      <color rgb="FF000000"/>
      <sz val="11"/>
    </font>
  </fonts>
  <fills count="14">
    <fill>
      <patternFill/>
    </fill>
    <fill>
      <patternFill patternType="gray125"/>
    </fill>
    <fill>
      <patternFill patternType="solid">
        <fgColor rgb="FFDEEBF6"/>
        <bgColor rgb="FFDEEBF7"/>
      </patternFill>
    </fill>
    <fill>
      <patternFill patternType="solid">
        <fgColor rgb="FFFFF8E5"/>
        <bgColor rgb="FFFFF2CC"/>
      </patternFill>
    </fill>
    <fill>
      <patternFill patternType="solid">
        <fgColor rgb="FFE2F0D9"/>
        <bgColor rgb="FFDEEBF6"/>
      </patternFill>
    </fill>
    <fill>
      <patternFill patternType="solid">
        <fgColor rgb="FFBDD7EE"/>
        <bgColor rgb="FFCFE7F5"/>
      </patternFill>
    </fill>
    <fill>
      <patternFill patternType="solid">
        <fgColor rgb="FFFFF2CC"/>
        <bgColor rgb="FFFFF8E5"/>
      </patternFill>
    </fill>
    <fill>
      <patternFill patternType="solid">
        <fgColor rgb="FFDAE3F3"/>
        <bgColor rgb="FFDEEBF6"/>
      </patternFill>
    </fill>
    <fill>
      <patternFill patternType="solid">
        <fgColor rgb="FFFFFFFF"/>
        <bgColor rgb="FFFFF8E5"/>
      </patternFill>
    </fill>
    <fill>
      <patternFill patternType="solid">
        <fgColor rgb="FFF6BE98"/>
        <bgColor rgb="FFF8CBAD"/>
      </patternFill>
    </fill>
    <fill>
      <patternFill patternType="solid">
        <fgColor rgb="FFADB9CA"/>
        <bgColor rgb="FFBDD7EE"/>
      </patternFill>
    </fill>
    <fill>
      <patternFill patternType="solid">
        <fgColor rgb="FFF8CBAD"/>
        <bgColor rgb="FFF6BE98"/>
      </patternFill>
    </fill>
    <fill>
      <patternFill patternType="solid">
        <fgColor rgb="FFCFE7F5"/>
        <bgColor rgb="FFDAE3F3"/>
      </patternFill>
    </fill>
    <fill>
      <patternFill patternType="solid">
        <fgColor rgb="FFDEEBF7"/>
        <bgColor rgb="FFDEEBF6"/>
      </patternFill>
    </fill>
  </fills>
  <borders count="6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style="thin">
        <color auto="1"/>
      </top>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hair">
        <color auto="1"/>
      </left>
      <right style="hair">
        <color auto="1"/>
      </right>
      <top style="hair">
        <color auto="1"/>
      </top>
      <bottom style="hair">
        <color auto="1"/>
      </bottom>
      <diagonal/>
    </border>
  </borders>
  <cellStyleXfs count="1">
    <xf borderId="0" fillId="0" fontId="0" numFmtId="0"/>
  </cellStyleXfs>
  <cellXfs count="452">
    <xf borderId="0" fillId="0" fontId="0" numFmtId="0" xfId="0"/>
    <xf applyAlignment="1" borderId="0" fillId="0" fontId="0" numFmtId="0" xfId="0">
      <alignment vertical="center"/>
    </xf>
    <xf applyAlignment="1" borderId="0" fillId="0" fontId="0" numFmtId="0" xfId="0">
      <alignment horizontal="center" vertical="center"/>
    </xf>
    <xf applyAlignment="1" borderId="0" fillId="0" fontId="0" numFmtId="0" xfId="0">
      <alignment horizontal="left" vertical="center"/>
    </xf>
    <xf applyAlignment="1" borderId="0" fillId="0" fontId="1" numFmtId="0" xfId="0">
      <alignment vertical="center"/>
    </xf>
    <xf applyAlignment="1" borderId="0" fillId="0" fontId="2" numFmtId="0" xfId="0">
      <alignment vertical="center"/>
    </xf>
    <xf applyAlignment="1" borderId="0" fillId="0" fontId="0" numFmtId="0" xfId="0">
      <alignment vertical="center"/>
    </xf>
    <xf applyAlignment="1" borderId="0" fillId="0" fontId="4" numFmtId="0" xfId="0">
      <alignment horizontal="left" vertical="center" wrapText="1"/>
    </xf>
    <xf applyAlignment="1" borderId="0" fillId="0" fontId="5" numFmtId="0" xfId="0">
      <alignment horizontal="left" vertical="center"/>
    </xf>
    <xf applyAlignment="1" borderId="0" fillId="0" fontId="0" numFmtId="0" xfId="0">
      <alignment horizontal="center" vertical="center"/>
    </xf>
    <xf applyAlignment="1" borderId="0" fillId="0" fontId="0" numFmtId="0" xfId="0">
      <alignment horizontal="left" vertical="center"/>
    </xf>
    <xf applyAlignment="1" borderId="1" fillId="0" fontId="3" numFmtId="0" xfId="0">
      <alignment horizontal="center" vertical="center"/>
    </xf>
    <xf applyAlignment="1" borderId="2" fillId="0" fontId="0" numFmtId="0" xfId="0">
      <alignment horizontal="left" vertical="center"/>
    </xf>
    <xf applyAlignment="1" borderId="2" fillId="0" fontId="0" numFmtId="0" xfId="0">
      <alignment horizontal="center" vertical="center"/>
    </xf>
    <xf applyAlignment="1" borderId="3" fillId="0" fontId="0" numFmtId="0" xfId="0">
      <alignment vertical="center"/>
    </xf>
    <xf applyAlignment="1" borderId="4" fillId="0" fontId="3" numFmtId="0" xfId="0">
      <alignment vertical="center"/>
    </xf>
    <xf applyAlignment="1" borderId="5" fillId="0" fontId="0" numFmtId="0" xfId="0">
      <alignment vertical="center"/>
    </xf>
    <xf applyAlignment="1" borderId="0" fillId="0" fontId="11" numFmtId="0" xfId="0">
      <alignment horizontal="justify" vertical="center"/>
    </xf>
    <xf applyAlignment="1" borderId="0" fillId="0" fontId="13" numFmtId="0" xfId="0">
      <alignment horizontal="center" vertical="center"/>
    </xf>
    <xf applyAlignment="1" borderId="0" fillId="0" fontId="14" numFmtId="0" xfId="0">
      <alignment horizontal="left" vertical="center"/>
    </xf>
    <xf applyAlignment="1" borderId="0" fillId="0" fontId="0" numFmtId="3" xfId="0">
      <alignment horizontal="center" vertical="center"/>
    </xf>
    <xf applyAlignment="1" borderId="6" fillId="0" fontId="0" numFmtId="0" xfId="0">
      <alignment vertical="center"/>
    </xf>
    <xf applyAlignment="1" borderId="7" fillId="0" fontId="11" numFmtId="0" xfId="0">
      <alignment horizontal="justify" vertical="center"/>
    </xf>
    <xf applyAlignment="1" borderId="7" fillId="0" fontId="13" numFmtId="0" xfId="0">
      <alignment horizontal="center" vertical="center"/>
    </xf>
    <xf applyAlignment="1" borderId="7" fillId="0" fontId="0" numFmtId="0" xfId="0">
      <alignment horizontal="left" vertical="center"/>
    </xf>
    <xf applyAlignment="1" borderId="7" fillId="0" fontId="0" numFmtId="0" xfId="0">
      <alignment horizontal="center" vertical="center"/>
    </xf>
    <xf applyAlignment="1" borderId="8" fillId="0" fontId="0" numFmtId="0" xfId="0">
      <alignment vertical="center"/>
    </xf>
    <xf applyAlignment="1" borderId="0" fillId="0" fontId="15" numFmtId="0" xfId="0">
      <alignment horizontal="center"/>
    </xf>
    <xf borderId="0" fillId="0" fontId="15" numFmtId="0" xfId="0"/>
    <xf borderId="0" fillId="0" fontId="16" numFmtId="0" xfId="0"/>
    <xf applyAlignment="1" borderId="0" fillId="0" fontId="2" numFmtId="0" xfId="0">
      <alignment horizontal="left"/>
    </xf>
    <xf borderId="1" fillId="0" fontId="0" numFmtId="0" xfId="0"/>
    <xf borderId="10" fillId="4" fontId="0" numFmtId="0" xfId="0"/>
    <xf borderId="2" fillId="0" fontId="0" numFmtId="0" xfId="0"/>
    <xf borderId="3" fillId="0" fontId="0" numFmtId="0" xfId="0"/>
    <xf borderId="0" fillId="0" fontId="0" numFmtId="0" xfId="0"/>
    <xf borderId="4" fillId="0" fontId="0" numFmtId="0" xfId="0"/>
    <xf borderId="11" fillId="4" fontId="0" numFmtId="0" xfId="0"/>
    <xf borderId="5" fillId="0" fontId="0" numFmtId="0" xfId="0"/>
    <xf applyAlignment="1" borderId="11" fillId="4" fontId="0" numFmtId="0" xfId="0">
      <alignment horizontal="left"/>
    </xf>
    <xf applyAlignment="1" borderId="0" fillId="0" fontId="0" numFmtId="0" xfId="0">
      <alignment horizontal="center"/>
    </xf>
    <xf applyAlignment="1" borderId="0" fillId="0" fontId="0" numFmtId="0" xfId="0">
      <alignment horizontal="left"/>
    </xf>
    <xf borderId="6" fillId="0" fontId="0" numFmtId="0" xfId="0"/>
    <xf borderId="12" fillId="4" fontId="0" numFmtId="0" xfId="0"/>
    <xf borderId="7" fillId="0" fontId="0" numFmtId="0" xfId="0"/>
    <xf borderId="8" fillId="0" fontId="0" numFmtId="0" xfId="0"/>
    <xf borderId="13" fillId="0" fontId="0" numFmtId="0" xfId="0"/>
    <xf applyAlignment="1" borderId="0" fillId="0" fontId="0" numFmtId="0" xfId="0">
      <alignment horizontal="left"/>
    </xf>
    <xf borderId="15" fillId="0" fontId="0" numFmtId="0" xfId="0"/>
    <xf applyAlignment="1" borderId="16" fillId="0" fontId="0" numFmtId="0" xfId="0">
      <alignment vertical="center"/>
    </xf>
    <xf applyAlignment="1" borderId="0" fillId="0" fontId="0" numFmtId="0" xfId="0">
      <alignment horizontal="left" vertical="center" wrapText="1"/>
    </xf>
    <xf applyAlignment="1" borderId="4" fillId="0" fontId="0" numFmtId="0" xfId="0">
      <alignment vertical="center"/>
    </xf>
    <xf applyAlignment="1" borderId="18" fillId="0" fontId="0" numFmtId="0" xfId="0">
      <alignment vertical="center"/>
    </xf>
    <xf borderId="16" fillId="0" fontId="0" numFmtId="0" xfId="0"/>
    <xf applyAlignment="1" borderId="19" fillId="4" fontId="0" numFmtId="0" xfId="0">
      <alignment horizontal="left"/>
    </xf>
    <xf applyAlignment="1" borderId="19" fillId="4" fontId="0" numFmtId="9" xfId="0">
      <alignment horizontal="left"/>
    </xf>
    <xf applyAlignment="1" borderId="11" fillId="4" fontId="0" numFmtId="9" xfId="0">
      <alignment horizontal="left"/>
    </xf>
    <xf applyAlignment="1" borderId="11" fillId="4" fontId="0" numFmtId="0" xfId="0">
      <alignment horizontal="center"/>
    </xf>
    <xf applyAlignment="1" borderId="17" fillId="4" fontId="0" numFmtId="0" xfId="0">
      <alignment horizontal="center"/>
    </xf>
    <xf applyAlignment="1" borderId="0" fillId="0" fontId="0" numFmtId="0" xfId="0">
      <alignment horizontal="center"/>
    </xf>
    <xf borderId="18" fillId="0" fontId="0" numFmtId="0" xfId="0"/>
    <xf applyAlignment="1" borderId="11" fillId="4" fontId="0" numFmtId="2" xfId="0">
      <alignment horizontal="center"/>
    </xf>
    <xf applyAlignment="1" borderId="17" fillId="4" fontId="0" numFmtId="2" xfId="0">
      <alignment horizontal="center"/>
    </xf>
    <xf applyAlignment="1" borderId="0" fillId="0" fontId="0" numFmtId="2" xfId="0">
      <alignment horizontal="center"/>
    </xf>
    <xf applyAlignment="1" borderId="16" fillId="0" fontId="0" numFmtId="0" xfId="0">
      <alignment vertical="center"/>
    </xf>
    <xf applyAlignment="1" borderId="20" fillId="4" fontId="0" numFmtId="0" xfId="0">
      <alignment horizontal="center"/>
    </xf>
    <xf applyAlignment="1" borderId="21" fillId="4" fontId="0" numFmtId="0" xfId="0">
      <alignment horizontal="center"/>
    </xf>
    <xf applyAlignment="1" borderId="4" fillId="0" fontId="0" numFmtId="0" xfId="0">
      <alignment vertical="center"/>
    </xf>
    <xf applyAlignment="1" borderId="20" fillId="4" fontId="0" numFmtId="0" xfId="0">
      <alignment horizontal="left" vertical="center" wrapText="1"/>
    </xf>
    <xf applyAlignment="1" borderId="21" fillId="4" fontId="0" numFmtId="0" xfId="0">
      <alignment horizontal="left" vertical="center" wrapText="1"/>
    </xf>
    <xf applyAlignment="1" borderId="22" fillId="0" fontId="0" numFmtId="0" xfId="0">
      <alignment vertical="center"/>
    </xf>
    <xf applyAlignment="1" borderId="20" fillId="4" fontId="0" numFmtId="0" xfId="0">
      <alignment horizontal="center" vertical="center" wrapText="1"/>
    </xf>
    <xf applyAlignment="1" borderId="21" fillId="4" fontId="0" numFmtId="0" xfId="0">
      <alignment horizontal="center" vertical="center" wrapText="1"/>
    </xf>
    <xf applyAlignment="1" borderId="1" fillId="0" fontId="0" numFmtId="0" xfId="0">
      <alignment vertical="center" wrapText="1"/>
    </xf>
    <xf borderId="24" fillId="0" fontId="0" numFmtId="49" xfId="0"/>
    <xf borderId="14" fillId="4" fontId="0" numFmtId="49" xfId="0"/>
    <xf borderId="25" fillId="0" fontId="0" numFmtId="49" xfId="0"/>
    <xf borderId="17" fillId="4" fontId="0" numFmtId="49" xfId="0"/>
    <xf applyAlignment="1" borderId="10" fillId="4" fontId="0" numFmtId="3" xfId="0">
      <alignment horizontal="center" vertical="center"/>
    </xf>
    <xf applyAlignment="1" borderId="11" fillId="4" fontId="0" numFmtId="10" xfId="0">
      <alignment horizontal="center"/>
    </xf>
    <xf applyAlignment="1" borderId="11" fillId="4" fontId="0" numFmtId="164" xfId="0">
      <alignment horizontal="center"/>
    </xf>
    <xf applyAlignment="1" borderId="18" fillId="0" fontId="0" numFmtId="0" xfId="0">
      <alignment horizontal="left"/>
    </xf>
    <xf applyAlignment="1" borderId="26" fillId="0" fontId="0" numFmtId="0" xfId="0">
      <alignment horizontal="left"/>
    </xf>
    <xf applyAlignment="1" borderId="12" fillId="4" fontId="0" numFmtId="0" xfId="0">
      <alignment horizontal="center"/>
    </xf>
    <xf applyAlignment="1" borderId="23" fillId="4" fontId="0" numFmtId="0" xfId="0">
      <alignment horizontal="center"/>
    </xf>
    <xf applyAlignment="1" borderId="0" fillId="0" fontId="0" numFmtId="0" xfId="0">
      <alignment horizontal="center"/>
    </xf>
    <xf borderId="27" fillId="0" fontId="0" numFmtId="0" xfId="0"/>
    <xf applyAlignment="1" borderId="10" fillId="4" fontId="0" numFmtId="0" xfId="0">
      <alignment horizontal="center"/>
    </xf>
    <xf applyAlignment="1" borderId="14" fillId="4" fontId="0" numFmtId="0" xfId="0">
      <alignment horizontal="center"/>
    </xf>
    <xf borderId="28" fillId="0" fontId="0" numFmtId="0" xfId="0"/>
    <xf applyAlignment="1" borderId="5" fillId="0" fontId="0" numFmtId="0" xfId="0">
      <alignment horizontal="center"/>
    </xf>
    <xf applyAlignment="1" borderId="4" fillId="0" fontId="0" numFmtId="0" xfId="0">
      <alignment horizontal="left" indent="15"/>
    </xf>
    <xf applyAlignment="1" borderId="11" fillId="4" fontId="0" numFmtId="0" xfId="0">
      <alignment horizontal="center"/>
    </xf>
    <xf applyAlignment="1" borderId="4" fillId="0" fontId="0" numFmtId="0" xfId="0">
      <alignment horizontal="left"/>
    </xf>
    <xf applyAlignment="1" borderId="6" fillId="0" fontId="0" numFmtId="0" xfId="0">
      <alignment horizontal="left"/>
    </xf>
    <xf borderId="29" fillId="0" fontId="0" numFmtId="0" xfId="0"/>
    <xf borderId="30" fillId="0" fontId="0" numFmtId="49" xfId="0"/>
    <xf borderId="23" fillId="4" fontId="0" numFmtId="49" xfId="0"/>
    <xf borderId="0" fillId="0" fontId="17" numFmtId="0" xfId="0"/>
    <xf borderId="0" fillId="0" fontId="0" numFmtId="165" xfId="0"/>
    <xf applyAlignment="1" borderId="0" fillId="0" fontId="15" numFmtId="0" xfId="0">
      <alignment horizontal="left"/>
    </xf>
    <xf applyAlignment="1" borderId="10" fillId="5" fontId="0" numFmtId="3" xfId="0">
      <alignment horizontal="center"/>
    </xf>
    <xf applyAlignment="1" borderId="14" fillId="5" fontId="0" numFmtId="3" xfId="0">
      <alignment horizontal="center"/>
    </xf>
    <xf applyAlignment="1" borderId="0" fillId="0" fontId="0" numFmtId="3" xfId="0">
      <alignment horizontal="center"/>
    </xf>
    <xf applyAlignment="1" borderId="11" fillId="5" fontId="0" numFmtId="3" xfId="0">
      <alignment horizontal="center"/>
    </xf>
    <xf applyAlignment="1" borderId="17" fillId="5" fontId="0" numFmtId="3" xfId="0">
      <alignment horizontal="center"/>
    </xf>
    <xf borderId="0" fillId="0" fontId="0" numFmtId="3" xfId="0"/>
    <xf borderId="5" fillId="0" fontId="0" numFmtId="3" xfId="0"/>
    <xf applyAlignment="1" borderId="4" fillId="0" fontId="0" numFmtId="0" xfId="0">
      <alignment horizontal="left" indent="15" vertical="center" wrapText="1"/>
    </xf>
    <xf applyAlignment="1" borderId="28" fillId="0" fontId="0" numFmtId="0" xfId="0">
      <alignment vertical="center"/>
    </xf>
    <xf applyAlignment="1" borderId="11" fillId="5" fontId="0" numFmtId="3" xfId="0">
      <alignment horizontal="center" vertical="center"/>
    </xf>
    <xf applyAlignment="1" borderId="17" fillId="5" fontId="0" numFmtId="3" xfId="0">
      <alignment horizontal="center" vertical="center"/>
    </xf>
    <xf applyAlignment="1" borderId="12" fillId="5" fontId="0" numFmtId="3" xfId="0">
      <alignment horizontal="center"/>
    </xf>
    <xf applyAlignment="1" borderId="23" fillId="5" fontId="0" numFmtId="3" xfId="0">
      <alignment horizontal="center"/>
    </xf>
    <xf applyAlignment="1" borderId="20" fillId="5" fontId="0" numFmtId="3" xfId="0">
      <alignment horizontal="center"/>
    </xf>
    <xf applyAlignment="1" borderId="21" fillId="5" fontId="0" numFmtId="3" xfId="0">
      <alignment horizontal="center"/>
    </xf>
    <xf borderId="6" fillId="0" fontId="14" numFmtId="0" xfId="0"/>
    <xf borderId="32" fillId="0" fontId="14" numFmtId="0" xfId="0"/>
    <xf applyAlignment="1" borderId="26" fillId="5" fontId="14" numFmtId="166" xfId="0">
      <alignment horizontal="center"/>
    </xf>
    <xf borderId="7" fillId="0" fontId="14" numFmtId="0" xfId="0"/>
    <xf applyAlignment="1" borderId="33" fillId="5" fontId="14" numFmtId="166" xfId="0">
      <alignment horizontal="center"/>
    </xf>
    <xf applyAlignment="1" borderId="0" fillId="0" fontId="14" numFmtId="166" xfId="0">
      <alignment horizontal="center"/>
    </xf>
    <xf applyAlignment="1" borderId="0" fillId="0" fontId="14" numFmtId="10" xfId="0">
      <alignment horizontal="center"/>
    </xf>
    <xf borderId="34" fillId="0" fontId="14" numFmtId="0" xfId="0"/>
    <xf borderId="35" fillId="0" fontId="14" numFmtId="0" xfId="0"/>
    <xf applyAlignment="1" borderId="32" fillId="5" fontId="14" numFmtId="166" xfId="0">
      <alignment horizontal="center"/>
    </xf>
    <xf borderId="36" fillId="0" fontId="14" numFmtId="0" xfId="0"/>
    <xf applyAlignment="1" borderId="37" fillId="5" fontId="14" numFmtId="166" xfId="0">
      <alignment horizontal="center"/>
    </xf>
    <xf applyAlignment="1" borderId="10" fillId="5" fontId="0" numFmtId="166" xfId="0">
      <alignment horizontal="center"/>
    </xf>
    <xf applyAlignment="1" borderId="14" fillId="5" fontId="0" numFmtId="166" xfId="0">
      <alignment horizontal="center"/>
    </xf>
    <xf applyAlignment="1" borderId="0" fillId="0" fontId="0" numFmtId="166" xfId="0">
      <alignment horizontal="center"/>
    </xf>
    <xf applyAlignment="1" borderId="31" fillId="0" fontId="18" numFmtId="167" xfId="0">
      <alignment horizontal="center" vertical="center"/>
    </xf>
    <xf applyAlignment="1" borderId="38" fillId="0" fontId="18" numFmtId="167" xfId="0">
      <alignment horizontal="center" vertical="center"/>
    </xf>
    <xf applyAlignment="1" borderId="0" fillId="0" fontId="18" numFmtId="167" xfId="0">
      <alignment horizontal="center" vertical="center"/>
    </xf>
    <xf applyAlignment="1" borderId="11" fillId="5" fontId="0" numFmtId="166" xfId="0">
      <alignment horizontal="center"/>
    </xf>
    <xf applyAlignment="1" borderId="17" fillId="5" fontId="0" numFmtId="166" xfId="0">
      <alignment horizontal="center"/>
    </xf>
    <xf applyAlignment="1" borderId="39" fillId="0" fontId="18" numFmtId="167" xfId="0">
      <alignment horizontal="center" vertical="center"/>
    </xf>
    <xf applyAlignment="1" borderId="8" fillId="0" fontId="18" numFmtId="167" xfId="0">
      <alignment horizontal="center" vertical="center"/>
    </xf>
    <xf applyAlignment="1" borderId="20" fillId="5" fontId="0" numFmtId="166" xfId="0">
      <alignment horizontal="center"/>
    </xf>
    <xf applyAlignment="1" borderId="21" fillId="5" fontId="0" numFmtId="166" xfId="0">
      <alignment horizontal="center"/>
    </xf>
    <xf borderId="26" fillId="0" fontId="0" numFmtId="0" xfId="0"/>
    <xf applyAlignment="1" borderId="12" fillId="5" fontId="0" numFmtId="166" xfId="0">
      <alignment horizontal="center"/>
    </xf>
    <xf applyAlignment="1" borderId="23" fillId="5" fontId="0" numFmtId="166" xfId="0">
      <alignment horizontal="center"/>
    </xf>
    <xf applyAlignment="1" borderId="0" fillId="0" fontId="0" numFmtId="166" xfId="0">
      <alignment horizontal="center"/>
    </xf>
    <xf applyAlignment="1" borderId="10" fillId="5" fontId="0" numFmtId="0" xfId="0">
      <alignment horizontal="center"/>
    </xf>
    <xf applyAlignment="1" borderId="12" fillId="5" fontId="0" numFmtId="0" xfId="0">
      <alignment horizontal="center"/>
    </xf>
    <xf borderId="24" fillId="6" fontId="20" numFmtId="0" xfId="0"/>
    <xf borderId="10" fillId="6" fontId="20" numFmtId="0" xfId="0"/>
    <xf applyAlignment="1" borderId="10" fillId="6" fontId="20" numFmtId="166" xfId="0">
      <alignment horizontal="center"/>
    </xf>
    <xf applyAlignment="1" borderId="14" fillId="6" fontId="20" numFmtId="166" xfId="0">
      <alignment horizontal="center"/>
    </xf>
    <xf applyAlignment="1" borderId="0" fillId="0" fontId="20" numFmtId="166" xfId="0">
      <alignment horizontal="center"/>
    </xf>
    <xf borderId="0" fillId="0" fontId="20" numFmtId="0" xfId="0"/>
    <xf borderId="40" fillId="6" fontId="20" numFmtId="0" xfId="0"/>
    <xf borderId="22" fillId="6" fontId="20" numFmtId="0" xfId="0"/>
    <xf applyAlignment="1" borderId="22" fillId="6" fontId="20" numFmtId="166" xfId="0">
      <alignment horizontal="center"/>
    </xf>
    <xf applyAlignment="1" borderId="41" fillId="6" fontId="20" numFmtId="166" xfId="0">
      <alignment horizontal="center"/>
    </xf>
    <xf borderId="25" fillId="6" fontId="20" numFmtId="0" xfId="0"/>
    <xf applyAlignment="1" borderId="0" fillId="0" fontId="20" numFmtId="0" xfId="0">
      <alignment horizontal="center"/>
    </xf>
    <xf applyAlignment="1" borderId="0" fillId="0" fontId="20" numFmtId="10" xfId="0">
      <alignment horizontal="left"/>
    </xf>
    <xf borderId="30" fillId="6" fontId="0" numFmtId="0" xfId="0"/>
    <xf borderId="0" fillId="0" fontId="23" numFmtId="0" xfId="0"/>
    <xf borderId="0" fillId="0" fontId="24" numFmtId="0" xfId="0"/>
    <xf borderId="0" fillId="0" fontId="0" numFmtId="1" xfId="0"/>
    <xf borderId="10" fillId="4" fontId="0" numFmtId="0" xfId="0"/>
    <xf applyAlignment="1" borderId="10" fillId="4" fontId="0" numFmtId="0" xfId="0">
      <alignment horizontal="center" vertical="center"/>
    </xf>
    <xf applyAlignment="1" borderId="10" fillId="4" fontId="0" numFmtId="0" xfId="0">
      <alignment horizontal="center"/>
    </xf>
    <xf borderId="14" fillId="4" fontId="0" numFmtId="0" xfId="0"/>
    <xf borderId="10" fillId="7" fontId="0" numFmtId="0" xfId="0"/>
    <xf applyAlignment="1" borderId="10" fillId="7" fontId="0" numFmtId="0" xfId="0">
      <alignment horizontal="center" vertical="center"/>
    </xf>
    <xf applyAlignment="1" borderId="10" fillId="7" fontId="0" numFmtId="0" xfId="0">
      <alignment horizontal="center"/>
    </xf>
    <xf borderId="14" fillId="7" fontId="0" numFmtId="0" xfId="0"/>
    <xf applyAlignment="1" borderId="0" fillId="0" fontId="15" numFmtId="0" xfId="0">
      <alignment horizontal="center" vertical="center"/>
    </xf>
    <xf applyAlignment="1" borderId="12" fillId="0" fontId="0" numFmtId="0" xfId="0">
      <alignment horizontal="center" vertical="center" wrapText="1"/>
    </xf>
    <xf applyAlignment="1" borderId="23" fillId="0" fontId="0" numFmtId="0" xfId="0">
      <alignment horizontal="center" vertical="center"/>
    </xf>
    <xf applyAlignment="1" borderId="30" fillId="4" fontId="0" numFmtId="0" xfId="0">
      <alignment horizontal="center" vertical="center" wrapText="1"/>
    </xf>
    <xf applyAlignment="1" borderId="12" fillId="4" fontId="0" numFmtId="0" xfId="0">
      <alignment horizontal="center" vertical="center"/>
    </xf>
    <xf applyAlignment="1" borderId="12" fillId="4" fontId="0" numFmtId="0" xfId="0">
      <alignment horizontal="center" vertical="center" wrapText="1"/>
    </xf>
    <xf applyAlignment="1" borderId="30" fillId="7" fontId="0" numFmtId="0" xfId="0">
      <alignment horizontal="center" vertical="center" wrapText="1"/>
    </xf>
    <xf applyAlignment="1" borderId="12" fillId="7" fontId="0" numFmtId="0" xfId="0">
      <alignment horizontal="center" vertical="center"/>
    </xf>
    <xf applyAlignment="1" borderId="12" fillId="7" fontId="0" numFmtId="0" xfId="0">
      <alignment horizontal="center" vertical="center" wrapText="1"/>
    </xf>
    <xf applyAlignment="1" borderId="23" fillId="7" fontId="0" numFmtId="0" xfId="0">
      <alignment horizontal="center" vertical="center" wrapText="1"/>
    </xf>
    <xf borderId="0" fillId="0" fontId="25" numFmtId="0" xfId="0"/>
    <xf applyAlignment="1" borderId="44" fillId="0" fontId="0" numFmtId="0" xfId="0">
      <alignment horizontal="center"/>
    </xf>
    <xf applyAlignment="1" borderId="40" fillId="5" fontId="0" numFmtId="49" xfId="0">
      <alignment horizontal="center"/>
    </xf>
    <xf applyAlignment="1" borderId="22" fillId="0" fontId="0" numFmtId="0" xfId="0">
      <alignment horizontal="center"/>
    </xf>
    <xf applyAlignment="1" borderId="22" fillId="0" fontId="0" numFmtId="1" xfId="0">
      <alignment horizontal="center"/>
    </xf>
    <xf applyAlignment="1" borderId="41" fillId="0" fontId="0" numFmtId="1" xfId="0">
      <alignment horizontal="center"/>
    </xf>
    <xf applyAlignment="1" borderId="24" fillId="4" fontId="0" numFmtId="1" xfId="0">
      <alignment horizontal="center"/>
    </xf>
    <xf applyAlignment="1" borderId="10" fillId="4" fontId="0" numFmtId="1" xfId="0">
      <alignment horizontal="center"/>
    </xf>
    <xf applyAlignment="1" borderId="10" fillId="7" fontId="0" numFmtId="1" xfId="0">
      <alignment horizontal="center"/>
    </xf>
    <xf applyAlignment="1" borderId="10" fillId="7" fontId="0" numFmtId="0" xfId="0">
      <alignment horizontal="center"/>
    </xf>
    <xf applyAlignment="1" borderId="14" fillId="7" fontId="0" numFmtId="0" xfId="0">
      <alignment horizontal="center"/>
    </xf>
    <xf borderId="11" fillId="0" fontId="0" numFmtId="0" xfId="0"/>
    <xf applyAlignment="1" borderId="11" fillId="0" fontId="0" numFmtId="168" xfId="0">
      <alignment horizontal="left"/>
    </xf>
    <xf borderId="0" fillId="0" fontId="0" numFmtId="0" xfId="0"/>
    <xf applyAlignment="1" borderId="25" fillId="5" fontId="0" numFmtId="49" xfId="0">
      <alignment horizontal="center"/>
    </xf>
    <xf applyAlignment="1" borderId="11" fillId="0" fontId="0" numFmtId="0" xfId="0">
      <alignment horizontal="center"/>
    </xf>
    <xf applyAlignment="1" borderId="11" fillId="0" fontId="0" numFmtId="1" xfId="0">
      <alignment horizontal="center"/>
    </xf>
    <xf applyAlignment="1" borderId="17" fillId="0" fontId="0" numFmtId="1" xfId="0">
      <alignment horizontal="center"/>
    </xf>
    <xf applyAlignment="1" borderId="25" fillId="4" fontId="0" numFmtId="1" xfId="0">
      <alignment horizontal="center"/>
    </xf>
    <xf applyAlignment="1" borderId="11" fillId="4" fontId="0" numFmtId="1" xfId="0">
      <alignment horizontal="center"/>
    </xf>
    <xf applyAlignment="1" borderId="11" fillId="7" fontId="0" numFmtId="1" xfId="0">
      <alignment horizontal="center"/>
    </xf>
    <xf applyAlignment="1" borderId="11" fillId="7" fontId="0" numFmtId="0" xfId="0">
      <alignment horizontal="center"/>
    </xf>
    <xf applyAlignment="1" borderId="17" fillId="7" fontId="0" numFmtId="0" xfId="0">
      <alignment horizontal="center"/>
    </xf>
    <xf applyAlignment="1" borderId="11" fillId="0" fontId="0" numFmtId="0" xfId="0">
      <alignment horizontal="left"/>
    </xf>
    <xf applyAlignment="1" borderId="25" fillId="0" fontId="0" numFmtId="49" xfId="0">
      <alignment horizontal="center"/>
    </xf>
    <xf applyAlignment="1" borderId="11" fillId="0" fontId="0" numFmtId="164" xfId="0">
      <alignment horizontal="left"/>
    </xf>
    <xf applyAlignment="1" borderId="11" fillId="0" fontId="0" numFmtId="3" xfId="0">
      <alignment horizontal="left"/>
    </xf>
    <xf applyAlignment="1" borderId="11" fillId="0" fontId="0" numFmtId="10" xfId="0">
      <alignment horizontal="left"/>
    </xf>
    <xf applyAlignment="1" borderId="11" fillId="0" fontId="0" numFmtId="9" xfId="0">
      <alignment horizontal="left"/>
    </xf>
    <xf borderId="11" fillId="8" fontId="0" numFmtId="0" xfId="0"/>
    <xf applyAlignment="1" borderId="11" fillId="0" fontId="0" numFmtId="2" xfId="0">
      <alignment horizontal="left"/>
    </xf>
    <xf applyAlignment="1" borderId="45" fillId="0" fontId="0" numFmtId="0" xfId="0">
      <alignment horizontal="center"/>
    </xf>
    <xf applyAlignment="1" borderId="30" fillId="5" fontId="0" numFmtId="49" xfId="0">
      <alignment horizontal="center"/>
    </xf>
    <xf applyAlignment="1" borderId="12" fillId="0" fontId="0" numFmtId="0" xfId="0">
      <alignment horizontal="center"/>
    </xf>
    <xf applyAlignment="1" borderId="12" fillId="0" fontId="0" numFmtId="1" xfId="0">
      <alignment horizontal="center"/>
    </xf>
    <xf applyAlignment="1" borderId="23" fillId="0" fontId="0" numFmtId="1" xfId="0">
      <alignment horizontal="center"/>
    </xf>
    <xf applyAlignment="1" borderId="30" fillId="4" fontId="0" numFmtId="1" xfId="0">
      <alignment horizontal="center"/>
    </xf>
    <xf applyAlignment="1" borderId="12" fillId="4" fontId="0" numFmtId="1" xfId="0">
      <alignment horizontal="center"/>
    </xf>
    <xf applyAlignment="1" borderId="12" fillId="7" fontId="0" numFmtId="1" xfId="0">
      <alignment horizontal="center"/>
    </xf>
    <xf applyAlignment="1" borderId="12" fillId="7" fontId="0" numFmtId="0" xfId="0">
      <alignment horizontal="center"/>
    </xf>
    <xf applyAlignment="1" borderId="23" fillId="7" fontId="0" numFmtId="0" xfId="0">
      <alignment horizontal="center"/>
    </xf>
    <xf applyAlignment="1" borderId="24" fillId="0" fontId="0" numFmtId="0" xfId="0">
      <alignment horizontal="center"/>
    </xf>
    <xf borderId="10" fillId="0" fontId="0" numFmtId="0" xfId="0"/>
    <xf applyAlignment="1" borderId="10" fillId="0" fontId="0" numFmtId="0" xfId="0">
      <alignment horizontal="center"/>
    </xf>
    <xf applyAlignment="1" borderId="10" fillId="0" fontId="0" numFmtId="1" xfId="0">
      <alignment horizontal="center"/>
    </xf>
    <xf applyAlignment="1" borderId="22" fillId="0" fontId="0" numFmtId="2" xfId="0">
      <alignment horizontal="center"/>
    </xf>
    <xf borderId="22" fillId="0" fontId="0" numFmtId="0" xfId="0"/>
    <xf applyAlignment="1" borderId="25" fillId="0" fontId="0" numFmtId="0" xfId="0">
      <alignment horizontal="center"/>
    </xf>
    <xf borderId="11" fillId="0" fontId="0" numFmtId="0" xfId="0"/>
    <xf applyAlignment="1" borderId="11" fillId="0" fontId="0" numFmtId="166" xfId="0">
      <alignment horizontal="center"/>
    </xf>
    <xf borderId="11" fillId="0" fontId="0" numFmtId="49" xfId="0"/>
    <xf borderId="11" fillId="0" fontId="0" numFmtId="2" xfId="0"/>
    <xf applyAlignment="1" borderId="11" fillId="0" fontId="0" numFmtId="3" xfId="0">
      <alignment horizontal="center"/>
    </xf>
    <xf borderId="24" fillId="0" fontId="0" numFmtId="0" xfId="0"/>
    <xf applyAlignment="1" borderId="10" fillId="0" fontId="0" numFmtId="0" xfId="0">
      <alignment horizontal="center"/>
    </xf>
    <xf applyAlignment="1" borderId="14" fillId="0" fontId="0" numFmtId="0" xfId="0">
      <alignment horizontal="center"/>
    </xf>
    <xf applyAlignment="1" borderId="17" fillId="0" fontId="0" numFmtId="166" xfId="0">
      <alignment horizontal="center"/>
    </xf>
    <xf borderId="25" fillId="0" fontId="0" numFmtId="0" xfId="0"/>
    <xf applyAlignment="1" borderId="11" fillId="0" fontId="0" numFmtId="166" xfId="0">
      <alignment horizontal="center"/>
    </xf>
    <xf applyAlignment="1" borderId="17" fillId="0" fontId="0" numFmtId="166" xfId="0">
      <alignment horizontal="center"/>
    </xf>
    <xf borderId="30" fillId="0" fontId="0" numFmtId="0" xfId="0"/>
    <xf applyAlignment="1" borderId="12" fillId="0" fontId="0" numFmtId="166" xfId="0">
      <alignment horizontal="center"/>
    </xf>
    <xf applyAlignment="1" borderId="23" fillId="0" fontId="0" numFmtId="166" xfId="0">
      <alignment horizontal="center"/>
    </xf>
    <xf applyAlignment="1" borderId="30" fillId="0" fontId="0" numFmtId="0" xfId="0">
      <alignment horizontal="center"/>
    </xf>
    <xf borderId="12" fillId="0" fontId="0" numFmtId="0" xfId="0"/>
    <xf applyAlignment="1" borderId="12" fillId="0" fontId="0" numFmtId="166" xfId="0">
      <alignment horizontal="center"/>
    </xf>
    <xf applyAlignment="1" borderId="23" fillId="0" fontId="0" numFmtId="166" xfId="0">
      <alignment horizontal="center"/>
    </xf>
    <xf applyAlignment="1" borderId="0" fillId="0" fontId="0" numFmtId="1" xfId="0">
      <alignment horizontal="center"/>
    </xf>
    <xf applyAlignment="1" borderId="12" fillId="0" fontId="0" numFmtId="0" xfId="0">
      <alignment horizontal="center" vertical="center"/>
    </xf>
    <xf applyAlignment="1" borderId="11" fillId="0" fontId="0" numFmtId="0" xfId="0">
      <alignment horizontal="center" vertical="center"/>
    </xf>
    <xf applyAlignment="1" borderId="11" fillId="0" fontId="0" numFmtId="0" xfId="0">
      <alignment horizontal="center" vertical="center" wrapText="1"/>
    </xf>
    <xf applyAlignment="1" borderId="40" fillId="0" fontId="0" numFmtId="0" xfId="0">
      <alignment horizontal="center"/>
    </xf>
    <xf applyAlignment="1" borderId="22" fillId="0" fontId="0" numFmtId="49" xfId="0">
      <alignment horizontal="center"/>
    </xf>
    <xf applyAlignment="1" borderId="47" fillId="0" fontId="0" numFmtId="0" xfId="0">
      <alignment horizontal="center"/>
    </xf>
    <xf applyAlignment="1" borderId="47" fillId="0" fontId="0" numFmtId="1" xfId="0">
      <alignment horizontal="center"/>
    </xf>
    <xf applyAlignment="1" borderId="48" fillId="0" fontId="0" numFmtId="1" xfId="0">
      <alignment horizontal="center"/>
    </xf>
    <xf applyAlignment="1" borderId="41" fillId="0" fontId="0" numFmtId="0" xfId="0">
      <alignment horizontal="center"/>
    </xf>
    <xf applyAlignment="1" borderId="49" fillId="0" fontId="0" numFmtId="1" xfId="0">
      <alignment horizontal="center"/>
    </xf>
    <xf applyAlignment="1" borderId="11" fillId="0" fontId="0" numFmtId="49" xfId="0">
      <alignment horizontal="center"/>
    </xf>
    <xf applyAlignment="1" borderId="19" fillId="0" fontId="0" numFmtId="0" xfId="0">
      <alignment horizontal="center"/>
    </xf>
    <xf applyAlignment="1" borderId="50" fillId="0" fontId="0" numFmtId="1" xfId="0">
      <alignment horizontal="center"/>
    </xf>
    <xf applyAlignment="1" borderId="17" fillId="0" fontId="0" numFmtId="0" xfId="0">
      <alignment horizontal="center"/>
    </xf>
    <xf applyAlignment="1" borderId="51" fillId="0" fontId="0" numFmtId="1" xfId="0">
      <alignment horizontal="center"/>
    </xf>
    <xf applyAlignment="1" borderId="12" fillId="0" fontId="0" numFmtId="49" xfId="0">
      <alignment horizontal="center"/>
    </xf>
    <xf applyAlignment="1" borderId="52" fillId="0" fontId="0" numFmtId="0" xfId="0">
      <alignment horizontal="center"/>
    </xf>
    <xf applyAlignment="1" borderId="26" fillId="0" fontId="0" numFmtId="1" xfId="0">
      <alignment horizontal="center"/>
    </xf>
    <xf applyAlignment="1" borderId="33" fillId="0" fontId="0" numFmtId="1" xfId="0">
      <alignment horizontal="center"/>
    </xf>
    <xf applyAlignment="1" borderId="53" fillId="0" fontId="0" numFmtId="1" xfId="0">
      <alignment horizontal="center"/>
    </xf>
    <xf applyAlignment="1" borderId="20" fillId="0" fontId="0" numFmtId="1" xfId="0">
      <alignment horizontal="center"/>
    </xf>
    <xf applyAlignment="1" borderId="54" fillId="0" fontId="0" numFmtId="1" xfId="0">
      <alignment horizontal="center"/>
    </xf>
    <xf applyAlignment="1" borderId="20" fillId="0" fontId="0" numFmtId="0" xfId="0">
      <alignment horizontal="center"/>
    </xf>
    <xf applyAlignment="1" borderId="21" fillId="0" fontId="0" numFmtId="1" xfId="0">
      <alignment horizontal="center"/>
    </xf>
    <xf applyAlignment="1" borderId="55" fillId="0" fontId="0" numFmtId="1" xfId="0">
      <alignment horizontal="center"/>
    </xf>
    <xf applyAlignment="1" borderId="56" fillId="0" fontId="0" numFmtId="1" xfId="0">
      <alignment horizontal="center"/>
    </xf>
    <xf borderId="6" fillId="0" fontId="0" numFmtId="0" xfId="0"/>
    <xf borderId="7" fillId="0" fontId="0" numFmtId="0" xfId="0"/>
    <xf borderId="8" fillId="0" fontId="0" numFmtId="0" xfId="0"/>
    <xf applyAlignment="1" borderId="32" fillId="0" fontId="0" numFmtId="1" xfId="0">
      <alignment horizontal="center"/>
    </xf>
    <xf applyAlignment="1" borderId="37" fillId="0" fontId="0" numFmtId="0" xfId="0">
      <alignment horizontal="center"/>
    </xf>
    <xf applyAlignment="1" borderId="8" fillId="0" fontId="0" numFmtId="0" xfId="0">
      <alignment horizontal="center"/>
    </xf>
    <xf applyAlignment="1" borderId="34" fillId="0" fontId="0" numFmtId="0" xfId="0">
      <alignment horizontal="center"/>
    </xf>
    <xf applyAlignment="1" borderId="36" fillId="0" fontId="0" numFmtId="0" xfId="0">
      <alignment horizontal="center"/>
    </xf>
    <xf applyAlignment="1" borderId="36" fillId="0" fontId="0" numFmtId="1" xfId="0">
      <alignment horizontal="center"/>
    </xf>
    <xf applyAlignment="1" borderId="38" fillId="0" fontId="0" numFmtId="0" xfId="0">
      <alignment horizontal="center"/>
    </xf>
    <xf applyAlignment="1" borderId="4" fillId="0" fontId="0" numFmtId="0" xfId="0">
      <alignment horizontal="center"/>
    </xf>
    <xf applyAlignment="1" borderId="0" fillId="0" fontId="0" numFmtId="1" xfId="0">
      <alignment horizontal="center" wrapText="1"/>
    </xf>
    <xf applyAlignment="1" borderId="0" fillId="0" fontId="0" numFmtId="0" xfId="0">
      <alignment horizontal="center" wrapText="1"/>
    </xf>
    <xf applyAlignment="1" borderId="5" fillId="0" fontId="0" numFmtId="0" xfId="0">
      <alignment horizontal="center" wrapText="1"/>
    </xf>
    <xf applyAlignment="1" borderId="4" fillId="0" fontId="0" numFmtId="49" xfId="0">
      <alignment horizontal="center"/>
    </xf>
    <xf applyAlignment="1" borderId="0" fillId="0" fontId="0" numFmtId="1" xfId="0">
      <alignment horizontal="center"/>
    </xf>
    <xf applyAlignment="1" borderId="5" fillId="0" fontId="0" numFmtId="2" xfId="0">
      <alignment horizontal="center"/>
    </xf>
    <xf applyAlignment="1" borderId="6" fillId="0" fontId="0" numFmtId="49" xfId="0">
      <alignment horizontal="center"/>
    </xf>
    <xf applyAlignment="1" borderId="7" fillId="0" fontId="0" numFmtId="1" xfId="0">
      <alignment horizontal="center"/>
    </xf>
    <xf applyAlignment="1" borderId="7" fillId="0" fontId="0" numFmtId="2" xfId="0">
      <alignment horizontal="center"/>
    </xf>
    <xf applyAlignment="1" borderId="8" fillId="0" fontId="0" numFmtId="2" xfId="0">
      <alignment horizontal="center"/>
    </xf>
    <xf borderId="0" fillId="0" fontId="0" numFmtId="49" xfId="0"/>
    <xf applyAlignment="1" borderId="0" fillId="0" fontId="0" numFmtId="1" xfId="0">
      <alignment horizontal="right"/>
    </xf>
    <xf applyAlignment="1" borderId="0" fillId="0" fontId="0" numFmtId="2" xfId="0">
      <alignment horizontal="center"/>
    </xf>
    <xf applyAlignment="1" borderId="0" fillId="0" fontId="0" numFmtId="0" xfId="0">
      <alignment horizontal="left"/>
    </xf>
    <xf borderId="1" fillId="0" fontId="14" numFmtId="1" xfId="0"/>
    <xf borderId="2" fillId="0" fontId="0" numFmtId="1" xfId="0"/>
    <xf applyAlignment="1" borderId="2" fillId="0" fontId="0" numFmtId="1" xfId="0">
      <alignment horizontal="center"/>
    </xf>
    <xf applyAlignment="1" borderId="2" fillId="0" fontId="0" numFmtId="0" xfId="0">
      <alignment horizontal="center"/>
    </xf>
    <xf applyAlignment="1" borderId="3" fillId="0" fontId="0" numFmtId="0" xfId="0">
      <alignment horizontal="center"/>
    </xf>
    <xf applyAlignment="1" borderId="0" fillId="0" fontId="0" numFmtId="0" xfId="0">
      <alignment vertical="center" wrapText="1"/>
    </xf>
    <xf applyAlignment="1" borderId="0" fillId="0" fontId="0" numFmtId="3" xfId="0">
      <alignment horizontal="center"/>
    </xf>
    <xf applyAlignment="1" borderId="4" fillId="0" fontId="0" numFmtId="1" xfId="0">
      <alignment vertical="center" wrapText="1"/>
    </xf>
    <xf applyAlignment="1" borderId="0" fillId="0" fontId="0" numFmtId="1" xfId="0">
      <alignment horizontal="center" vertical="center" wrapText="1"/>
    </xf>
    <xf applyAlignment="1" borderId="0" fillId="0" fontId="0" numFmtId="0" xfId="0">
      <alignment horizontal="center" vertical="center" wrapText="1"/>
    </xf>
    <xf applyAlignment="1" borderId="5" fillId="0" fontId="0" numFmtId="1" xfId="0">
      <alignment horizontal="center" vertical="center" wrapText="1"/>
    </xf>
    <xf applyAlignment="1" borderId="0" fillId="0" fontId="0" numFmtId="1" xfId="0">
      <alignment vertical="center" wrapText="1"/>
    </xf>
    <xf applyAlignment="1" borderId="5" fillId="0" fontId="0" numFmtId="1" xfId="0">
      <alignment vertical="center" wrapText="1"/>
    </xf>
    <xf borderId="4" fillId="0" fontId="0" numFmtId="1" xfId="0"/>
    <xf applyAlignment="1" borderId="0" fillId="0" fontId="0" numFmtId="4" xfId="0">
      <alignment horizontal="center"/>
    </xf>
    <xf applyAlignment="1" borderId="5" fillId="0" fontId="0" numFmtId="166" xfId="0">
      <alignment horizontal="center"/>
    </xf>
    <xf borderId="0" fillId="0" fontId="0" numFmtId="1" xfId="0"/>
    <xf borderId="0" fillId="0" fontId="0" numFmtId="4" xfId="0"/>
    <xf borderId="6" fillId="0" fontId="0" numFmtId="1" xfId="0"/>
    <xf applyAlignment="1" borderId="7" fillId="0" fontId="0" numFmtId="3" xfId="0">
      <alignment horizontal="center"/>
    </xf>
    <xf applyAlignment="1" borderId="8" fillId="0" fontId="0" numFmtId="166" xfId="0">
      <alignment horizontal="center"/>
    </xf>
    <xf borderId="7" fillId="0" fontId="0" numFmtId="1" xfId="0"/>
    <xf applyAlignment="1" borderId="2" fillId="0" fontId="0" numFmtId="3" xfId="0">
      <alignment horizontal="center"/>
    </xf>
    <xf borderId="4" fillId="0" fontId="14" numFmtId="1" xfId="0"/>
    <xf borderId="1" fillId="0" fontId="0" numFmtId="1" xfId="0"/>
    <xf applyAlignment="1" borderId="7" fillId="0" fontId="0" numFmtId="0" xfId="0">
      <alignment horizontal="center"/>
    </xf>
    <xf borderId="0" fillId="0" fontId="0" numFmtId="166" xfId="0"/>
    <xf applyAlignment="1" borderId="11" fillId="4" fontId="0" numFmtId="0" xfId="0">
      <alignment horizontal="center" vertical="center"/>
    </xf>
    <xf applyAlignment="1" borderId="11" fillId="4" fontId="0" numFmtId="0" xfId="0">
      <alignment horizontal="left" vertical="center"/>
    </xf>
    <xf applyAlignment="1" borderId="5" fillId="0" fontId="0" numFmtId="0" xfId="0">
      <alignment horizontal="left" vertical="center" wrapText="1"/>
    </xf>
    <xf borderId="17" fillId="4" fontId="0" numFmtId="0" xfId="0"/>
    <xf applyAlignment="1" borderId="5" fillId="0" fontId="0" numFmtId="0" xfId="0">
      <alignment horizontal="left"/>
    </xf>
    <xf applyAlignment="1" borderId="7" fillId="0" fontId="0" numFmtId="0" xfId="0">
      <alignment horizontal="left"/>
    </xf>
    <xf applyAlignment="1" borderId="8" fillId="0" fontId="0" numFmtId="0" xfId="0">
      <alignment horizontal="left"/>
    </xf>
    <xf applyAlignment="1" borderId="0" fillId="0" fontId="26" numFmtId="0" xfId="0">
      <alignment horizontal="left"/>
    </xf>
    <xf borderId="23" fillId="4" fontId="0" numFmtId="0" xfId="0"/>
    <xf applyAlignment="1" borderId="42" fillId="0" fontId="14" numFmtId="0" xfId="0">
      <alignment horizontal="left" vertical="center"/>
    </xf>
    <xf applyAlignment="1" borderId="57" fillId="0" fontId="0" numFmtId="0" xfId="0">
      <alignment horizontal="left"/>
    </xf>
    <xf applyAlignment="1" borderId="10" fillId="0" fontId="0" numFmtId="0" xfId="0">
      <alignment horizontal="left"/>
    </xf>
    <xf applyAlignment="1" borderId="10" fillId="10" fontId="0" numFmtId="0" xfId="0">
      <alignment horizontal="center"/>
    </xf>
    <xf applyAlignment="1" borderId="10" fillId="11" fontId="0" numFmtId="10" xfId="0">
      <alignment horizontal="center"/>
    </xf>
    <xf applyAlignment="1" borderId="14" fillId="11" fontId="0" numFmtId="10" xfId="0">
      <alignment horizontal="center"/>
    </xf>
    <xf applyAlignment="1" borderId="44" fillId="0" fontId="14" numFmtId="0" xfId="0">
      <alignment horizontal="left" vertical="center"/>
    </xf>
    <xf borderId="19" fillId="0" fontId="0" numFmtId="0" xfId="0"/>
    <xf applyAlignment="1" borderId="11" fillId="10" fontId="0" numFmtId="0" xfId="0">
      <alignment horizontal="center"/>
    </xf>
    <xf applyAlignment="1" borderId="11" fillId="11" fontId="0" numFmtId="0" xfId="0">
      <alignment horizontal="center"/>
    </xf>
    <xf applyAlignment="1" borderId="17" fillId="11" fontId="0" numFmtId="0" xfId="0">
      <alignment horizontal="center"/>
    </xf>
    <xf applyAlignment="1" borderId="19" fillId="0" fontId="0" numFmtId="0" xfId="0">
      <alignment horizontal="left"/>
    </xf>
    <xf applyAlignment="1" borderId="11" fillId="11" fontId="0" numFmtId="10" xfId="0">
      <alignment horizontal="center"/>
    </xf>
    <xf applyAlignment="1" borderId="17" fillId="11" fontId="0" numFmtId="10" xfId="0">
      <alignment horizontal="center"/>
    </xf>
    <xf borderId="52" fillId="0" fontId="0" numFmtId="0" xfId="0"/>
    <xf applyAlignment="1" borderId="32" fillId="0" fontId="0" numFmtId="0" xfId="0">
      <alignment horizontal="left"/>
    </xf>
    <xf applyAlignment="1" borderId="12" fillId="10" fontId="0" numFmtId="0" xfId="0">
      <alignment horizontal="center"/>
    </xf>
    <xf applyAlignment="1" borderId="12" fillId="11" fontId="0" numFmtId="0" xfId="0">
      <alignment horizontal="center"/>
    </xf>
    <xf applyAlignment="1" borderId="23" fillId="11" fontId="0" numFmtId="0" xfId="0">
      <alignment horizontal="center"/>
    </xf>
    <xf borderId="59" fillId="12" fontId="14" numFmtId="0" xfId="0"/>
    <xf applyAlignment="1" borderId="59" fillId="12" fontId="14" numFmtId="0" xfId="0">
      <alignment horizontal="center"/>
    </xf>
    <xf applyAlignment="1" borderId="59" fillId="12" fontId="27" numFmtId="169" xfId="0">
      <alignment horizontal="center"/>
    </xf>
    <xf borderId="0" fillId="12" fontId="0" numFmtId="0" xfId="0"/>
    <xf applyAlignment="1" borderId="0" fillId="12" fontId="0" numFmtId="0" xfId="0">
      <alignment horizontal="center"/>
    </xf>
    <xf borderId="59" fillId="12" fontId="28" numFmtId="0" xfId="0"/>
    <xf applyAlignment="1" borderId="59" fillId="12" fontId="28" numFmtId="0" xfId="0">
      <alignment horizontal="center"/>
    </xf>
    <xf applyAlignment="1" borderId="59" fillId="12" fontId="29" numFmtId="169" xfId="0">
      <alignment horizontal="center"/>
    </xf>
    <xf borderId="0" fillId="0" fontId="30" numFmtId="0" xfId="0"/>
    <xf borderId="0" fillId="0" fontId="14" numFmtId="0" xfId="0"/>
    <xf applyAlignment="1" borderId="25" fillId="8" fontId="31" numFmtId="0" xfId="0">
      <alignment vertical="center" wrapText="1"/>
    </xf>
    <xf applyAlignment="1" borderId="11" fillId="8" fontId="32" numFmtId="0" xfId="0">
      <alignment horizontal="center" vertical="center"/>
    </xf>
    <xf applyAlignment="1" borderId="50" fillId="8" fontId="32" numFmtId="0" xfId="0">
      <alignment horizontal="center" vertical="center"/>
    </xf>
    <xf applyAlignment="1" borderId="17" fillId="8" fontId="32" numFmtId="0" xfId="0">
      <alignment horizontal="center" vertical="center"/>
    </xf>
    <xf applyAlignment="1" borderId="0" fillId="8" fontId="32" numFmtId="0" xfId="0">
      <alignment horizontal="center" vertical="center"/>
    </xf>
    <xf applyAlignment="1" borderId="11" fillId="8" fontId="0" numFmtId="0" xfId="0">
      <alignment horizontal="center" vertical="center"/>
    </xf>
    <xf applyAlignment="1" borderId="50" fillId="0" fontId="0" numFmtId="0" xfId="0">
      <alignment horizontal="center"/>
    </xf>
    <xf applyAlignment="1" borderId="17" fillId="8" fontId="0" numFmtId="0" xfId="0">
      <alignment horizontal="center" vertical="center"/>
    </xf>
    <xf applyAlignment="1" borderId="50" fillId="8" fontId="0" numFmtId="0" xfId="0">
      <alignment horizontal="center" vertical="center"/>
    </xf>
    <xf applyAlignment="1" borderId="25" fillId="8" fontId="31" numFmtId="0" xfId="0">
      <alignment vertical="center"/>
    </xf>
    <xf applyAlignment="1" borderId="30" fillId="8" fontId="31" numFmtId="0" xfId="0">
      <alignment vertical="center" wrapText="1"/>
    </xf>
    <xf applyAlignment="1" borderId="12" fillId="8" fontId="31" numFmtId="0" xfId="0">
      <alignment horizontal="center" vertical="center" wrapText="1"/>
    </xf>
    <xf applyAlignment="1" borderId="55" fillId="8" fontId="31" numFmtId="0" xfId="0">
      <alignment horizontal="center" vertical="center" wrapText="1"/>
    </xf>
    <xf applyAlignment="1" borderId="23" fillId="8" fontId="31" numFmtId="0" xfId="0">
      <alignment horizontal="center" vertical="center" wrapText="1"/>
    </xf>
    <xf applyAlignment="1" borderId="0" fillId="0" fontId="33" numFmtId="0" xfId="0">
      <alignment horizontal="left" vertical="center"/>
    </xf>
    <xf borderId="0" fillId="0" fontId="28" numFmtId="0" xfId="0"/>
    <xf borderId="0" fillId="3" fontId="2" numFmtId="0" xfId="0"/>
    <xf borderId="0" fillId="0" fontId="0" numFmtId="0" xfId="0"/>
    <xf applyAlignment="1" borderId="0" fillId="0" fontId="36" numFmtId="0" xfId="0">
      <alignment horizontal="justify" vertical="center"/>
    </xf>
    <xf borderId="0" fillId="13" fontId="19" numFmtId="0" xfId="0"/>
    <xf applyAlignment="1" borderId="0" fillId="0" fontId="3" numFmtId="0" xfId="0">
      <alignment horizontal="left" indent="15" vertical="center"/>
    </xf>
    <xf borderId="0" fillId="0" fontId="0" numFmtId="0" xfId="0"/>
    <xf borderId="0" fillId="8" fontId="0" numFmtId="0" xfId="0"/>
    <xf applyAlignment="1" borderId="0" fillId="0" fontId="0" numFmtId="0" xfId="0">
      <alignment wrapText="1"/>
    </xf>
    <xf applyAlignment="1" borderId="24" fillId="0" fontId="0" numFmtId="0" xfId="0">
      <alignment horizontal="center" vertical="center"/>
    </xf>
    <xf applyAlignment="1" borderId="25" fillId="0" fontId="0" numFmtId="0" xfId="0">
      <alignment horizontal="center" vertical="center" wrapText="1"/>
    </xf>
    <xf applyAlignment="1" borderId="17" fillId="0" fontId="0" numFmtId="0" xfId="0">
      <alignment horizontal="center" vertical="center"/>
    </xf>
    <xf applyAlignment="1" borderId="25" fillId="0" fontId="0" numFmtId="0" xfId="0">
      <alignment horizontal="center" vertical="center"/>
    </xf>
    <xf applyAlignment="1" borderId="30" fillId="0" fontId="0" numFmtId="0" xfId="0">
      <alignment horizontal="center" vertical="center"/>
    </xf>
    <xf applyAlignment="1" borderId="32" fillId="0" fontId="0" numFmtId="0" xfId="0">
      <alignment horizontal="center" vertical="center"/>
    </xf>
    <xf applyAlignment="1" borderId="0" fillId="2" fontId="3" numFmtId="0" xfId="0">
      <alignment horizontal="left" vertical="center" wrapText="1"/>
    </xf>
    <xf applyAlignment="1" borderId="0" fillId="2" fontId="4" numFmtId="0" xfId="0">
      <alignment horizontal="left" vertical="center" wrapText="1"/>
    </xf>
    <xf applyAlignment="1" borderId="2" fillId="0" fontId="6" numFmtId="0" xfId="0">
      <alignment horizontal="left" vertical="center"/>
    </xf>
    <xf applyAlignment="1" borderId="0" fillId="0" fontId="10" numFmtId="0" xfId="0">
      <alignment horizontal="left" vertical="center"/>
    </xf>
    <xf applyAlignment="1" borderId="0" fillId="3" fontId="15" numFmtId="0" xfId="0">
      <alignment horizontal="center"/>
    </xf>
    <xf applyAlignment="1" borderId="9" fillId="0" fontId="2" numFmtId="0" xfId="0">
      <alignment horizontal="left"/>
    </xf>
    <xf applyAlignment="1" borderId="14" fillId="4" fontId="0" numFmtId="0" xfId="0">
      <alignment horizontal="left"/>
    </xf>
    <xf applyAlignment="1" borderId="17" fillId="4" fontId="0" numFmtId="0" xfId="0">
      <alignment horizontal="left" vertical="center" wrapText="1"/>
    </xf>
    <xf applyAlignment="1" borderId="17" fillId="4" fontId="0" numFmtId="0" xfId="0">
      <alignment horizontal="left"/>
    </xf>
    <xf applyAlignment="1" borderId="23" fillId="4" fontId="0" numFmtId="0" xfId="0">
      <alignment horizontal="left"/>
    </xf>
    <xf applyAlignment="1" borderId="9" fillId="0" fontId="2" numFmtId="0" xfId="0">
      <alignment horizontal="left" vertical="center"/>
    </xf>
    <xf applyAlignment="1" borderId="31" fillId="0" fontId="15" numFmtId="0" xfId="0">
      <alignment horizontal="left"/>
    </xf>
    <xf applyAlignment="1" borderId="9" fillId="0" fontId="15" numFmtId="0" xfId="0">
      <alignment horizontal="left"/>
    </xf>
    <xf applyAlignment="1" borderId="9" fillId="6" fontId="15" numFmtId="0" xfId="0">
      <alignment horizontal="left"/>
    </xf>
    <xf applyAlignment="1" borderId="31" fillId="6" fontId="15" numFmtId="0" xfId="0">
      <alignment horizontal="left"/>
    </xf>
    <xf applyAlignment="1" borderId="17" fillId="6" fontId="20" numFmtId="0" xfId="0">
      <alignment horizontal="center"/>
    </xf>
    <xf applyAlignment="1" borderId="11" fillId="6" fontId="20" numFmtId="0" xfId="0">
      <alignment horizontal="left"/>
    </xf>
    <xf applyAlignment="1" borderId="17" fillId="6" fontId="20" numFmtId="10" xfId="0">
      <alignment horizontal="left"/>
    </xf>
    <xf applyAlignment="1" borderId="12" fillId="6" fontId="20" numFmtId="0" xfId="0">
      <alignment horizontal="left"/>
    </xf>
    <xf applyAlignment="1" borderId="23" fillId="6" fontId="20" numFmtId="10" xfId="0">
      <alignment horizontal="left"/>
    </xf>
    <xf applyAlignment="1" borderId="43" fillId="0" fontId="0" numFmtId="0" xfId="0">
      <alignment horizontal="center" vertical="center" wrapText="1"/>
    </xf>
    <xf applyAlignment="1" borderId="32" fillId="0" fontId="0" numFmtId="0" xfId="0">
      <alignment horizontal="center" vertical="center" wrapText="1"/>
    </xf>
    <xf applyAlignment="1" borderId="10" fillId="7" fontId="0" numFmtId="0" xfId="0">
      <alignment horizontal="center"/>
    </xf>
    <xf applyAlignment="1" borderId="0" fillId="3" fontId="15" numFmtId="0" xfId="0">
      <alignment horizontal="center" vertical="center"/>
    </xf>
    <xf applyAlignment="1" borderId="11" fillId="8" fontId="0" numFmtId="0" xfId="0">
      <alignment horizontal="left" vertical="center"/>
    </xf>
    <xf applyAlignment="1" borderId="11" fillId="0" fontId="0" numFmtId="166" xfId="0">
      <alignment horizontal="center"/>
    </xf>
    <xf applyAlignment="1" borderId="14" fillId="0" fontId="0" numFmtId="0" xfId="0">
      <alignment horizontal="center" vertical="center"/>
    </xf>
    <xf applyAlignment="1" borderId="24" fillId="4" fontId="0" numFmtId="0" xfId="0">
      <alignment horizontal="center"/>
    </xf>
    <xf applyAlignment="1" borderId="10" fillId="4" fontId="0" numFmtId="0" xfId="0">
      <alignment horizontal="center"/>
    </xf>
    <xf applyAlignment="1" borderId="24" fillId="7" fontId="0" numFmtId="0" xfId="0">
      <alignment horizontal="center"/>
    </xf>
    <xf applyAlignment="1" borderId="42" fillId="0" fontId="0" numFmtId="0" xfId="0">
      <alignment horizontal="center" vertical="center"/>
    </xf>
    <xf applyAlignment="1" borderId="12" fillId="0" fontId="0" numFmtId="166" xfId="0">
      <alignment horizontal="center"/>
    </xf>
    <xf applyAlignment="1" borderId="34" fillId="0" fontId="0" numFmtId="0" xfId="0">
      <alignment horizontal="center" vertical="center"/>
    </xf>
    <xf applyAlignment="1" borderId="46" fillId="0" fontId="0" numFmtId="0" xfId="0">
      <alignment horizontal="center" vertical="center" wrapText="1"/>
    </xf>
    <xf applyAlignment="1" borderId="3" fillId="0" fontId="0" numFmtId="0" xfId="0">
      <alignment horizontal="center"/>
    </xf>
    <xf applyAlignment="1" borderId="30" fillId="0" fontId="0" numFmtId="1" xfId="0">
      <alignment horizontal="center" vertical="center"/>
    </xf>
    <xf applyAlignment="1" borderId="12" fillId="0" fontId="0" numFmtId="0" xfId="0">
      <alignment horizontal="center" vertical="center"/>
    </xf>
    <xf applyAlignment="1" borderId="12" fillId="0" fontId="0" numFmtId="1" xfId="0">
      <alignment horizontal="center" vertical="center"/>
    </xf>
    <xf applyAlignment="1" borderId="11" fillId="0" fontId="0" numFmtId="0" xfId="0">
      <alignment horizontal="center" vertical="center"/>
    </xf>
    <xf applyAlignment="1" borderId="23" fillId="0" fontId="0" numFmtId="0" xfId="0">
      <alignment horizontal="center" vertical="center" wrapText="1"/>
    </xf>
    <xf applyAlignment="1" borderId="19" fillId="0" fontId="0" numFmtId="1" xfId="0">
      <alignment horizontal="center" vertical="center" wrapText="1"/>
    </xf>
    <xf applyAlignment="1" borderId="11" fillId="0" fontId="0" numFmtId="0" xfId="0">
      <alignment horizontal="center" vertical="center" wrapText="1"/>
    </xf>
    <xf applyAlignment="1" borderId="11" fillId="0" fontId="0" numFmtId="1" xfId="0">
      <alignment horizontal="center" vertical="center" wrapText="1"/>
    </xf>
    <xf applyAlignment="1" borderId="37" fillId="0" fontId="0" numFmtId="0" xfId="0">
      <alignment horizontal="center" vertical="center" wrapText="1"/>
    </xf>
    <xf applyAlignment="1" borderId="9" fillId="0" fontId="0" numFmtId="0" xfId="0">
      <alignment horizontal="center" vertical="center"/>
    </xf>
    <xf applyAlignment="1" borderId="43" fillId="0" fontId="0" numFmtId="0" xfId="0">
      <alignment horizontal="center"/>
    </xf>
    <xf applyAlignment="1" borderId="0" fillId="9" fontId="15" numFmtId="0" xfId="0">
      <alignment horizontal="center"/>
    </xf>
    <xf applyAlignment="1" borderId="31" fillId="0" fontId="2" numFmtId="0" xfId="0">
      <alignment horizontal="left"/>
    </xf>
    <xf applyAlignment="1" borderId="59" fillId="12" fontId="15" numFmtId="0" xfId="0">
      <alignment horizontal="left"/>
    </xf>
    <xf applyAlignment="1" borderId="44" fillId="0" fontId="14" numFmtId="0" xfId="0">
      <alignment horizontal="left" vertical="center"/>
    </xf>
    <xf applyAlignment="1" borderId="58" fillId="0" fontId="14" numFmtId="0" xfId="0">
      <alignment horizontal="left" vertical="center"/>
    </xf>
    <xf applyAlignment="1" borderId="0" fillId="13" fontId="14" numFmtId="0" xfId="0">
      <alignment horizontal="left"/>
    </xf>
    <xf applyAlignment="1" borderId="42" fillId="8" fontId="28" numFmtId="0" xfId="0">
      <alignment horizontal="center" vertical="center"/>
    </xf>
    <xf applyAlignment="1" borderId="0" fillId="13" fontId="35" numFmtId="0" xfId="0">
      <alignment horizontal="left"/>
    </xf>
    <xf applyAlignment="1" borderId="0" fillId="13" fontId="2" numFmtId="0" xfId="0">
      <alignment horizontal="left"/>
    </xf>
    <xf applyAlignment="1" borderId="10" fillId="0" fontId="0" numFmtId="0" xfId="0">
      <alignment horizontal="center" vertical="center" wrapText="1"/>
    </xf>
    <xf applyAlignment="1" borderId="14" fillId="0" fontId="0" numFmtId="0" xfId="0">
      <alignment horizontal="center" vertical="center" wrapText="1"/>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8080"/>
      <rgbColor rgb="FFADB9CA"/>
      <rgbColor rgb="FF808080"/>
      <rgbColor rgb="FF5B9BD5"/>
      <rgbColor rgb="FF993366"/>
      <rgbColor rgb="FFFFF8E5"/>
      <rgbColor rgb="FFDEEBF7"/>
      <rgbColor rgb="FF660066"/>
      <rgbColor rgb="FFFF8080"/>
      <rgbColor rgb="FF2E75B6"/>
      <rgbColor rgb="FFBDD7EE"/>
      <rgbColor rgb="FF000080"/>
      <rgbColor rgb="FFFF00FF"/>
      <rgbColor rgb="FFFFFF00"/>
      <rgbColor rgb="FF00FFFF"/>
      <rgbColor rgb="FF800080"/>
      <rgbColor rgb="FFCC0000"/>
      <rgbColor rgb="FF008080"/>
      <rgbColor rgb="FF0000FF"/>
      <rgbColor rgb="FF00CCFF"/>
      <rgbColor rgb="FFDEEBF6"/>
      <rgbColor rgb="FFE2F0D9"/>
      <rgbColor rgb="FFFFF2CC"/>
      <rgbColor rgb="FFCFE7F5"/>
      <rgbColor rgb="FFF6BE98"/>
      <rgbColor rgb="FFD9D9D9"/>
      <rgbColor rgb="FFF8CBAD"/>
      <rgbColor rgb="FF4472C4"/>
      <rgbColor rgb="FF33CCCC"/>
      <rgbColor rgb="FF99CC00"/>
      <rgbColor rgb="FFDAE3F3"/>
      <rgbColor rgb="FFFF9900"/>
      <rgbColor rgb="FFED7D31"/>
      <rgbColor rgb="FF595959"/>
      <rgbColor rgb="FFC5E0B4"/>
      <rgbColor rgb="FF003366"/>
      <rgbColor rgb="FF339966"/>
      <rgbColor rgb="FF003300"/>
      <rgbColor rgb="FF333300"/>
      <rgbColor rgb="FF993300"/>
      <rgbColor rgb="FF993366"/>
      <rgbColor rgb="FF333399"/>
      <rgbColor rgb="FF333F5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sharedStrings.xml" Type="http://schemas.openxmlformats.org/officeDocument/2006/relationships/sharedStrings"/><Relationship Id="rId12" Target="styles.xml" Type="http://schemas.openxmlformats.org/officeDocument/2006/relationships/styles"/><Relationship Id="rId1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comments" Target="/xl/comments1.xml" Type="http://schemas.openxmlformats.org/officeDocument/2006/relationships/comments"/><Relationship Id="anysvml" Target="/xl/drawings/commentsDrawing1.vml" Type="http://schemas.openxmlformats.org/officeDocument/2006/relationships/vmlDrawing"/></Relationships>
</file>

<file path=xl/worksheets/_rels/sheet6.xml.rels><Relationships xmlns="http://schemas.openxmlformats.org/package/2006/relationships"><Relationship Id="comments" Target="/xl/comments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FFFFFF"/>
    <outlinePr summaryBelow="1" summaryRight="1"/>
    <pageSetUpPr/>
  </sheetPr>
  <dimension ref="A1:AMJ21"/>
  <sheetViews>
    <sheetView topLeftCell="A10" workbookViewId="0" zoomScaleNormal="100">
      <selection activeCell="B24" sqref="B24"/>
    </sheetView>
  </sheetViews>
  <sheetFormatPr baseColWidth="10" defaultRowHeight="15"/>
  <cols>
    <col customWidth="1" max="1" min="1" style="6" width="40.140625"/>
    <col customWidth="1" max="2" min="2" style="9" width="30.7109375"/>
    <col customWidth="1" max="3" min="3" style="9" width="30.42578125"/>
    <col customWidth="1" hidden="1" max="4" min="4" style="10"/>
    <col customWidth="1" max="5" min="5" style="9" width="28"/>
    <col customWidth="1" max="6" min="6" style="6" width="26"/>
    <col customWidth="1" max="7" min="7" style="6" width="29.85546875"/>
    <col customWidth="1" max="8" min="8" style="6" width="27.28515625"/>
    <col customWidth="1" max="9" min="9" style="6" width="9.85546875"/>
    <col customWidth="1" max="10" min="10" style="6" width="9.42578125"/>
    <col customWidth="1" max="1025" min="11" style="6" width="9.140625"/>
  </cols>
  <sheetData>
    <row customHeight="1" ht="28.5" r="1" s="386" spans="1:1024">
      <c r="A1" s="4" t="s">
        <v>0</v>
      </c>
    </row>
    <row customHeight="1" ht="17.1" r="2" s="386" spans="1:1024">
      <c r="A2" s="4" t="n"/>
    </row>
    <row customHeight="1" ht="21" r="3" s="386" spans="1:1024">
      <c r="A3" s="5" t="s">
        <v>1</v>
      </c>
    </row>
    <row customHeight="1" ht="89.65000000000001" r="4" s="386" spans="1:1024">
      <c r="A4" s="395" t="s">
        <v>2</v>
      </c>
      <c r="B4" s="395" t="n"/>
      <c r="C4" s="395" t="n"/>
      <c r="D4" s="395" t="n"/>
      <c r="E4" s="395" t="n"/>
      <c r="F4" s="395" t="n"/>
    </row>
    <row customHeight="1" ht="15.75" r="5" s="386" spans="1:1024">
      <c r="A5" s="5" t="n"/>
    </row>
    <row customHeight="1" ht="21" r="6" s="386" spans="1:1024">
      <c r="A6" s="5" t="s">
        <v>3</v>
      </c>
    </row>
    <row customFormat="1" customHeight="1" ht="125.45" r="7" s="6" spans="1:1024">
      <c r="A7" s="396" t="s">
        <v>4</v>
      </c>
      <c r="B7" s="396" t="n"/>
      <c r="C7" s="396" t="n"/>
      <c r="D7" s="396" t="n"/>
      <c r="E7" s="396" t="n"/>
      <c r="F7" s="396" t="n"/>
    </row>
    <row customHeight="1" ht="15.75" r="8" s="386" spans="1:1024">
      <c r="A8" s="7" t="n"/>
      <c r="B8" s="7" t="n"/>
      <c r="C8" s="7" t="n"/>
      <c r="D8" s="7" t="n"/>
      <c r="E8" s="7" t="n"/>
      <c r="F8" s="7" t="n"/>
    </row>
    <row customHeight="1" ht="21" r="9" s="386" spans="1:1024">
      <c r="A9" s="5" t="s">
        <v>5</v>
      </c>
      <c r="B9" s="7" t="n"/>
      <c r="C9" s="7" t="n"/>
      <c r="D9" s="7" t="n"/>
      <c r="E9" s="7" t="n"/>
      <c r="F9" s="7" t="n"/>
    </row>
    <row customHeight="1" ht="48.4" r="10" s="386" spans="1:1024">
      <c r="A10" s="396" t="s">
        <v>6</v>
      </c>
      <c r="B10" s="396" t="n"/>
      <c r="C10" s="396" t="n"/>
      <c r="D10" s="396" t="n"/>
      <c r="E10" s="396" t="n"/>
      <c r="F10" s="396" t="n"/>
    </row>
    <row customHeight="1" ht="15.75" r="11" s="386" spans="1:1024">
      <c r="A11" s="7" t="n"/>
      <c r="B11" s="7" t="n"/>
      <c r="C11" s="7" t="n"/>
      <c r="D11" s="7" t="n"/>
      <c r="E11" s="7" t="n"/>
      <c r="F11" s="7" t="n"/>
    </row>
    <row customHeight="1" ht="19.7" r="12" s="386" spans="1:1024">
      <c r="A12" s="5" t="s">
        <v>7</v>
      </c>
      <c r="B12" s="8" t="n"/>
      <c r="C12" s="9" t="n"/>
      <c r="D12" s="10" t="n"/>
      <c r="E12" s="9" t="n"/>
    </row>
    <row customHeight="1" ht="17.25" r="13" s="386" spans="1:1024">
      <c r="A13" s="11" t="s">
        <v>8</v>
      </c>
      <c r="B13" s="397" t="s">
        <v>9</v>
      </c>
      <c r="C13" s="397" t="n"/>
      <c r="D13" s="12" t="n"/>
      <c r="E13" s="13" t="n"/>
      <c r="F13" s="14" t="n"/>
    </row>
    <row customHeight="1" ht="15.75" r="14" s="386" spans="1:1024">
      <c r="A14" s="15" t="n"/>
      <c r="B14" s="398" t="s">
        <v>10</v>
      </c>
      <c r="C14" s="398" t="n"/>
      <c r="D14" s="10" t="n"/>
      <c r="E14" s="9" t="n"/>
      <c r="F14" s="16" t="n"/>
    </row>
    <row customHeight="1" ht="27" r="15" s="386" spans="1:1024">
      <c r="A15" s="15" t="n"/>
      <c r="B15" s="17" t="s">
        <v>11</v>
      </c>
      <c r="C15" s="18" t="n"/>
      <c r="D15" s="10" t="n"/>
      <c r="E15" s="9" t="n"/>
      <c r="F15" s="16" t="n"/>
    </row>
    <row customHeight="1" ht="15.75" r="16" s="386" spans="1:1024">
      <c r="A16" s="15" t="n"/>
      <c r="B16" s="17" t="s">
        <v>12</v>
      </c>
      <c r="C16" s="18" t="n"/>
      <c r="D16" s="10" t="n"/>
      <c r="E16" s="9" t="n"/>
      <c r="F16" s="16" t="n"/>
    </row>
    <row customHeight="1" ht="15.75" r="17" s="386" spans="1:1024">
      <c r="A17" s="15" t="n"/>
      <c r="B17" s="17" t="s">
        <v>13</v>
      </c>
      <c r="C17" s="18" t="n"/>
      <c r="D17" s="10" t="n"/>
      <c r="E17" s="9" t="n"/>
      <c r="F17" s="16" t="n"/>
      <c r="G17" s="19" t="n"/>
      <c r="H17" s="19" t="n"/>
      <c r="I17" s="19" t="n"/>
    </row>
    <row customHeight="1" ht="15.75" r="18" s="386" spans="1:1024">
      <c r="A18" s="15" t="n"/>
      <c r="B18" s="17" t="s">
        <v>14</v>
      </c>
      <c r="C18" s="18" t="n"/>
      <c r="D18" s="10" t="n"/>
      <c r="E18" s="9" t="n"/>
      <c r="F18" s="16" t="n"/>
      <c r="G18" s="19" t="n"/>
      <c r="H18" s="9" t="n"/>
      <c r="I18" s="9" t="n"/>
    </row>
    <row customHeight="1" ht="15.75" r="19" s="386" spans="1:1024">
      <c r="A19" s="15" t="n"/>
      <c r="B19" s="17" t="s">
        <v>15</v>
      </c>
      <c r="C19" s="18" t="n"/>
      <c r="D19" s="10" t="n"/>
      <c r="E19" s="9" t="n"/>
      <c r="F19" s="16" t="n"/>
      <c r="H19" s="20" t="n"/>
      <c r="I19" s="20" t="n"/>
    </row>
    <row customHeight="1" ht="15.75" r="20" s="386" spans="1:1024">
      <c r="A20" s="15" t="n"/>
      <c r="B20" s="17" t="s">
        <v>16</v>
      </c>
      <c r="C20" s="18" t="n"/>
      <c r="D20" s="10" t="n"/>
      <c r="E20" s="9" t="n"/>
      <c r="F20" s="16" t="n"/>
      <c r="H20" s="9" t="n"/>
      <c r="I20" s="9" t="n"/>
    </row>
    <row r="21" spans="1:1024">
      <c r="A21" s="21" t="n"/>
      <c r="B21" s="22" t="s">
        <v>17</v>
      </c>
      <c r="C21" s="23" t="n"/>
      <c r="D21" s="24" t="n"/>
      <c r="E21" s="25" t="n"/>
      <c r="F21" s="26" t="n"/>
      <c r="G21" s="10" t="n"/>
      <c r="H21" s="9" t="n"/>
      <c r="I21" s="9" t="n"/>
    </row>
    <row customHeight="1" ht="15.4" r="29" s="386" spans="1:1024"/>
    <row customHeight="1" ht="16.35" r="35" s="386" spans="1:1024"/>
    <row customHeight="1" ht="13.5" r="64" s="386" spans="1:1024"/>
    <row customHeight="1" ht="18.75" r="69" s="386" spans="1:1024"/>
  </sheetData>
  <mergeCells count="5">
    <mergeCell ref="A4:F4"/>
    <mergeCell ref="A7:F7"/>
    <mergeCell ref="A10:F10"/>
    <mergeCell ref="B13:C13"/>
    <mergeCell ref="B14:C14"/>
  </mergeCells>
  <pageMargins bottom="0.75" footer="0.511805555555555" header="0.511805555555555" left="0.7" right="0.7" top="0.75"/>
  <pageSetup copies="0" firstPageNumber="0" horizontalDpi="0" orientation="portrait" paperSize="0" scale="0" usePrinterDefaults="0" verticalDpi="0"/>
</worksheet>
</file>

<file path=xl/worksheets/sheet10.xml><?xml version="1.0" encoding="utf-8"?>
<worksheet xmlns="http://schemas.openxmlformats.org/spreadsheetml/2006/main">
  <sheetPr>
    <outlinePr summaryBelow="1" summaryRight="1"/>
    <pageSetUpPr/>
  </sheetPr>
  <dimension ref="A1:E28"/>
  <sheetViews>
    <sheetView workbookViewId="0" zoomScaleNormal="100">
      <selection activeCell="I28" sqref="I28"/>
    </sheetView>
  </sheetViews>
  <sheetFormatPr baseColWidth="10" defaultRowHeight="15"/>
  <cols>
    <col customWidth="1" max="1" min="1" style="386" width="13.5703125"/>
    <col customWidth="1" max="2" min="2" style="386" width="13.85546875"/>
    <col customWidth="1" max="3" min="3" style="386" width="13.28515625"/>
    <col customWidth="1" max="4" min="4" style="386" width="12.7109375"/>
    <col customWidth="1" max="5" min="5" style="386" width="14.140625"/>
    <col customWidth="1" max="6" min="6" style="386" width="8.42578125"/>
    <col customWidth="1" max="1025" min="7" style="386" width="8.5703125"/>
  </cols>
  <sheetData>
    <row r="1" spans="1:5">
      <c r="A1" t="s">
        <v>305</v>
      </c>
      <c r="B1" t="s">
        <v>387</v>
      </c>
      <c r="C1" t="s">
        <v>388</v>
      </c>
      <c r="D1" t="s">
        <v>389</v>
      </c>
    </row>
    <row r="2" spans="1:5">
      <c r="A2" t="s">
        <v>307</v>
      </c>
      <c r="B2" t="s">
        <v>390</v>
      </c>
      <c r="C2" t="s">
        <v>391</v>
      </c>
      <c r="D2" t="s">
        <v>392</v>
      </c>
    </row>
    <row r="3" spans="1:5">
      <c r="A3" t="s">
        <v>393</v>
      </c>
      <c r="B3" t="s">
        <v>390</v>
      </c>
      <c r="C3" t="s">
        <v>392</v>
      </c>
      <c r="D3" t="s">
        <v>389</v>
      </c>
    </row>
    <row r="4" spans="1:5">
      <c r="A4" t="s">
        <v>308</v>
      </c>
      <c r="B4" t="s">
        <v>394</v>
      </c>
      <c r="C4" t="s">
        <v>389</v>
      </c>
      <c r="D4" t="s">
        <v>389</v>
      </c>
    </row>
    <row customHeight="1" ht="33" r="10" s="386" spans="1:5">
      <c r="A10" s="389" t="n"/>
      <c r="B10" s="450" t="s">
        <v>395</v>
      </c>
      <c r="C10" s="450" t="n"/>
      <c r="D10" s="451" t="s">
        <v>396</v>
      </c>
      <c r="E10" s="451" t="n"/>
    </row>
    <row customHeight="1" ht="30" r="11" s="386" spans="1:5">
      <c r="A11" s="390" t="s">
        <v>397</v>
      </c>
      <c r="B11" s="433" t="s">
        <v>398</v>
      </c>
      <c r="C11" s="433" t="s">
        <v>399</v>
      </c>
      <c r="D11" s="433" t="s">
        <v>398</v>
      </c>
      <c r="E11" s="391" t="s">
        <v>399</v>
      </c>
    </row>
    <row r="12" spans="1:5">
      <c r="A12" s="392" t="n">
        <v>5</v>
      </c>
      <c r="B12" s="433" t="n">
        <v>1.02</v>
      </c>
      <c r="C12" s="433" t="n">
        <v>0.73</v>
      </c>
      <c r="D12" s="433" t="n">
        <v>2.7</v>
      </c>
      <c r="E12" s="391" t="n">
        <v>9.25</v>
      </c>
    </row>
    <row r="13" spans="1:5">
      <c r="A13" s="392" t="n">
        <v>10</v>
      </c>
      <c r="B13" s="433" t="n">
        <v>1.51</v>
      </c>
      <c r="C13" s="433" t="n">
        <v>1.47</v>
      </c>
      <c r="D13" s="433" t="n">
        <v>8.83</v>
      </c>
      <c r="E13" s="391" t="n">
        <v>20.72</v>
      </c>
    </row>
    <row r="14" spans="1:5">
      <c r="A14" s="392" t="n">
        <v>15</v>
      </c>
      <c r="B14" s="433" t="n">
        <v>2</v>
      </c>
      <c r="C14" s="433" t="n">
        <v>2.2</v>
      </c>
      <c r="D14" s="433" t="n">
        <v>15.16</v>
      </c>
      <c r="E14" s="391" t="n">
        <v>33.89</v>
      </c>
    </row>
    <row r="15" spans="1:5">
      <c r="A15" s="392" t="n">
        <v>20</v>
      </c>
      <c r="B15" s="433" t="n">
        <v>2.49</v>
      </c>
      <c r="C15" s="433" t="n">
        <v>2.93</v>
      </c>
      <c r="D15" s="433" t="n">
        <v>21.74</v>
      </c>
      <c r="E15" s="391" t="n">
        <v>48.4</v>
      </c>
    </row>
    <row r="16" spans="1:5">
      <c r="A16" s="392" t="n">
        <v>25</v>
      </c>
      <c r="B16" s="433" t="n">
        <v>2.98</v>
      </c>
      <c r="C16" s="433" t="n">
        <v>3.67</v>
      </c>
      <c r="D16" s="433" t="n">
        <v>28.67</v>
      </c>
      <c r="E16" s="391" t="n">
        <v>63.97</v>
      </c>
    </row>
    <row r="17" spans="1:5">
      <c r="A17" s="392" t="n">
        <v>30</v>
      </c>
      <c r="B17" s="433" t="n">
        <v>3.46</v>
      </c>
      <c r="C17" s="433" t="n">
        <v>4.4</v>
      </c>
      <c r="D17" s="433" t="n">
        <v>36.1</v>
      </c>
      <c r="E17" s="391" t="n">
        <v>80.3</v>
      </c>
    </row>
    <row r="18" spans="1:5">
      <c r="A18" s="392" t="n">
        <v>35</v>
      </c>
      <c r="B18" s="433" t="n">
        <v>3.94</v>
      </c>
      <c r="C18" s="433" t="n">
        <v>5.13</v>
      </c>
      <c r="D18" s="433" t="n">
        <v>44.06</v>
      </c>
      <c r="E18" s="391" t="n">
        <v>96.88</v>
      </c>
    </row>
    <row r="19" spans="1:5">
      <c r="A19" s="392" t="n">
        <v>40</v>
      </c>
      <c r="B19" s="433" t="n">
        <v>4.42</v>
      </c>
      <c r="C19" s="433" t="n">
        <v>5.87</v>
      </c>
      <c r="D19" s="433" t="n">
        <v>52.7</v>
      </c>
      <c r="E19" s="391" t="n">
        <v>113.97</v>
      </c>
    </row>
    <row r="20" spans="1:5">
      <c r="A20" s="392" t="n">
        <v>45</v>
      </c>
      <c r="B20" s="433" t="n">
        <v>4.9</v>
      </c>
      <c r="C20" s="433" t="n">
        <v>6.6</v>
      </c>
      <c r="D20" s="433" t="n">
        <v>62.07</v>
      </c>
      <c r="E20" s="391" t="n">
        <v>130.08</v>
      </c>
    </row>
    <row r="21" spans="1:5">
      <c r="A21" s="392" t="n">
        <v>50</v>
      </c>
      <c r="B21" s="433" t="n">
        <v>5.37</v>
      </c>
      <c r="C21" s="433" t="n">
        <v>7.33</v>
      </c>
      <c r="D21" s="433" t="n">
        <v>72.31</v>
      </c>
      <c r="E21" s="391" t="n">
        <v>145.96</v>
      </c>
    </row>
    <row r="22" spans="1:5">
      <c r="A22" s="392" t="n">
        <v>55</v>
      </c>
      <c r="B22" s="433" t="n">
        <v>5.84</v>
      </c>
      <c r="C22" s="433" t="n">
        <v>8.07</v>
      </c>
      <c r="D22" s="433" t="n">
        <v>83.47</v>
      </c>
      <c r="E22" s="391" t="n">
        <v>160.89</v>
      </c>
    </row>
    <row r="23" spans="1:5">
      <c r="A23" s="392" t="n">
        <v>60</v>
      </c>
      <c r="B23" s="433" t="n">
        <v>6.31</v>
      </c>
      <c r="C23" s="433" t="n">
        <v>8.800000000000001</v>
      </c>
      <c r="D23" s="433" t="n">
        <v>95.7</v>
      </c>
      <c r="E23" s="391" t="n">
        <v>178.98</v>
      </c>
    </row>
    <row r="24" spans="1:5">
      <c r="A24" s="392" t="n">
        <v>65</v>
      </c>
      <c r="B24" s="433" t="n">
        <v>6.78</v>
      </c>
      <c r="C24" s="433" t="n">
        <v>9.529999999999999</v>
      </c>
      <c r="D24" s="433" t="n">
        <v>109.02</v>
      </c>
      <c r="E24" s="391" t="n">
        <v>195.84</v>
      </c>
    </row>
    <row r="25" spans="1:5">
      <c r="A25" s="392" t="n">
        <v>70</v>
      </c>
      <c r="B25" s="433" t="n">
        <v>7.25</v>
      </c>
      <c r="C25" s="433" t="s">
        <v>50</v>
      </c>
      <c r="D25" s="433" t="n">
        <v>123.61</v>
      </c>
      <c r="E25" s="391" t="s">
        <v>50</v>
      </c>
    </row>
    <row r="26" spans="1:5">
      <c r="A26" s="392" t="n">
        <v>75</v>
      </c>
      <c r="B26" s="433" t="n">
        <v>7.71</v>
      </c>
      <c r="C26" s="433" t="s">
        <v>50</v>
      </c>
      <c r="D26" s="433" t="n">
        <v>139.53</v>
      </c>
      <c r="E26" s="391" t="s">
        <v>50</v>
      </c>
    </row>
    <row r="27" spans="1:5">
      <c r="A27" s="393" t="n">
        <v>80</v>
      </c>
      <c r="B27" s="431" t="n">
        <v>8.17</v>
      </c>
      <c r="C27" s="431" t="s">
        <v>50</v>
      </c>
      <c r="D27" s="431" t="n">
        <v>156.85</v>
      </c>
      <c r="E27" s="173" t="s">
        <v>50</v>
      </c>
    </row>
    <row r="28" spans="1:5">
      <c r="A28" s="440" t="s">
        <v>400</v>
      </c>
      <c r="B28" s="440" t="n"/>
      <c r="C28" s="440" t="n"/>
      <c r="D28" s="394" t="n">
        <v>0.6927</v>
      </c>
      <c r="E28" s="284" t="n">
        <v>0.7681</v>
      </c>
    </row>
  </sheetData>
  <mergeCells count="3">
    <mergeCell ref="B10:C10"/>
    <mergeCell ref="D10:E10"/>
    <mergeCell ref="A28:C28"/>
  </mergeCells>
  <pageMargins bottom="0.75" footer="0.511805555555555" header="0.511805555555555" left="0.7" right="0.7" top="0.75"/>
  <pageSetup copies="0" firstPageNumber="0" horizontalDpi="0" orientation="portrait" paperSize="0" scale="0" usePrinterDefaults="0" verticalDpi="0"/>
</worksheet>
</file>

<file path=xl/worksheets/sheet2.xml><?xml version="1.0" encoding="utf-8"?>
<worksheet xmlns="http://schemas.openxmlformats.org/spreadsheetml/2006/main">
  <sheetPr>
    <tabColor rgb="FF2E75B6"/>
    <outlinePr summaryBelow="1" summaryRight="1"/>
    <pageSetUpPr/>
  </sheetPr>
  <dimension ref="A1:N85"/>
  <sheetViews>
    <sheetView topLeftCell="A45" workbookViewId="0" zoomScale="70" zoomScaleNormal="70">
      <selection activeCell="A3" sqref="A3:E85"/>
    </sheetView>
  </sheetViews>
  <sheetFormatPr baseColWidth="10" defaultRowHeight="15"/>
  <cols>
    <col customWidth="1" max="1" min="1" style="386" width="47.85546875"/>
    <col customWidth="1" max="2" min="2" style="386" width="19.85546875"/>
    <col customWidth="1" max="3" min="3" style="386" width="21"/>
    <col customWidth="1" max="4" min="4" style="386" width="17"/>
    <col customWidth="1" max="5" min="5" style="386" width="19.140625"/>
    <col customWidth="1" max="7" min="7" style="386" width="19.28515625"/>
    <col customWidth="1" max="9" min="9" style="386" width="8.5703125"/>
    <col customWidth="1" max="10" min="10" style="386" width="48.140625"/>
    <col customWidth="1" max="11" min="11" style="386" width="22.5703125"/>
    <col customWidth="1" max="12" min="12" style="386" width="17.28515625"/>
    <col customWidth="1" max="13" min="13" style="386" width="16.5703125"/>
    <col customWidth="1" max="14" min="14" style="386" width="21"/>
    <col customWidth="1" max="1025" min="15" style="386" width="8.5703125"/>
  </cols>
  <sheetData>
    <row customHeight="1" ht="23.25" r="1" s="386" spans="1:14">
      <c r="A1" s="399" t="s">
        <v>18</v>
      </c>
      <c r="B1" s="399" t="n"/>
      <c r="C1" s="399" t="n"/>
      <c r="D1" s="399" t="n"/>
      <c r="E1" s="399" t="n"/>
      <c r="F1" s="27" t="n"/>
      <c r="G1" s="27" t="n"/>
      <c r="H1" s="27" t="n"/>
      <c r="J1" s="399" t="s">
        <v>19</v>
      </c>
      <c r="K1" s="399" t="n"/>
      <c r="L1" s="399" t="n"/>
      <c r="M1" s="399" t="n"/>
      <c r="N1" s="399" t="n"/>
    </row>
    <row customHeight="1" ht="13.5" r="2" s="386" spans="1:14">
      <c r="A2" s="28" t="n"/>
      <c r="J2" s="28" t="n"/>
    </row>
    <row customHeight="1" ht="23.25" r="3" s="386" spans="1:14">
      <c r="A3" s="29" t="s">
        <v>20</v>
      </c>
      <c r="J3" s="29" t="s">
        <v>20</v>
      </c>
    </row>
    <row customHeight="1" ht="15.75" r="4" s="386" spans="1:14">
      <c r="A4" s="28" t="n"/>
      <c r="J4" s="28" t="n"/>
    </row>
    <row customHeight="1" ht="21" r="5" s="386" spans="1:14">
      <c r="A5" s="400" t="s">
        <v>21</v>
      </c>
      <c r="B5" s="400" t="n"/>
      <c r="C5" s="400" t="n"/>
      <c r="D5" s="400" t="n"/>
      <c r="E5" s="400" t="n"/>
      <c r="F5" s="30" t="n"/>
      <c r="G5" s="30" t="n"/>
      <c r="H5" s="30" t="n"/>
      <c r="J5" s="400" t="s">
        <v>21</v>
      </c>
      <c r="K5" s="400" t="n"/>
      <c r="L5" s="400" t="n"/>
      <c r="M5" s="400" t="n"/>
      <c r="N5" s="400" t="n"/>
    </row>
    <row r="6" spans="1:14">
      <c r="A6" s="31" t="s">
        <v>22</v>
      </c>
      <c r="B6" s="163" t="s">
        <v>23</v>
      </c>
      <c r="C6" s="33" t="n"/>
      <c r="D6" s="33" t="n"/>
      <c r="E6" s="34" t="n"/>
      <c r="J6" s="31" t="s">
        <v>22</v>
      </c>
      <c r="K6" s="163" t="s">
        <v>24</v>
      </c>
      <c r="L6" s="33" t="n"/>
      <c r="M6" s="33" t="n"/>
      <c r="N6" s="34" t="n"/>
    </row>
    <row r="7" spans="1:14">
      <c r="A7" s="36" t="s">
        <v>25</v>
      </c>
      <c r="B7" s="37" t="s">
        <v>26</v>
      </c>
      <c r="E7" s="38" t="n"/>
      <c r="J7" s="36" t="s">
        <v>25</v>
      </c>
      <c r="K7" s="37" t="s">
        <v>26</v>
      </c>
      <c r="N7" s="38" t="n"/>
    </row>
    <row r="8" spans="1:14">
      <c r="A8" s="36" t="s">
        <v>27</v>
      </c>
      <c r="B8" s="37" t="s">
        <v>28</v>
      </c>
      <c r="E8" s="38" t="n"/>
      <c r="J8" s="36" t="s">
        <v>27</v>
      </c>
      <c r="K8" s="37" t="n"/>
      <c r="N8" s="38" t="n"/>
    </row>
    <row r="9" spans="1:14">
      <c r="A9" s="36" t="s">
        <v>29</v>
      </c>
      <c r="B9" s="39" t="n">
        <v>61.1901306</v>
      </c>
      <c r="C9" s="85" t="s">
        <v>30</v>
      </c>
      <c r="D9" s="39" t="n">
        <v>61.3100552</v>
      </c>
      <c r="E9" s="38" t="n"/>
      <c r="J9" s="36" t="s">
        <v>29</v>
      </c>
      <c r="K9" s="39" t="n"/>
      <c r="L9" s="85" t="s">
        <v>30</v>
      </c>
      <c r="M9" s="39" t="n"/>
      <c r="N9" s="38" t="n"/>
    </row>
    <row r="10" spans="1:14">
      <c r="A10" s="36" t="s">
        <v>31</v>
      </c>
      <c r="B10" s="39" t="n">
        <v>231.9</v>
      </c>
      <c r="D10" s="299" t="n"/>
      <c r="E10" s="38" t="n"/>
      <c r="J10" s="36" t="s">
        <v>31</v>
      </c>
      <c r="K10" s="39" t="n"/>
      <c r="M10" s="299" t="n"/>
      <c r="N10" s="38" t="n"/>
    </row>
    <row r="11" spans="1:14">
      <c r="A11" s="36" t="s">
        <v>32</v>
      </c>
      <c r="B11" s="39" t="n">
        <v>154.8</v>
      </c>
      <c r="D11" s="299" t="n"/>
      <c r="E11" s="38" t="n"/>
      <c r="J11" s="36" t="s">
        <v>32</v>
      </c>
      <c r="K11" s="39" t="n"/>
      <c r="M11" s="299" t="n"/>
      <c r="N11" s="38" t="n"/>
    </row>
    <row r="12" spans="1:14">
      <c r="A12" s="275" t="s">
        <v>33</v>
      </c>
      <c r="B12" s="43" t="s">
        <v>34</v>
      </c>
      <c r="C12" s="276" t="n"/>
      <c r="D12" s="276" t="n"/>
      <c r="E12" s="277" t="n"/>
      <c r="J12" s="275" t="s">
        <v>33</v>
      </c>
      <c r="K12" s="43" t="s">
        <v>35</v>
      </c>
      <c r="L12" s="276" t="n"/>
      <c r="M12" s="276" t="n"/>
      <c r="N12" s="277" t="n"/>
    </row>
    <row customHeight="1" ht="21" r="14" s="386" spans="1:14">
      <c r="A14" s="400" t="s">
        <v>36</v>
      </c>
      <c r="B14" s="400" t="n"/>
      <c r="C14" s="400" t="n"/>
      <c r="D14" s="400" t="n"/>
      <c r="E14" s="400" t="n"/>
      <c r="F14" s="30" t="n"/>
      <c r="G14" s="30" t="n"/>
      <c r="H14" s="30" t="n"/>
      <c r="J14" s="400" t="s">
        <v>36</v>
      </c>
      <c r="K14" s="400" t="n"/>
      <c r="L14" s="400" t="n"/>
      <c r="M14" s="400" t="n"/>
      <c r="N14" s="400" t="n"/>
    </row>
    <row r="15" spans="1:14">
      <c r="A15" s="46" t="s">
        <v>37</v>
      </c>
      <c r="B15" s="33" t="s">
        <v>38</v>
      </c>
      <c r="C15" s="401" t="s">
        <v>39</v>
      </c>
      <c r="D15" s="401" t="n"/>
      <c r="E15" s="401" t="n"/>
      <c r="F15" s="299" t="n"/>
      <c r="G15" s="299" t="n"/>
      <c r="H15" s="299" t="n"/>
      <c r="J15" s="31" t="s">
        <v>37</v>
      </c>
      <c r="K15" s="48" t="s">
        <v>38</v>
      </c>
      <c r="L15" s="401" t="s">
        <v>40</v>
      </c>
      <c r="M15" s="401" t="n"/>
      <c r="N15" s="401" t="n"/>
    </row>
    <row customHeight="1" ht="14.45" r="16" s="386" spans="1:14">
      <c r="A16" s="64" t="n"/>
      <c r="B16" s="6" t="s">
        <v>41</v>
      </c>
      <c r="C16" s="402" t="s">
        <v>42</v>
      </c>
      <c r="D16" s="402" t="n"/>
      <c r="E16" s="402" t="n"/>
      <c r="F16" s="50" t="n"/>
      <c r="J16" s="67" t="n"/>
      <c r="K16" s="52" t="s">
        <v>41</v>
      </c>
      <c r="L16" s="402" t="s">
        <v>43</v>
      </c>
      <c r="M16" s="402" t="n"/>
      <c r="N16" s="402" t="n"/>
    </row>
    <row r="17" spans="1:14">
      <c r="A17" s="53" t="s">
        <v>44</v>
      </c>
      <c r="B17" s="54" t="n">
        <v>75</v>
      </c>
      <c r="E17" s="38" t="n"/>
      <c r="J17" s="36" t="s">
        <v>44</v>
      </c>
      <c r="K17" s="39" t="n"/>
      <c r="N17" s="38" t="n"/>
    </row>
    <row r="18" spans="1:14">
      <c r="A18" s="53" t="s">
        <v>45</v>
      </c>
      <c r="B18" s="55" t="n">
        <v>0.03</v>
      </c>
      <c r="E18" s="38" t="n"/>
      <c r="J18" s="36" t="s">
        <v>45</v>
      </c>
      <c r="K18" s="56" t="n"/>
      <c r="N18" s="38" t="n"/>
    </row>
    <row r="19" spans="1:14">
      <c r="A19" s="53" t="s">
        <v>46</v>
      </c>
      <c r="B19" t="s">
        <v>38</v>
      </c>
      <c r="C19" s="92" t="n">
        <v>30</v>
      </c>
      <c r="D19" t="s">
        <v>41</v>
      </c>
      <c r="E19" s="58" t="n">
        <v>39</v>
      </c>
      <c r="F19" s="85" t="n"/>
      <c r="J19" s="36" t="s">
        <v>46</v>
      </c>
      <c r="K19" s="60" t="s">
        <v>38</v>
      </c>
      <c r="L19" s="92" t="n"/>
      <c r="M19" t="s">
        <v>41</v>
      </c>
      <c r="N19" s="58" t="n"/>
    </row>
    <row r="20" spans="1:14">
      <c r="A20" s="53" t="s">
        <v>47</v>
      </c>
      <c r="B20" t="s">
        <v>38</v>
      </c>
      <c r="C20" s="92" t="n">
        <v>91.06</v>
      </c>
      <c r="D20" t="s">
        <v>41</v>
      </c>
      <c r="E20" s="58" t="n">
        <v>97.95</v>
      </c>
      <c r="F20" s="85" t="n"/>
      <c r="J20" s="36" t="s">
        <v>47</v>
      </c>
      <c r="K20" s="60" t="s">
        <v>38</v>
      </c>
      <c r="L20" s="92" t="n"/>
      <c r="M20" t="s">
        <v>41</v>
      </c>
      <c r="N20" s="58" t="n"/>
    </row>
    <row r="21" spans="1:14">
      <c r="A21" s="53" t="s">
        <v>48</v>
      </c>
      <c r="B21" t="s">
        <v>38</v>
      </c>
      <c r="C21" s="61" t="n">
        <v>167</v>
      </c>
      <c r="D21" t="s">
        <v>41</v>
      </c>
      <c r="E21" s="62">
        <f>E20/(C20/C21)-6.29</f>
        <v/>
      </c>
      <c r="F21" s="298" t="n"/>
      <c r="J21" s="36" t="s">
        <v>48</v>
      </c>
      <c r="K21" s="60" t="s">
        <v>38</v>
      </c>
      <c r="L21" s="92" t="n"/>
      <c r="M21" t="s">
        <v>41</v>
      </c>
      <c r="N21" s="62" t="n"/>
    </row>
    <row r="22" spans="1:14">
      <c r="A22" s="64" t="s">
        <v>49</v>
      </c>
      <c r="B22" t="s">
        <v>38</v>
      </c>
      <c r="C22" s="65" t="s">
        <v>50</v>
      </c>
      <c r="D22" t="s">
        <v>41</v>
      </c>
      <c r="E22" s="66" t="s">
        <v>50</v>
      </c>
      <c r="F22" s="85" t="n"/>
      <c r="J22" s="67" t="s">
        <v>49</v>
      </c>
      <c r="K22" s="60" t="s">
        <v>38</v>
      </c>
      <c r="L22" s="92" t="n"/>
      <c r="M22" t="s">
        <v>41</v>
      </c>
      <c r="N22" s="58" t="n"/>
    </row>
    <row customHeight="1" ht="104.25" r="23" s="386" spans="1:14">
      <c r="A23" s="64" t="s">
        <v>51</v>
      </c>
      <c r="B23" s="6" t="s">
        <v>38</v>
      </c>
      <c r="C23" s="68" t="s">
        <v>52</v>
      </c>
      <c r="D23" s="6" t="s">
        <v>41</v>
      </c>
      <c r="E23" s="69" t="s">
        <v>53</v>
      </c>
      <c r="F23" s="50" t="n"/>
      <c r="J23" s="67" t="s">
        <v>51</v>
      </c>
      <c r="K23" s="70" t="s">
        <v>38</v>
      </c>
      <c r="L23" s="71" t="n"/>
      <c r="M23" s="6" t="s">
        <v>41</v>
      </c>
      <c r="N23" s="72" t="n"/>
    </row>
    <row r="24" spans="1:14">
      <c r="A24" s="64" t="s">
        <v>54</v>
      </c>
      <c r="B24" s="403" t="s">
        <v>55</v>
      </c>
      <c r="C24" s="403" t="n"/>
      <c r="D24" s="403" t="n"/>
      <c r="E24" s="403" t="n"/>
      <c r="F24" s="299" t="n"/>
      <c r="J24" s="67" t="s">
        <v>54</v>
      </c>
      <c r="K24" s="403" t="n"/>
      <c r="L24" s="403" t="n"/>
      <c r="M24" s="403" t="n"/>
      <c r="N24" s="403" t="n"/>
    </row>
    <row customHeight="1" ht="30" r="25" s="386" spans="1:14">
      <c r="A25" s="53" t="s">
        <v>56</v>
      </c>
      <c r="B25" s="403" t="s">
        <v>57</v>
      </c>
      <c r="C25" s="403" t="n"/>
      <c r="D25" s="403" t="n"/>
      <c r="E25" s="403" t="n"/>
      <c r="F25" s="299" t="n"/>
      <c r="G25" s="73" t="s">
        <v>58</v>
      </c>
      <c r="H25" s="14" t="s">
        <v>59</v>
      </c>
      <c r="J25" s="36" t="s">
        <v>56</v>
      </c>
      <c r="K25" s="403" t="n"/>
      <c r="L25" s="403" t="n"/>
      <c r="M25" s="403" t="n"/>
      <c r="N25" s="403" t="n"/>
    </row>
    <row r="26" spans="1:14">
      <c r="A26" s="275" t="s">
        <v>60</v>
      </c>
      <c r="B26" s="404" t="s">
        <v>61</v>
      </c>
      <c r="C26" s="404" t="n"/>
      <c r="D26" s="404" t="n"/>
      <c r="E26" s="404" t="n"/>
      <c r="F26" s="299" t="n"/>
      <c r="G26" s="74" t="s">
        <v>62</v>
      </c>
      <c r="H26" s="75" t="s">
        <v>63</v>
      </c>
      <c r="J26" s="275" t="s">
        <v>60</v>
      </c>
      <c r="K26" s="404" t="n"/>
      <c r="L26" s="404" t="n"/>
      <c r="M26" s="404" t="n"/>
      <c r="N26" s="404" t="n"/>
    </row>
    <row r="27" spans="1:14">
      <c r="C27" s="85" t="n"/>
      <c r="E27" s="85" t="n"/>
      <c r="F27" s="85" t="n"/>
      <c r="G27" s="76" t="s">
        <v>64</v>
      </c>
      <c r="H27" s="77" t="s">
        <v>63</v>
      </c>
      <c r="L27" s="85" t="n"/>
      <c r="N27" s="85" t="n"/>
    </row>
    <row customHeight="1" ht="21" r="28" s="386" spans="1:14">
      <c r="A28" s="405" t="s">
        <v>65</v>
      </c>
      <c r="B28" s="405" t="n"/>
      <c r="C28" s="405" t="n"/>
      <c r="D28" s="405" t="n"/>
      <c r="E28" s="405" t="n"/>
      <c r="F28" s="30" t="n"/>
      <c r="G28" s="76" t="s">
        <v>66</v>
      </c>
      <c r="H28" s="77" t="s">
        <v>63</v>
      </c>
      <c r="J28" s="405" t="s">
        <v>65</v>
      </c>
      <c r="K28" s="405" t="n"/>
      <c r="L28" s="405" t="n"/>
      <c r="M28" s="405" t="n"/>
      <c r="N28" s="405" t="n"/>
    </row>
    <row r="29" spans="1:14">
      <c r="A29" s="31" t="s">
        <v>67</v>
      </c>
      <c r="B29" s="78">
        <f>113600*(1+B31)^2</f>
        <v/>
      </c>
      <c r="C29" s="33" t="n"/>
      <c r="D29" s="33" t="n"/>
      <c r="E29" s="34" t="n"/>
      <c r="G29" s="76" t="s">
        <v>68</v>
      </c>
      <c r="H29" s="77" t="s">
        <v>63</v>
      </c>
      <c r="J29" s="31" t="s">
        <v>67</v>
      </c>
      <c r="K29" s="78" t="n"/>
      <c r="L29" s="33" t="n"/>
      <c r="M29" s="33" t="n"/>
      <c r="N29" s="34" t="n"/>
    </row>
    <row r="30" spans="1:14">
      <c r="A30" s="36" t="s">
        <v>69</v>
      </c>
      <c r="B30" s="79" t="n">
        <v>0.0155</v>
      </c>
      <c r="E30" s="38" t="n"/>
      <c r="G30" s="76" t="s">
        <v>70</v>
      </c>
      <c r="H30" s="77" t="s">
        <v>63</v>
      </c>
      <c r="J30" s="36" t="s">
        <v>69</v>
      </c>
      <c r="K30" s="79" t="n"/>
      <c r="N30" s="38" t="n"/>
    </row>
    <row r="31" spans="1:14">
      <c r="A31" s="36" t="s">
        <v>71</v>
      </c>
      <c r="B31" s="80" t="n">
        <v>0.005</v>
      </c>
      <c r="E31" s="38" t="n"/>
      <c r="G31" s="76" t="s">
        <v>72</v>
      </c>
      <c r="H31" s="77" t="s">
        <v>63</v>
      </c>
      <c r="J31" s="36" t="s">
        <v>71</v>
      </c>
      <c r="K31" s="80" t="n"/>
      <c r="N31" s="38" t="n"/>
    </row>
    <row r="32" spans="1:14">
      <c r="A32" s="36" t="s">
        <v>73</v>
      </c>
      <c r="B32" s="81" t="s">
        <v>74</v>
      </c>
      <c r="C32" s="92" t="n">
        <v>4</v>
      </c>
      <c r="D32" s="299" t="s">
        <v>75</v>
      </c>
      <c r="E32" s="58" t="n">
        <v>5</v>
      </c>
      <c r="F32" s="85" t="n"/>
      <c r="G32" s="76" t="s">
        <v>76</v>
      </c>
      <c r="H32" s="77" t="s">
        <v>77</v>
      </c>
      <c r="J32" s="36" t="s">
        <v>73</v>
      </c>
      <c r="K32" s="81" t="s">
        <v>74</v>
      </c>
      <c r="L32" s="92" t="n"/>
      <c r="M32" s="299" t="s">
        <v>75</v>
      </c>
      <c r="N32" s="58" t="n"/>
    </row>
    <row r="33" spans="1:14">
      <c r="A33" s="275" t="s">
        <v>78</v>
      </c>
      <c r="B33" s="82" t="s">
        <v>79</v>
      </c>
      <c r="C33" s="83" t="n">
        <v>11.58</v>
      </c>
      <c r="D33" s="276" t="s">
        <v>80</v>
      </c>
      <c r="E33" s="84" t="n">
        <v>20.43</v>
      </c>
      <c r="F33" s="85" t="n"/>
      <c r="G33" s="76" t="s">
        <v>81</v>
      </c>
      <c r="H33" s="77" t="s">
        <v>77</v>
      </c>
      <c r="J33" s="275" t="s">
        <v>78</v>
      </c>
      <c r="K33" s="82" t="s">
        <v>79</v>
      </c>
      <c r="L33" s="83" t="n"/>
      <c r="M33" s="276" t="s">
        <v>80</v>
      </c>
      <c r="N33" s="84" t="n"/>
    </row>
    <row r="34" spans="1:14">
      <c r="B34" s="85" t="n"/>
      <c r="G34" s="76" t="s">
        <v>82</v>
      </c>
      <c r="H34" s="77" t="s">
        <v>77</v>
      </c>
    </row>
    <row customHeight="1" ht="21" r="35" s="386" spans="1:14">
      <c r="A35" s="400" t="s">
        <v>83</v>
      </c>
      <c r="B35" s="400" t="n"/>
      <c r="C35" s="400" t="n"/>
      <c r="D35" s="400" t="n"/>
      <c r="E35" s="400" t="n"/>
      <c r="F35" s="30" t="n"/>
      <c r="G35" s="76" t="s">
        <v>84</v>
      </c>
      <c r="H35" s="77" t="s">
        <v>77</v>
      </c>
      <c r="J35" s="400" t="s">
        <v>83</v>
      </c>
      <c r="K35" s="400" t="n"/>
      <c r="L35" s="400" t="n"/>
      <c r="M35" s="400" t="n"/>
      <c r="N35" s="400" t="n"/>
    </row>
    <row r="36" spans="1:14">
      <c r="A36" s="31" t="s">
        <v>85</v>
      </c>
      <c r="B36" s="86" t="s">
        <v>38</v>
      </c>
      <c r="C36" s="423" t="n">
        <v>5</v>
      </c>
      <c r="D36" s="33" t="s">
        <v>41</v>
      </c>
      <c r="E36" s="88" t="n">
        <v>5</v>
      </c>
      <c r="F36" s="85" t="n"/>
      <c r="G36" s="76" t="s">
        <v>86</v>
      </c>
      <c r="H36" s="77" t="s">
        <v>63</v>
      </c>
      <c r="J36" s="31" t="s">
        <v>85</v>
      </c>
      <c r="K36" s="86" t="s">
        <v>38</v>
      </c>
      <c r="L36" s="423" t="n"/>
      <c r="M36" s="33" t="s">
        <v>41</v>
      </c>
      <c r="N36" s="88" t="n"/>
    </row>
    <row r="37" spans="1:14">
      <c r="A37" s="36" t="s">
        <v>87</v>
      </c>
      <c r="B37" s="89" t="s">
        <v>38</v>
      </c>
      <c r="C37" s="92">
        <f>C19</f>
        <v/>
      </c>
      <c r="D37" t="s">
        <v>41</v>
      </c>
      <c r="E37" s="58">
        <f>E19</f>
        <v/>
      </c>
      <c r="F37" s="85" t="n"/>
      <c r="G37" s="76" t="s">
        <v>88</v>
      </c>
      <c r="H37" s="77" t="s">
        <v>63</v>
      </c>
      <c r="J37" s="36" t="s">
        <v>87</v>
      </c>
      <c r="K37" s="89" t="s">
        <v>38</v>
      </c>
      <c r="L37" s="92">
        <f>L19</f>
        <v/>
      </c>
      <c r="M37" t="s">
        <v>41</v>
      </c>
      <c r="N37" s="58">
        <f>N19</f>
        <v/>
      </c>
    </row>
    <row r="38" spans="1:14">
      <c r="A38" s="36" t="s">
        <v>89</v>
      </c>
      <c r="B38" s="89" t="s">
        <v>38</v>
      </c>
      <c r="C38" s="92" t="n">
        <v>10</v>
      </c>
      <c r="D38" t="s">
        <v>41</v>
      </c>
      <c r="E38" s="58" t="n">
        <v>10</v>
      </c>
      <c r="F38" s="85" t="n"/>
      <c r="G38" s="76" t="s">
        <v>90</v>
      </c>
      <c r="H38" s="77" t="s">
        <v>63</v>
      </c>
      <c r="J38" s="36" t="s">
        <v>89</v>
      </c>
      <c r="K38" s="89" t="s">
        <v>38</v>
      </c>
      <c r="L38" s="92" t="n"/>
      <c r="M38" t="s">
        <v>41</v>
      </c>
      <c r="N38" s="58" t="n"/>
    </row>
    <row r="39" spans="1:14">
      <c r="A39" s="36" t="s">
        <v>91</v>
      </c>
      <c r="B39" s="89" t="s">
        <v>38</v>
      </c>
      <c r="C39" s="92" t="n">
        <v>60</v>
      </c>
      <c r="D39" t="s">
        <v>41</v>
      </c>
      <c r="E39" s="58">
        <f>C39*0.9</f>
        <v/>
      </c>
      <c r="F39" s="85" t="n"/>
      <c r="G39" s="76" t="s">
        <v>92</v>
      </c>
      <c r="H39" s="77" t="s">
        <v>63</v>
      </c>
      <c r="J39" s="36" t="s">
        <v>91</v>
      </c>
      <c r="K39" s="89" t="s">
        <v>38</v>
      </c>
      <c r="L39" s="92" t="n"/>
      <c r="M39" t="s">
        <v>41</v>
      </c>
      <c r="N39" s="58" t="n"/>
    </row>
    <row r="40" spans="1:14">
      <c r="A40" s="36" t="s">
        <v>93</v>
      </c>
      <c r="B40" s="89" t="s">
        <v>38</v>
      </c>
      <c r="C40" s="92">
        <f>IF(MOD(B17,C36)=0, ROUNDDOWN(B17/C36,0)-1,ROUNDDOWN(B17/C36,0))</f>
        <v/>
      </c>
      <c r="D40" t="s">
        <v>41</v>
      </c>
      <c r="E40" s="58">
        <f>IF(MOD(B17,E36)=0, ROUNDDOWN(B17/E36,0)-1,ROUNDDOWN(B17/E36,0))</f>
        <v/>
      </c>
      <c r="F40" s="85" t="n"/>
      <c r="G40" s="76" t="s">
        <v>94</v>
      </c>
      <c r="H40" s="77" t="s">
        <v>63</v>
      </c>
      <c r="J40" s="36" t="s">
        <v>93</v>
      </c>
      <c r="K40" s="89" t="s">
        <v>38</v>
      </c>
      <c r="L40" s="92">
        <f>IFERROR(IF(MOD(K17,L36)=0, ROUNDDOWN(K17/L36,0)-1,ROUNDDOWN(K17/L36,0)),0)</f>
        <v/>
      </c>
      <c r="M40" t="s">
        <v>41</v>
      </c>
      <c r="N40" s="58">
        <f>IFERROR(IF(MOD(K17,N36)=0, ROUNDDOWN(K17/N36,0)-1,ROUNDDOWN(K17/N36,0)),0)</f>
        <v/>
      </c>
    </row>
    <row r="41" spans="1:14">
      <c r="A41" s="36" t="s">
        <v>95</v>
      </c>
      <c r="B41" s="89" t="s">
        <v>38</v>
      </c>
      <c r="C41" s="92">
        <f>IF(MOD(B17,C37)=0, ROUNDDOWN(B17/C37,0)-1,ROUNDDOWN(B17/C37,0))</f>
        <v/>
      </c>
      <c r="D41" t="s">
        <v>41</v>
      </c>
      <c r="E41" s="58">
        <f>IF(MOD(B17,E37)=0, ROUNDDOWN(B17/E37,0)-1,ROUNDDOWN(B17/E37,0))</f>
        <v/>
      </c>
      <c r="F41" s="85" t="n"/>
      <c r="G41" s="76" t="s">
        <v>96</v>
      </c>
      <c r="H41" s="77" t="s">
        <v>77</v>
      </c>
      <c r="J41" s="36" t="s">
        <v>95</v>
      </c>
      <c r="K41" s="89" t="s">
        <v>38</v>
      </c>
      <c r="L41" s="92">
        <f>IFERROR(IF(MOD(K17,L37)=0, ROUNDDOWN(K17/L37,0)-1,ROUNDDOWN(K17/L37,0)),0)</f>
        <v/>
      </c>
      <c r="M41" t="s">
        <v>41</v>
      </c>
      <c r="N41" s="58">
        <f>IFERROR(IF(MOD(K17,N37)=0, ROUNDDOWN(K17/N37,0)-1,ROUNDDOWN(K17/N37,0)),0)</f>
        <v/>
      </c>
    </row>
    <row r="42" spans="1:14">
      <c r="A42" s="36" t="s">
        <v>97</v>
      </c>
      <c r="B42" s="89" t="n"/>
      <c r="C42" s="85" t="n"/>
      <c r="E42" s="90" t="n"/>
      <c r="F42" s="85" t="n"/>
      <c r="G42" s="76" t="s">
        <v>98</v>
      </c>
      <c r="H42" s="77" t="s">
        <v>77</v>
      </c>
      <c r="J42" s="36" t="s">
        <v>97</v>
      </c>
      <c r="K42" s="89" t="n"/>
      <c r="L42" s="85" t="n"/>
      <c r="N42" s="90" t="n"/>
    </row>
    <row r="43" spans="1:14">
      <c r="A43" s="91" t="s">
        <v>99</v>
      </c>
      <c r="B43" s="89" t="s">
        <v>38</v>
      </c>
      <c r="C43" s="92" t="n">
        <v>2</v>
      </c>
      <c r="D43" t="s">
        <v>41</v>
      </c>
      <c r="E43" s="58" t="n">
        <v>2</v>
      </c>
      <c r="F43" s="85" t="n"/>
      <c r="G43" s="76" t="s">
        <v>100</v>
      </c>
      <c r="H43" s="77" t="s">
        <v>77</v>
      </c>
      <c r="J43" s="91" t="s">
        <v>99</v>
      </c>
      <c r="K43" s="89" t="s">
        <v>38</v>
      </c>
      <c r="L43" s="92" t="n"/>
      <c r="M43" t="s">
        <v>41</v>
      </c>
      <c r="N43" s="58" t="n"/>
    </row>
    <row r="44" spans="1:14">
      <c r="A44" s="91" t="s">
        <v>101</v>
      </c>
      <c r="B44" s="89" t="s">
        <v>38</v>
      </c>
      <c r="C44" s="92" t="n">
        <v>1</v>
      </c>
      <c r="D44" t="s">
        <v>41</v>
      </c>
      <c r="E44" s="58" t="n">
        <v>1</v>
      </c>
      <c r="F44" s="85" t="n"/>
      <c r="G44" s="76" t="s">
        <v>102</v>
      </c>
      <c r="H44" s="77" t="s">
        <v>77</v>
      </c>
      <c r="J44" s="91" t="s">
        <v>101</v>
      </c>
      <c r="K44" s="89" t="s">
        <v>38</v>
      </c>
      <c r="L44" s="92" t="n"/>
      <c r="M44" t="s">
        <v>41</v>
      </c>
      <c r="N44" s="58" t="n"/>
    </row>
    <row r="45" spans="1:14">
      <c r="A45" s="36" t="s">
        <v>103</v>
      </c>
      <c r="B45" s="89" t="s">
        <v>104</v>
      </c>
      <c r="C45" s="92" t="n">
        <v>1480</v>
      </c>
      <c r="D45" t="s">
        <v>105</v>
      </c>
      <c r="E45" s="92" t="n">
        <v>1900</v>
      </c>
      <c r="F45" s="85" t="n"/>
      <c r="G45" s="76" t="s">
        <v>106</v>
      </c>
      <c r="H45" s="77" t="s">
        <v>63</v>
      </c>
      <c r="J45" s="36" t="s">
        <v>107</v>
      </c>
      <c r="K45" s="89" t="n"/>
      <c r="L45" s="85" t="n"/>
      <c r="N45" s="90" t="n"/>
    </row>
    <row r="46" spans="1:14">
      <c r="A46" s="36" t="s">
        <v>108</v>
      </c>
      <c r="B46" s="92" t="n">
        <v>15</v>
      </c>
      <c r="C46" s="85" t="n"/>
      <c r="E46" s="90" t="n"/>
      <c r="F46" s="85" t="n"/>
      <c r="G46" s="76" t="s">
        <v>109</v>
      </c>
      <c r="H46" s="77" t="s">
        <v>63</v>
      </c>
      <c r="J46" s="91" t="s">
        <v>101</v>
      </c>
      <c r="K46" s="89" t="s">
        <v>38</v>
      </c>
      <c r="L46" s="92" t="n"/>
      <c r="M46" t="s">
        <v>41</v>
      </c>
      <c r="N46" s="58" t="n"/>
    </row>
    <row r="47" spans="1:14">
      <c r="A47" s="93" t="s">
        <v>110</v>
      </c>
      <c r="B47" s="89" t="s">
        <v>38</v>
      </c>
      <c r="C47" s="92" t="n">
        <v>65</v>
      </c>
      <c r="D47" t="s">
        <v>41</v>
      </c>
      <c r="E47" s="58" t="n">
        <v>65</v>
      </c>
      <c r="F47" s="85" t="n"/>
      <c r="G47" s="76" t="s">
        <v>111</v>
      </c>
      <c r="H47" s="77" t="s">
        <v>63</v>
      </c>
      <c r="J47" s="93" t="s">
        <v>110</v>
      </c>
      <c r="K47" s="89" t="s">
        <v>38</v>
      </c>
      <c r="L47" s="92" t="n"/>
      <c r="M47" t="s">
        <v>41</v>
      </c>
      <c r="N47" s="58" t="n"/>
    </row>
    <row r="48" spans="1:14">
      <c r="A48" s="93" t="s">
        <v>112</v>
      </c>
      <c r="B48" s="89" t="s">
        <v>38</v>
      </c>
      <c r="C48" s="92" t="n">
        <v>40</v>
      </c>
      <c r="D48" t="s">
        <v>41</v>
      </c>
      <c r="E48" s="58" t="n">
        <v>40</v>
      </c>
      <c r="F48" s="85" t="n"/>
      <c r="G48" s="76" t="s">
        <v>113</v>
      </c>
      <c r="H48" s="77" t="s">
        <v>63</v>
      </c>
      <c r="J48" s="93" t="s">
        <v>112</v>
      </c>
      <c r="K48" s="89" t="s">
        <v>38</v>
      </c>
      <c r="L48" s="92" t="n"/>
      <c r="M48" t="s">
        <v>41</v>
      </c>
      <c r="N48" s="58" t="n"/>
    </row>
    <row r="49" spans="1:14">
      <c r="A49" s="94" t="s">
        <v>114</v>
      </c>
      <c r="B49" s="95" t="s">
        <v>38</v>
      </c>
      <c r="C49" s="83" t="n">
        <v>20</v>
      </c>
      <c r="D49" s="276" t="s">
        <v>41</v>
      </c>
      <c r="E49" s="84" t="n">
        <v>20</v>
      </c>
      <c r="F49" s="85" t="n"/>
      <c r="G49" s="96" t="s">
        <v>115</v>
      </c>
      <c r="H49" s="97" t="s">
        <v>63</v>
      </c>
      <c r="J49" s="94" t="s">
        <v>114</v>
      </c>
      <c r="K49" s="95" t="s">
        <v>38</v>
      </c>
      <c r="L49" s="83" t="n"/>
      <c r="M49" s="276" t="s">
        <v>41</v>
      </c>
      <c r="N49" s="84" t="n"/>
    </row>
    <row customHeight="1" ht="23.25" r="51" s="386" spans="1:14">
      <c r="A51" s="98" t="s">
        <v>116</v>
      </c>
      <c r="C51" s="99" t="n"/>
      <c r="J51" s="98" t="s">
        <v>116</v>
      </c>
    </row>
    <row customHeight="1" ht="23.25" r="52" s="386" spans="1:14">
      <c r="A52" s="406" t="s">
        <v>117</v>
      </c>
      <c r="B52" s="406" t="n"/>
      <c r="C52" s="406" t="n"/>
      <c r="D52" s="406" t="n"/>
      <c r="E52" s="406" t="n"/>
      <c r="F52" s="100" t="n"/>
      <c r="G52" s="100" t="n"/>
      <c r="H52" s="100" t="n"/>
      <c r="J52" s="407" t="s">
        <v>117</v>
      </c>
      <c r="K52" s="407" t="n"/>
      <c r="L52" s="407" t="n"/>
      <c r="M52" s="407" t="n"/>
      <c r="N52" s="407" t="n"/>
    </row>
    <row r="53" spans="1:14">
      <c r="A53" s="31" t="s">
        <v>118</v>
      </c>
      <c r="B53" s="86" t="s">
        <v>38</v>
      </c>
      <c r="C53" s="101">
        <f>(C21*B10*B11+C21*B10*B11*0.05+(C21*B10*B11+C21*B10*B11*0.05)*(0.2+0.1))/1.8</f>
        <v/>
      </c>
      <c r="D53" s="33" t="s">
        <v>41</v>
      </c>
      <c r="E53" s="102">
        <f>((E21*$B$10*$B$11)+(E21*$B$10*$B$11)*0.05+((E21*$B$10*$B$11)+(E21*$B$10*$B$11)*0.05)*(0.2+0.1))/1.8</f>
        <v/>
      </c>
      <c r="F53" s="306" t="n"/>
      <c r="G53" s="306" t="n"/>
      <c r="H53" s="306" t="n"/>
      <c r="J53" s="31" t="s">
        <v>118</v>
      </c>
      <c r="K53" s="86" t="s">
        <v>38</v>
      </c>
      <c r="L53" s="101">
        <f>(L21*K10*K11+L21*K10*K11*0.05+(L21*K10*K11+L21*K10*K11*0.05)*(0.2+0.1))/1.8</f>
        <v/>
      </c>
      <c r="M53" s="33" t="s">
        <v>41</v>
      </c>
      <c r="N53" s="102">
        <f>((N21*$K$10*$K$11)+(N21*$K$10*$K$11)*0.05+((N21*$K$10*$K$11)+(N21*$K$10*$K$11)*0.05)*(0.2+0.1))/1.8</f>
        <v/>
      </c>
    </row>
    <row r="54" spans="1:14">
      <c r="A54" s="36" t="s">
        <v>119</v>
      </c>
      <c r="B54" s="89" t="s">
        <v>38</v>
      </c>
      <c r="C54" s="104">
        <f>IF(1&lt;=C40, 0.05*C53/(1+B18)^(C36*1),0)+IF(2&lt;=C40,0.05*C53/(1+B18)^(C36*2),0)+IF(3&lt;=C40,0.05*C53/(1+B18)^(C36*3),0)+IF(4&lt;=C40,0.05*C53/(1+B18)^(C36*4),0)+IF(5&lt;=C40,0.05*C53/(1+B18)^(C36*5),0)+IF(6&lt;=C40,0.05*C53/(1+B18)^(C36*6),0)+IF(7&lt;=C40,0.05*C53/(1+B18)^(C36*7),0)+IF(8&lt;=C40,0.05*C53/(1+B18)^(C36*8),0)+IF(9&lt;=C40,0.05*C53/(1+B18)^(C36*9),0)+IF(10&lt;=C40,0.05*C53/(1+B18)^(C36*10),10)+IF(11&lt;=C40,0.05*C53/(1+B18)^(C36*11),11)+IF(12&lt;=C40,0.05*C53/(1+B18)^(C36*12),0)+IF(13&lt;=C40,0.05*C53/(1+B18)^(C36*13),0)+IF(14&lt;=C40,0.05*C53/(1+B18)^(C36*14),0)+IF(15&lt;=C40,0.05*C53/(1+B18)^(C36*15),0)+IF(16&lt;=C40,0.05*C53/(1+B18)^(C36*16),0)+IF(17&lt;=C40,0.05*C53/(1+B18)^(C36*17),0)+IF(18&lt;=C40,0.05*C53/(1+B18)^(C36*18),0)+IF(19&lt;=C40,0.05*C53/(1+B18)^(C36*19),0)+IF(20&lt;=C40,0.05*C53/(1+B18)^(C36*20),0)</f>
        <v/>
      </c>
      <c r="D54" t="s">
        <v>41</v>
      </c>
      <c r="E54" s="105">
        <f>IF(1&lt;=E40,0.05*E53/(1+B18)^(E36*1),0)+IF(2&lt;=E40,0.05*E53/(1+B18)^(E36*2),0)+IF(3&lt;=E40,0.05*E53/(1+B18)^(E36*3),0)+IF(4&lt;=E40,0.05*E53/(1+B18)^(E36*4),0)+IF(5&lt;=E40,0.05*E53/(1+B18)^(E36*5),0)+IF(6&lt;=E40,0.05*E53/(1+B18)^(E36*6),0)+IF(7&lt;=E40,0.05*E53/(1+B18)^(E36*7),0)+IF(8&lt;=E40,0.05*E53/(1+B18)^(E36*8),0)+IF(9&lt;=E40,0.05*E53/(1+B18)^(E36*9),0)+IF(10&lt;=E40,0.05*E53/(1+B18)^(E36*10),0)+IF(11&lt;=E40,0.05*E53/(1+B18)^(E36*11),0)+IF(12&lt;=E40,0.05*E53/(1+B18)^(E36*12),12)+IF(13&lt;=E40,0.05*E53/(1+B18)^(E36*13),0)+IF(14&lt;=E40,0.05*E53/(1+B18)^(E36*14),0)+IF(15&lt;=E40,0.05*E53/(1+B18)^(E36*15),0)+IF(16&lt;=E40,0.05*E53/(1+B18)^(E36*16),0)+IF(17&lt;=E40,0.05*E53/(1+B18)^(E36*17),0)+IF(18&lt;=E40,0.05*E53/(1+B18)^(E36*18),0)+IF(19&lt;=E40,0.05*E53/(1+B18)^(E36*19),0)+IF(20&lt;=E40,0.05*E53/(1+B18)^(E36*20),0)</f>
        <v/>
      </c>
      <c r="F54" s="306" t="n"/>
      <c r="G54" s="306" t="n"/>
      <c r="H54" s="306" t="n"/>
      <c r="J54" s="36" t="s">
        <v>119</v>
      </c>
      <c r="K54" s="89" t="s">
        <v>38</v>
      </c>
      <c r="L54" s="104">
        <f>IF(1&lt;=L40, 0.05*L53/(1+K18)^(L36*1),0)+IF(2&lt;=L40,0.05*L53/(1+K18)^(L36*2),0)+IF(3&lt;=L40,0.05*L53/(1+K18)^(L36*3),0)+IF(4&lt;=L40,0.05*L53/(1+K18)^(L36*4),0)+IF(5&lt;=L40,0.05*L53/(1+K18)^(L36*5),0)+IF(6&lt;=L40,0.05*L53/(1+K18)^(L36*6),0)+IF(7&lt;=L40,0.05*L53/(1+K18)^(L36*7),0)+IF(8&lt;=L40,0.05*L53/(1+K18)^(L36*8),0)+IF(9&lt;=L40,0.05*L53/(1+K18)^(L36*9),0)+IF(10&lt;=L40,0.05*L53/(1+K18)^(L36*10),0)+IF(11&lt;=L40,0.05*L53/(1+K18)^(L36*11),0)+IF(12&lt;=L40,0.05*L53/(1+K18)^(L36*12),0)+IF(13&lt;=L40,0.05*L53/(1+K18)^(L36*13),0)+IF(14&lt;=L40,0.05*L53/(1+K18)^(L36*14),0)+IF(15&lt;=L40,0.05*L53/(1+K18)^(L36*15),0)+IF(16&lt;=L40,0.05*L53/(1+K18)^(L36*16),0)+IF(17&lt;=L40,0.05*L53/(1+K18)^(L36*17),0)+IF(18&lt;=L40,0.05*L53/(1+K18)^(L36*18),0)+IF(19&lt;=L40,0.05*L53/(1+K18)^(L36*19),0)+IF(20&lt;=L40,0.05*L53/(1+K18)^(L36*20),0)</f>
        <v/>
      </c>
      <c r="M54" t="s">
        <v>41</v>
      </c>
      <c r="N54" s="105">
        <f>IF(1&lt;=N40,0.05*N53/(1+K18)^(N36*1),0)+IF(2&lt;=N40,0.05*N53/(1+K18)^(N36*2),0)+IF(3&lt;=N40,0.05*N53/(1+K18)^(N36*3),0)+IF(4&lt;=N40,0.05*N53/(1+K18)^(N36*4),0)+IF(5&lt;=N40,0.05*N53/(1+K18)^(N36*5),0)+IF(6&lt;=N40,0.05*N53/(1+K18)^(N36*6),0)+IF(7&lt;=N40,0.05*N53/(1+K18)^(N36*7),0)+IF(8&lt;=N40,0.05*N53/(1+K18)^(N36*8),0)+IF(9&lt;=N40,0.05*N53/(1+K18)^(N36*9),0)+IF(10&lt;=N40,0.05*N53/(1+K18)^(N36*10),0)+IF(11&lt;=N40,0.05*N53/(1+K18)^(N36*11),0)+IF(12&lt;=N40,0.05*N53/(1+K18)^(N36*12),0)+IF(13&lt;=N40,0.05*N53/(1+K18)^(N36*13),0)+IF(14&lt;=N40,0.05*N53/(1+K18)^(N36*14),0)+IF(15&lt;=N40,0.05*N53/(1+K18)^(N36*15),0)+IF(16&lt;=N40,0.05*N53/(1+K18)^(N36*16),0)+IF(17&lt;=N40,0.05*N53/(1+K18)^(N36*17),0)+IF(18&lt;=N40,0.05*N53/(1+K18)^(N36*18),0)+IF(19&lt;=N40,0.05*N53/(1+K18)^(N36*19),0)+IF(20&lt;=N40,0.05*N53/(1+K18)^(N36*20),0)</f>
        <v/>
      </c>
    </row>
    <row r="55" spans="1:14">
      <c r="A55" s="36" t="s">
        <v>120</v>
      </c>
      <c r="B55" s="89" t="n"/>
      <c r="C55" s="106" t="n"/>
      <c r="E55" s="107" t="n"/>
      <c r="F55" s="106" t="n"/>
      <c r="G55" s="106" t="n"/>
      <c r="H55" s="106" t="n"/>
      <c r="J55" s="36" t="s">
        <v>120</v>
      </c>
      <c r="K55" s="89" t="n"/>
      <c r="L55" s="106" t="n"/>
      <c r="N55" s="107" t="n"/>
    </row>
    <row customHeight="1" ht="45" r="56" s="386" spans="1:14">
      <c r="A56" s="108" t="s">
        <v>121</v>
      </c>
      <c r="B56" s="109" t="s">
        <v>38</v>
      </c>
      <c r="C56" s="110">
        <f>(C21*$B$10*$B$11)/(1+$B$18)^C37+(C21*$B$10*$B$11)/(1+$B$18)^(C37*2)</f>
        <v/>
      </c>
      <c r="D56" s="6" t="s">
        <v>41</v>
      </c>
      <c r="E56" s="111">
        <f>IF(1&lt;=E41,(E21*$B$10*$B$11)/(1+$B$18)^(E19*1),0)+IF(2&lt;=E41,(E21*$B$10*$B$11)/(1+$B$18)^(E19*2),0)+IF(3&lt;=E41,(E21*$B$10*$B$11)/(1+$B$18)^(E19*3),0)</f>
        <v/>
      </c>
      <c r="F56" s="20" t="n"/>
      <c r="G56" s="20" t="n"/>
      <c r="H56" s="20" t="n"/>
      <c r="J56" s="108" t="s">
        <v>121</v>
      </c>
      <c r="K56" s="109" t="s">
        <v>38</v>
      </c>
      <c r="L56" s="110">
        <f>IF(1&lt;=L41,(L21*$K$10*$K$11)/(1+$K$18)^(L37*1),0)+ IF(2&lt;=L41, (L21*$K$10*$K$11)/(1+$K$18)^(L37*2),0)+ IF(3&lt;=L41, (L21*$K$10*$K$11)/(1+$K$18)^(L37*3),0)+ IF(4&lt;=L41, (L21*$K$10*$K$11)/(1+$K$18)^(L37*4),0)+ IF(5&lt;=L41, (L21*$K$10*$K$11)/(1+$K$18)^(L37*5),0)</f>
        <v/>
      </c>
      <c r="M56" s="6" t="s">
        <v>41</v>
      </c>
      <c r="N56" s="111">
        <f>IF(1&lt;=N41,(N21*$K$10*$K$11)/(1+$K$18)^(N37*1),0)+ IF(2&lt;=N41, (N21*$K$10*$K$11)/(1+$K$18)^(N37*2),0)+ IF(3&lt;=N41, (N21*$K$10*$K$11)/(1+$K$18)^(N37*3),0)+ IF(4&lt;=N41, (N21*$K$10*$K$11)/(1+$K$18)^(N37*4),0)+ IF(5&lt;=N41, (N21*$K$10*$K$11)/(1+$K$18)^(N37*5),0)</f>
        <v/>
      </c>
    </row>
    <row r="57" spans="1:14">
      <c r="A57" s="36" t="s">
        <v>122</v>
      </c>
      <c r="B57" s="89" t="s">
        <v>38</v>
      </c>
      <c r="C57" s="104">
        <f>C56*0.05</f>
        <v/>
      </c>
      <c r="D57" t="s">
        <v>41</v>
      </c>
      <c r="E57" s="105">
        <f>E56*0.05</f>
        <v/>
      </c>
      <c r="F57" s="306" t="n"/>
      <c r="G57" s="306" t="n"/>
      <c r="H57" s="306" t="n"/>
      <c r="J57" s="36" t="s">
        <v>122</v>
      </c>
      <c r="K57" s="89" t="s">
        <v>38</v>
      </c>
      <c r="L57" s="104">
        <f>L56*0.05</f>
        <v/>
      </c>
      <c r="M57" t="s">
        <v>41</v>
      </c>
      <c r="N57" s="105">
        <f>N56*0.05</f>
        <v/>
      </c>
    </row>
    <row r="58" spans="1:14">
      <c r="A58" s="36" t="s">
        <v>123</v>
      </c>
      <c r="B58" s="89" t="s">
        <v>38</v>
      </c>
      <c r="C58" s="104">
        <f>(C57+C56)*0.2</f>
        <v/>
      </c>
      <c r="D58" t="s">
        <v>41</v>
      </c>
      <c r="E58" s="105">
        <f>(E57+E56)*0.2</f>
        <v/>
      </c>
      <c r="F58" s="306" t="n"/>
      <c r="G58" s="306" t="n"/>
      <c r="H58" s="306" t="n"/>
      <c r="J58" s="36" t="s">
        <v>123</v>
      </c>
      <c r="K58" s="89" t="s">
        <v>38</v>
      </c>
      <c r="L58" s="104">
        <f>(L57+L56)*0.2</f>
        <v/>
      </c>
      <c r="M58" t="s">
        <v>41</v>
      </c>
      <c r="N58" s="105">
        <f>(N57+N56)*0.2</f>
        <v/>
      </c>
    </row>
    <row r="59" spans="1:14">
      <c r="A59" s="36" t="s">
        <v>124</v>
      </c>
      <c r="B59" s="89" t="s">
        <v>38</v>
      </c>
      <c r="C59" s="104">
        <f>(C56+C57)*0.1</f>
        <v/>
      </c>
      <c r="D59" t="s">
        <v>41</v>
      </c>
      <c r="E59" s="105">
        <f>(E56+E57)*0.1</f>
        <v/>
      </c>
      <c r="F59" s="306" t="n"/>
      <c r="G59" s="306" t="n"/>
      <c r="H59" s="306" t="n"/>
      <c r="J59" s="36" t="s">
        <v>124</v>
      </c>
      <c r="K59" s="89" t="s">
        <v>38</v>
      </c>
      <c r="L59" s="104">
        <f>(L56+L57)*0.1</f>
        <v/>
      </c>
      <c r="M59" t="s">
        <v>41</v>
      </c>
      <c r="N59" s="105">
        <f>(N56+N57)*0.1</f>
        <v/>
      </c>
    </row>
    <row r="60" spans="1:14">
      <c r="A60" s="91" t="s">
        <v>125</v>
      </c>
      <c r="B60" s="89" t="s">
        <v>38</v>
      </c>
      <c r="C60" s="104">
        <f>SUM(C56:C59)</f>
        <v/>
      </c>
      <c r="D60" t="s">
        <v>41</v>
      </c>
      <c r="E60" s="105">
        <f>SUM(E56:E59)</f>
        <v/>
      </c>
      <c r="F60" s="306" t="n"/>
      <c r="G60" s="306" t="n"/>
      <c r="H60" s="306" t="n"/>
      <c r="J60" s="91" t="s">
        <v>125</v>
      </c>
      <c r="K60" s="89" t="s">
        <v>38</v>
      </c>
      <c r="L60" s="104">
        <f>SUM(L56:L59)</f>
        <v/>
      </c>
      <c r="M60" t="s">
        <v>41</v>
      </c>
      <c r="N60" s="105">
        <f>SUM(N56:N59)</f>
        <v/>
      </c>
    </row>
    <row r="61" spans="1:14">
      <c r="A61" s="94" t="s">
        <v>126</v>
      </c>
      <c r="B61" s="95" t="s">
        <v>38</v>
      </c>
      <c r="C61" s="112">
        <f>-(C21*B10*B11+C21*B10*B11*0.05+(C21*B10*B11+C21*B10*B11*0.05)*(0.2+0.1))*((C19-(B17-C41*C19))/C19)/(1+B18)^B17</f>
        <v/>
      </c>
      <c r="D61" s="276" t="s">
        <v>41</v>
      </c>
      <c r="E61" s="113">
        <f>-(E21*B10*B11+E21*B10*B11*0.05+(E21*B10*B11+E21*B10*B11*0.05)*(0.2+0.1))*(E19-(B17-E41*E19))/E19/(1+B18)^B17</f>
        <v/>
      </c>
      <c r="F61" s="306" t="n"/>
      <c r="G61" s="306" t="n"/>
      <c r="H61" s="306" t="n"/>
      <c r="J61" s="93" t="s">
        <v>126</v>
      </c>
      <c r="K61" s="89" t="s">
        <v>38</v>
      </c>
      <c r="L61" s="114">
        <f>IFERROR(-(L21*K10*K11+L21*K10*K11*0.05+(L21*K10*K11+L21*K10*K11*0.05)*(0.2+0.1))*((L19-(K17-L41*L19))/L19)/(1+K18)^K17,0)</f>
        <v/>
      </c>
      <c r="M61" t="s">
        <v>41</v>
      </c>
      <c r="N61" s="115">
        <f>IFERROR(-(N21*K10*K11+N21*K10*K11*0.05+(N21*K10*K11+N21*K10*K11*0.05)*(0.2+0.1))*(N19-(K17-N41*N19))/N19/(1+K18)^K17,0)</f>
        <v/>
      </c>
    </row>
    <row r="62" spans="1:14">
      <c r="A62" s="116" t="s">
        <v>127</v>
      </c>
      <c r="B62" s="117" t="s">
        <v>38</v>
      </c>
      <c r="C62" s="118">
        <f>SUM(C53:C54,C60:C61)</f>
        <v/>
      </c>
      <c r="D62" s="119" t="s">
        <v>41</v>
      </c>
      <c r="E62" s="120">
        <f>SUM(E53:E54,E60:E61)</f>
        <v/>
      </c>
      <c r="F62" s="121" t="n"/>
      <c r="G62" s="122" t="n"/>
      <c r="H62" s="121" t="n"/>
      <c r="J62" s="123" t="s">
        <v>127</v>
      </c>
      <c r="K62" s="124" t="s">
        <v>38</v>
      </c>
      <c r="L62" s="125">
        <f>SUM(L53:L54,L60:L61)</f>
        <v/>
      </c>
      <c r="M62" s="126" t="s">
        <v>41</v>
      </c>
      <c r="N62" s="127">
        <f>SUM(N53:N54,N60:N61)</f>
        <v/>
      </c>
    </row>
    <row r="63" spans="1:14">
      <c r="E63" s="85" t="n"/>
      <c r="F63" s="85" t="n"/>
      <c r="G63" s="85" t="n"/>
      <c r="H63" s="85" t="n"/>
      <c r="N63" s="85" t="n"/>
    </row>
    <row customHeight="1" ht="23.25" r="64" s="386" spans="1:14">
      <c r="A64" s="407" t="s">
        <v>128</v>
      </c>
      <c r="B64" s="407" t="n"/>
      <c r="C64" s="407" t="n"/>
      <c r="D64" s="407" t="n"/>
      <c r="E64" s="407" t="n"/>
      <c r="F64" s="100" t="n"/>
      <c r="G64" s="100" t="n"/>
      <c r="H64" s="100" t="n"/>
      <c r="J64" s="407" t="s">
        <v>128</v>
      </c>
      <c r="K64" s="407" t="n"/>
      <c r="L64" s="407" t="n"/>
      <c r="M64" s="407" t="n"/>
      <c r="N64" s="407" t="n"/>
    </row>
    <row r="65" spans="1:14">
      <c r="A65" s="31" t="s">
        <v>129</v>
      </c>
      <c r="B65" s="48" t="s">
        <v>38</v>
      </c>
      <c r="C65" s="128">
        <f>'User &amp; Social Cost Worksheet'!B35</f>
        <v/>
      </c>
      <c r="D65" s="33" t="s">
        <v>41</v>
      </c>
      <c r="E65" s="129">
        <f>'User &amp; Social Cost Worksheet'!C35</f>
        <v/>
      </c>
      <c r="F65" s="143" t="n"/>
      <c r="G65" s="143" t="n"/>
      <c r="H65" s="143" t="n"/>
      <c r="J65" s="31" t="s">
        <v>129</v>
      </c>
      <c r="K65" s="48" t="s">
        <v>38</v>
      </c>
      <c r="L65" s="128">
        <f>#REF!</f>
        <v/>
      </c>
      <c r="M65" s="33" t="s">
        <v>41</v>
      </c>
      <c r="N65" s="129">
        <f>#REF!</f>
        <v/>
      </c>
    </row>
    <row r="66" spans="1:14">
      <c r="A66" s="36" t="s">
        <v>130</v>
      </c>
      <c r="B66" s="60" t="s">
        <v>38</v>
      </c>
      <c r="C66" s="131">
        <f>'User &amp; Social Cost Worksheet'!B36</f>
        <v/>
      </c>
      <c r="D66" t="s">
        <v>41</v>
      </c>
      <c r="E66" s="132">
        <f>'User &amp; Social Cost Worksheet'!C36</f>
        <v/>
      </c>
      <c r="F66" s="133" t="n"/>
      <c r="G66" s="133" t="n"/>
      <c r="H66" s="133" t="n"/>
      <c r="J66" s="36" t="s">
        <v>130</v>
      </c>
      <c r="K66" s="60" t="s">
        <v>38</v>
      </c>
      <c r="L66" s="134">
        <f>#REF!</f>
        <v/>
      </c>
      <c r="M66" t="s">
        <v>41</v>
      </c>
      <c r="N66" s="135">
        <f>#REF!</f>
        <v/>
      </c>
    </row>
    <row r="67" spans="1:14">
      <c r="A67" s="36" t="s">
        <v>131</v>
      </c>
      <c r="B67" s="60" t="s">
        <v>38</v>
      </c>
      <c r="C67" s="136">
        <f>'User &amp; Social Cost Worksheet'!B37</f>
        <v/>
      </c>
      <c r="D67" t="s">
        <v>41</v>
      </c>
      <c r="E67" s="137">
        <f>'User &amp; Social Cost Worksheet'!C37</f>
        <v/>
      </c>
      <c r="F67" s="133" t="n"/>
      <c r="G67" s="133" t="n"/>
      <c r="H67" s="133" t="n"/>
      <c r="J67" s="36" t="s">
        <v>131</v>
      </c>
      <c r="K67" s="60" t="s">
        <v>38</v>
      </c>
      <c r="L67" s="138">
        <f>#REF!</f>
        <v/>
      </c>
      <c r="M67" t="s">
        <v>41</v>
      </c>
      <c r="N67" s="139">
        <f>#REF!</f>
        <v/>
      </c>
    </row>
    <row r="68" spans="1:14">
      <c r="A68" s="123" t="s">
        <v>132</v>
      </c>
      <c r="B68" s="117" t="s">
        <v>38</v>
      </c>
      <c r="C68" s="125">
        <f>SUM(C65:C67)</f>
        <v/>
      </c>
      <c r="D68" s="126" t="s">
        <v>41</v>
      </c>
      <c r="E68" s="127">
        <f>SUM(E65:E67)</f>
        <v/>
      </c>
      <c r="F68" s="121" t="n"/>
      <c r="G68" s="121" t="n"/>
      <c r="H68" s="121" t="n"/>
      <c r="J68" s="123" t="s">
        <v>132</v>
      </c>
      <c r="K68" s="117" t="s">
        <v>38</v>
      </c>
      <c r="L68" s="125">
        <f>SUM(L65:L67)</f>
        <v/>
      </c>
      <c r="M68" s="126" t="s">
        <v>41</v>
      </c>
      <c r="N68" s="127">
        <f>SUM(N65:N67)</f>
        <v/>
      </c>
    </row>
    <row customHeight="1" ht="23.25" r="70" s="386" spans="1:14">
      <c r="A70" s="407" t="s">
        <v>133</v>
      </c>
      <c r="B70" s="407" t="n"/>
      <c r="C70" s="407" t="n"/>
      <c r="D70" s="407" t="n"/>
      <c r="E70" s="407" t="n"/>
      <c r="F70" s="100" t="n"/>
      <c r="G70" s="100" t="n"/>
      <c r="H70" s="100" t="n"/>
      <c r="J70" s="407" t="s">
        <v>133</v>
      </c>
      <c r="K70" s="407" t="n"/>
      <c r="L70" s="407" t="n"/>
      <c r="M70" s="407" t="n"/>
      <c r="N70" s="407" t="n"/>
    </row>
    <row r="71" spans="1:14">
      <c r="A71" s="31" t="s">
        <v>134</v>
      </c>
      <c r="B71" s="48" t="s">
        <v>38</v>
      </c>
      <c r="C71" s="128">
        <f>'User &amp; Social Cost Worksheet'!B38</f>
        <v/>
      </c>
      <c r="D71" s="33" t="s">
        <v>41</v>
      </c>
      <c r="E71" s="129">
        <f>'User &amp; Social Cost Worksheet'!C38</f>
        <v/>
      </c>
      <c r="F71" s="143" t="n"/>
      <c r="G71" s="143" t="n"/>
      <c r="H71" s="143" t="n"/>
      <c r="J71" s="31" t="s">
        <v>134</v>
      </c>
      <c r="K71" s="48" t="s">
        <v>38</v>
      </c>
      <c r="L71" s="128">
        <f>#REF!</f>
        <v/>
      </c>
      <c r="M71" s="33" t="s">
        <v>41</v>
      </c>
      <c r="N71" s="129">
        <f>#REF!</f>
        <v/>
      </c>
    </row>
    <row r="72" spans="1:14">
      <c r="A72" s="36" t="s">
        <v>135</v>
      </c>
      <c r="B72" s="60" t="s">
        <v>38</v>
      </c>
      <c r="C72" s="134" t="s">
        <v>50</v>
      </c>
      <c r="D72" t="s">
        <v>41</v>
      </c>
      <c r="E72" s="135" t="s">
        <v>50</v>
      </c>
      <c r="F72" s="143" t="n"/>
      <c r="G72" s="143" t="n"/>
      <c r="H72" s="143" t="n"/>
      <c r="J72" s="36" t="s">
        <v>135</v>
      </c>
      <c r="K72" s="60" t="s">
        <v>38</v>
      </c>
      <c r="L72" s="134" t="s">
        <v>50</v>
      </c>
      <c r="M72" t="s">
        <v>41</v>
      </c>
      <c r="N72" s="135" t="s">
        <v>50</v>
      </c>
    </row>
    <row r="73" spans="1:14">
      <c r="A73" s="275" t="s">
        <v>136</v>
      </c>
      <c r="B73" s="140" t="s">
        <v>38</v>
      </c>
      <c r="C73" s="141" t="s">
        <v>50</v>
      </c>
      <c r="D73" s="276" t="s">
        <v>41</v>
      </c>
      <c r="E73" s="142" t="s">
        <v>50</v>
      </c>
      <c r="F73" s="143" t="n"/>
      <c r="G73" s="143" t="n"/>
      <c r="H73" s="143" t="n"/>
      <c r="J73" s="275" t="s">
        <v>136</v>
      </c>
      <c r="K73" s="140" t="s">
        <v>38</v>
      </c>
      <c r="L73" s="141" t="s">
        <v>50</v>
      </c>
      <c r="M73" s="276" t="s">
        <v>41</v>
      </c>
      <c r="N73" s="142" t="s">
        <v>50</v>
      </c>
    </row>
    <row r="74" spans="1:14">
      <c r="A74" s="116" t="s">
        <v>137</v>
      </c>
      <c r="B74" s="117" t="s">
        <v>38</v>
      </c>
      <c r="C74" s="118">
        <f>SUM(C71:C73)</f>
        <v/>
      </c>
      <c r="D74" s="119" t="s">
        <v>41</v>
      </c>
      <c r="E74" s="120">
        <f>SUM(E71:E73)</f>
        <v/>
      </c>
      <c r="F74" s="121" t="n"/>
      <c r="G74" s="121" t="n"/>
      <c r="H74" s="121" t="n"/>
      <c r="J74" s="116" t="s">
        <v>137</v>
      </c>
      <c r="K74" s="117" t="s">
        <v>38</v>
      </c>
      <c r="L74" s="118">
        <f>SUM(L71:L73)</f>
        <v/>
      </c>
      <c r="M74" s="119" t="s">
        <v>41</v>
      </c>
      <c r="N74" s="120">
        <f>SUM(N71:N73)</f>
        <v/>
      </c>
    </row>
    <row r="76" spans="1:14">
      <c r="A76" s="31" t="s">
        <v>138</v>
      </c>
      <c r="B76" s="144" t="n">
        <v>0.3</v>
      </c>
      <c r="C76" s="33" t="n"/>
      <c r="D76" s="33" t="n"/>
      <c r="E76" s="34" t="n"/>
      <c r="J76" s="31" t="s">
        <v>138</v>
      </c>
      <c r="K76" s="144" t="n"/>
      <c r="L76" s="33" t="n"/>
      <c r="M76" s="33" t="n"/>
      <c r="N76" s="34" t="n"/>
    </row>
    <row r="77" spans="1:14">
      <c r="A77" s="275" t="s">
        <v>139</v>
      </c>
      <c r="B77" s="145" t="n">
        <v>1</v>
      </c>
      <c r="C77" s="276" t="n"/>
      <c r="D77" s="276" t="n"/>
      <c r="E77" s="277" t="n"/>
      <c r="J77" s="275" t="s">
        <v>139</v>
      </c>
      <c r="K77" s="145" t="n"/>
      <c r="L77" s="276" t="n"/>
      <c r="M77" s="276" t="n"/>
      <c r="N77" s="277" t="n"/>
    </row>
    <row customHeight="1" ht="23.25" r="79" s="386" spans="1:14">
      <c r="A79" s="408" t="s">
        <v>140</v>
      </c>
      <c r="B79" s="408" t="n"/>
      <c r="C79" s="408" t="n"/>
      <c r="D79" s="408" t="n"/>
      <c r="E79" s="408" t="n"/>
      <c r="F79" s="100" t="n"/>
      <c r="G79" s="100" t="n"/>
      <c r="H79" s="100" t="n"/>
      <c r="J79" s="409" t="s">
        <v>140</v>
      </c>
      <c r="K79" s="409" t="n"/>
      <c r="L79" s="409" t="n"/>
      <c r="M79" s="409" t="n"/>
      <c r="N79" s="409" t="n"/>
    </row>
    <row customHeight="1" ht="18.75" r="80" s="386" spans="1:14">
      <c r="A80" s="146" t="s">
        <v>141</v>
      </c>
      <c r="B80" s="147" t="s">
        <v>38</v>
      </c>
      <c r="C80" s="148">
        <f>C62+C68*B76+C74*B77</f>
        <v/>
      </c>
      <c r="D80" s="147" t="s">
        <v>41</v>
      </c>
      <c r="E80" s="149">
        <f>(E62+E68*B76+E74*B77)</f>
        <v/>
      </c>
      <c r="F80" s="150" t="n"/>
      <c r="G80" s="150" t="n"/>
      <c r="H80" s="150" t="n"/>
      <c r="I80" s="151" t="n"/>
      <c r="J80" s="152" t="s">
        <v>141</v>
      </c>
      <c r="K80" s="153" t="s">
        <v>38</v>
      </c>
      <c r="L80" s="154">
        <f>L62+L68*K76+L74*K77</f>
        <v/>
      </c>
      <c r="M80" s="153" t="s">
        <v>41</v>
      </c>
      <c r="N80" s="155">
        <f>(N62+N68*K76+N74*K77)</f>
        <v/>
      </c>
    </row>
    <row customHeight="1" ht="18.75" r="81" s="386" spans="1:14">
      <c r="A81" s="156" t="s">
        <v>142</v>
      </c>
      <c r="B81" s="410">
        <f>IF(C80&lt;E80, "Alternative A (Conventional Material)", "Alternative B (New Material)")</f>
        <v/>
      </c>
      <c r="C81" s="410" t="n"/>
      <c r="D81" s="410" t="n"/>
      <c r="E81" s="410" t="n"/>
      <c r="F81" s="157" t="n"/>
      <c r="G81" s="157" t="n"/>
      <c r="H81" s="157" t="n"/>
      <c r="I81" s="151" t="n"/>
      <c r="J81" s="156" t="s">
        <v>142</v>
      </c>
      <c r="K81" s="410">
        <f>IF(L80&lt;N80, "Alternative A (Conventional Material)", "Alternative B (New Material)")</f>
        <v/>
      </c>
      <c r="L81" s="410" t="n"/>
      <c r="M81" s="410" t="n"/>
      <c r="N81" s="410" t="n"/>
    </row>
    <row customHeight="1" ht="18.75" r="82" s="386" spans="1:14">
      <c r="A82" s="156" t="s">
        <v>143</v>
      </c>
      <c r="B82" s="411" t="s">
        <v>117</v>
      </c>
      <c r="C82" s="411" t="n"/>
      <c r="D82" s="412">
        <f>(C62-E62)/C62</f>
        <v/>
      </c>
      <c r="E82" s="412" t="n"/>
      <c r="F82" s="158" t="n"/>
      <c r="G82" s="158" t="n"/>
      <c r="H82" s="158" t="n"/>
      <c r="I82" s="151" t="n"/>
      <c r="J82" s="156" t="s">
        <v>143</v>
      </c>
      <c r="K82" s="411" t="s">
        <v>117</v>
      </c>
      <c r="L82" s="411" t="n"/>
      <c r="M82" s="412">
        <f>IFERROR(0, (L62-N62)/L62)</f>
        <v/>
      </c>
      <c r="N82" s="412" t="n"/>
    </row>
    <row customHeight="1" ht="18.75" r="83" s="386" spans="1:14">
      <c r="A83" s="156" t="n"/>
      <c r="B83" s="411" t="s">
        <v>128</v>
      </c>
      <c r="C83" s="411" t="n"/>
      <c r="D83" s="412">
        <f>(C68-E68)/C68</f>
        <v/>
      </c>
      <c r="E83" s="412" t="n"/>
      <c r="F83" s="158" t="n"/>
      <c r="G83" s="158" t="n"/>
      <c r="H83" s="158" t="n"/>
      <c r="I83" s="151" t="n"/>
      <c r="J83" s="156" t="n"/>
      <c r="K83" s="411" t="s">
        <v>128</v>
      </c>
      <c r="L83" s="411" t="n"/>
      <c r="M83" s="412">
        <f>IFERROR(0,(L68-N68)/L68)</f>
        <v/>
      </c>
      <c r="N83" s="412" t="n"/>
    </row>
    <row customHeight="1" ht="18.75" r="84" s="386" spans="1:14">
      <c r="A84" s="156" t="n"/>
      <c r="B84" s="411" t="s">
        <v>144</v>
      </c>
      <c r="C84" s="411" t="n"/>
      <c r="D84" s="412">
        <f>(C74-E74)/C74</f>
        <v/>
      </c>
      <c r="E84" s="412" t="n"/>
      <c r="F84" s="158" t="n"/>
      <c r="G84" s="158" t="n"/>
      <c r="H84" s="158" t="n"/>
      <c r="I84" s="151" t="n"/>
      <c r="J84" s="156" t="n"/>
      <c r="K84" s="411" t="s">
        <v>144</v>
      </c>
      <c r="L84" s="411" t="n"/>
      <c r="M84" s="412">
        <f>IFERROR(0,(L74-N74)/L74)</f>
        <v/>
      </c>
      <c r="N84" s="412" t="n"/>
    </row>
    <row customHeight="1" ht="18.75" r="85" s="386" spans="1:14">
      <c r="A85" s="159" t="n"/>
      <c r="B85" s="413" t="s">
        <v>140</v>
      </c>
      <c r="C85" s="413" t="n"/>
      <c r="D85" s="414">
        <f>(C80-E80)/C80</f>
        <v/>
      </c>
      <c r="E85" s="414" t="n"/>
      <c r="F85" s="158" t="n"/>
      <c r="G85" s="158" t="n"/>
      <c r="H85" s="158" t="n"/>
      <c r="J85" s="159" t="n"/>
      <c r="K85" s="413" t="s">
        <v>140</v>
      </c>
      <c r="L85" s="413" t="n"/>
      <c r="M85" s="414">
        <f>IFERROR(0,(L80-N80)/L80)</f>
        <v/>
      </c>
      <c r="N85" s="414" t="n"/>
    </row>
  </sheetData>
  <mergeCells count="46">
    <mergeCell ref="B84:C84"/>
    <mergeCell ref="D84:E84"/>
    <mergeCell ref="K84:L84"/>
    <mergeCell ref="M84:N84"/>
    <mergeCell ref="B85:C85"/>
    <mergeCell ref="D85:E85"/>
    <mergeCell ref="K85:L85"/>
    <mergeCell ref="M85:N85"/>
    <mergeCell ref="B82:C82"/>
    <mergeCell ref="D82:E82"/>
    <mergeCell ref="K82:L82"/>
    <mergeCell ref="M82:N82"/>
    <mergeCell ref="B83:C83"/>
    <mergeCell ref="D83:E83"/>
    <mergeCell ref="K83:L83"/>
    <mergeCell ref="M83:N83"/>
    <mergeCell ref="A70:E70"/>
    <mergeCell ref="J70:N70"/>
    <mergeCell ref="A79:E79"/>
    <mergeCell ref="J79:N79"/>
    <mergeCell ref="B81:E81"/>
    <mergeCell ref="K81:N81"/>
    <mergeCell ref="A35:E35"/>
    <mergeCell ref="J35:N35"/>
    <mergeCell ref="A52:E52"/>
    <mergeCell ref="J52:N52"/>
    <mergeCell ref="A64:E64"/>
    <mergeCell ref="J64:N64"/>
    <mergeCell ref="B25:E25"/>
    <mergeCell ref="K25:N25"/>
    <mergeCell ref="B26:E26"/>
    <mergeCell ref="K26:N26"/>
    <mergeCell ref="A28:E28"/>
    <mergeCell ref="J28:N28"/>
    <mergeCell ref="C15:E15"/>
    <mergeCell ref="L15:N15"/>
    <mergeCell ref="C16:E16"/>
    <mergeCell ref="L16:N16"/>
    <mergeCell ref="B24:E24"/>
    <mergeCell ref="K24:N24"/>
    <mergeCell ref="A1:E1"/>
    <mergeCell ref="J1:N1"/>
    <mergeCell ref="A5:E5"/>
    <mergeCell ref="J5:N5"/>
    <mergeCell ref="A14:E14"/>
    <mergeCell ref="J14:N14"/>
  </mergeCells>
  <dataValidations count="1">
    <dataValidation allowBlank="1" error="This spreadsheet can only calculate up to three rehabilitation activities during the whole life cycle." errorTitle="Warning" operator="lessThanOrEqual" showErrorMessage="1" showInputMessage="1" sqref="C41" type="whole">
      <formula1>3</formula1>
      <formula2>0</formula2>
    </dataValidation>
  </dataValidations>
  <pageMargins bottom="0.75" footer="0.511805555555555" header="0.511805555555555" left="0.7" right="0.7" top="0.75"/>
  <pageSetup copies="0" firstPageNumber="0" horizontalDpi="0" orientation="portrait" paperSize="0" scale="0" usePrinterDefaults="0" verticalDpi="0"/>
  <legacyDrawing xmlns:r="http://schemas.openxmlformats.org/officeDocument/2006/relationships" r:id="anysvml"/>
</worksheet>
</file>

<file path=xl/worksheets/sheet3.xml><?xml version="1.0" encoding="utf-8"?>
<worksheet xmlns="http://schemas.openxmlformats.org/spreadsheetml/2006/main">
  <sheetPr>
    <tabColor rgb="FFC5E0B4"/>
    <outlinePr summaryBelow="1" summaryRight="1"/>
    <pageSetUpPr fitToPage="1"/>
  </sheetPr>
  <dimension ref="A1:AI38"/>
  <sheetViews>
    <sheetView workbookViewId="0" zoomScale="70" zoomScaleNormal="70">
      <selection activeCell="K54" sqref="K54"/>
    </sheetView>
  </sheetViews>
  <sheetFormatPr baseColWidth="10" defaultRowHeight="15"/>
  <cols>
    <col customWidth="1" max="1" min="1" style="386" width="28.28515625"/>
    <col customWidth="1" max="2" min="2" style="386" width="17.7109375"/>
    <col customWidth="1" max="4" min="3" style="386" width="19.140625"/>
    <col customWidth="1" max="5" min="5" style="85" width="10.7109375"/>
    <col customWidth="1" max="6" min="6" style="386" width="23.42578125"/>
    <col customWidth="1" max="7" min="7" style="85" width="17.140625"/>
    <col customWidth="1" max="8" min="8" style="85" width="9.85546875"/>
    <col customWidth="1" max="10" min="9" style="85" width="9"/>
    <col customWidth="1" max="11" min="11" style="85" width="21.7109375"/>
    <col customWidth="1" max="12" min="12" style="85" width="12"/>
    <col customWidth="1" max="13" min="13" style="386" width="20.28515625"/>
    <col customWidth="1" hidden="1" max="15" min="14" style="386"/>
    <col customWidth="1" max="16" min="16" style="386" width="11.7109375"/>
    <col customWidth="1" max="17" min="17" style="386" width="13.140625"/>
    <col customWidth="1" hidden="1" max="19" min="18" style="386"/>
    <col customWidth="1" max="20" min="20" style="386" width="10.7109375"/>
    <col customWidth="1" max="21" min="21" style="386" width="8.5703125"/>
    <col customWidth="1" max="22" min="22" style="386" width="27.7109375"/>
    <col customWidth="1" max="23" min="23" style="386" width="23.5703125"/>
    <col customWidth="1" max="24" min="24" style="386" width="12.5703125"/>
    <col customWidth="1" max="25" min="25" style="386" width="21.140625"/>
    <col customWidth="1" max="26" min="26" style="386" width="16"/>
    <col customWidth="1" max="27" min="27" style="386" width="17.7109375"/>
    <col customWidth="1" max="29" min="28" style="386" width="8.5703125"/>
    <col customWidth="1" max="30" min="30" style="386" width="14.7109375"/>
    <col customWidth="1" max="31" min="31" style="386" width="18.7109375"/>
    <col customWidth="1" max="32" min="32" style="386" width="12"/>
    <col customWidth="1" max="33" min="33" style="386" width="8.7109375"/>
    <col customWidth="1" max="34" min="34" style="386" width="16.28515625"/>
    <col customWidth="1" max="35" min="35" style="386" width="18.28515625"/>
    <col customWidth="1" max="1025" min="36" style="386" width="8.5703125"/>
  </cols>
  <sheetData>
    <row customHeight="1" ht="33.75" r="1" s="386" spans="1:35">
      <c r="A1" s="160" t="s">
        <v>145</v>
      </c>
      <c r="F1" s="161" t="s">
        <v>146</v>
      </c>
      <c r="J1" s="316" t="n"/>
      <c r="K1" s="316" t="n"/>
    </row>
    <row customHeight="1" ht="14.45" r="2" s="386" spans="1:35">
      <c r="E2" s="425" t="s">
        <v>147</v>
      </c>
      <c r="F2" s="415" t="s">
        <v>148</v>
      </c>
      <c r="G2" s="416" t="s">
        <v>149</v>
      </c>
      <c r="H2" s="416" t="s">
        <v>150</v>
      </c>
      <c r="I2" s="416" t="s">
        <v>151</v>
      </c>
      <c r="J2" s="421" t="s">
        <v>152</v>
      </c>
      <c r="K2" s="421" t="n"/>
      <c r="L2" s="422" t="s">
        <v>153</v>
      </c>
      <c r="M2" s="422" t="n"/>
      <c r="N2" s="163" t="s">
        <v>154</v>
      </c>
      <c r="O2" s="164">
        <f>IF(1&lt;='Deterministic LCCA'!$C$41, 'User &amp; Social Cost Worksheet'!$B$25*1,"No activity")</f>
        <v/>
      </c>
      <c r="P2" s="423" t="s">
        <v>155</v>
      </c>
      <c r="Q2" s="423" t="n"/>
      <c r="R2" s="163" t="s">
        <v>156</v>
      </c>
      <c r="S2" s="164">
        <f>IF(2&lt;='Deterministic LCCA'!$C$41, 'User &amp; Social Cost Worksheet'!$B$25*2,"No activity")</f>
        <v/>
      </c>
      <c r="T2" s="423" t="s">
        <v>157</v>
      </c>
      <c r="U2" s="423" t="n"/>
      <c r="V2" s="423" t="s">
        <v>158</v>
      </c>
      <c r="W2" s="166">
        <f>IF(3&lt;='Deterministic LCCA'!$C$41, 'User &amp; Social Cost Worksheet'!$B$25*3,"No activity")</f>
        <v/>
      </c>
      <c r="X2" s="424" t="s">
        <v>153</v>
      </c>
      <c r="Y2" s="424" t="n"/>
      <c r="Z2" s="167" t="s">
        <v>154</v>
      </c>
      <c r="AA2" s="168">
        <f>IF(1&lt;='Deterministic LCCA'!$E$41, 'User &amp; Social Cost Worksheet'!$C$25*1,"No activity")</f>
        <v/>
      </c>
      <c r="AB2" s="417" t="s">
        <v>155</v>
      </c>
      <c r="AC2" s="417" t="n"/>
      <c r="AD2" s="167" t="s">
        <v>156</v>
      </c>
      <c r="AE2" s="168">
        <f>IF(2&lt;='Deterministic LCCA'!$E$41, 'User &amp; Social Cost Worksheet'!$C$25*2,"No activity")</f>
        <v/>
      </c>
      <c r="AF2" s="417" t="s">
        <v>157</v>
      </c>
      <c r="AG2" s="417" t="n"/>
      <c r="AH2" s="417" t="s">
        <v>158</v>
      </c>
      <c r="AI2" s="170">
        <f>IF(3&lt;='Deterministic LCCA'!$E$41, 'User &amp; Social Cost Worksheet'!$C$25*3,"No activity")</f>
        <v/>
      </c>
    </row>
    <row customFormat="1" customHeight="1" ht="36.75" r="3" s="9" spans="1:35">
      <c r="A3" s="418" t="s">
        <v>18</v>
      </c>
      <c r="B3" s="418" t="n"/>
      <c r="C3" s="418" t="n"/>
      <c r="D3" s="171" t="n"/>
      <c r="E3" s="425" t="n"/>
      <c r="F3" s="415" t="n"/>
      <c r="G3" s="416" t="n"/>
      <c r="H3" s="416" t="n"/>
      <c r="I3" s="416" t="n"/>
      <c r="J3" s="172" t="s">
        <v>74</v>
      </c>
      <c r="K3" s="173" t="s">
        <v>75</v>
      </c>
      <c r="L3" s="174" t="s">
        <v>74</v>
      </c>
      <c r="M3" s="175" t="s">
        <v>75</v>
      </c>
      <c r="N3" s="176" t="s">
        <v>159</v>
      </c>
      <c r="O3" s="176" t="s">
        <v>160</v>
      </c>
      <c r="P3" s="176" t="s">
        <v>74</v>
      </c>
      <c r="Q3" s="175" t="s">
        <v>75</v>
      </c>
      <c r="R3" s="176" t="s">
        <v>159</v>
      </c>
      <c r="S3" s="176" t="s">
        <v>160</v>
      </c>
      <c r="T3" s="176" t="s">
        <v>74</v>
      </c>
      <c r="U3" s="175" t="s">
        <v>75</v>
      </c>
      <c r="V3" s="176" t="s">
        <v>159</v>
      </c>
      <c r="W3" s="176" t="s">
        <v>160</v>
      </c>
      <c r="X3" s="177" t="s">
        <v>74</v>
      </c>
      <c r="Y3" s="178" t="s">
        <v>75</v>
      </c>
      <c r="Z3" s="179" t="s">
        <v>159</v>
      </c>
      <c r="AA3" s="179" t="s">
        <v>160</v>
      </c>
      <c r="AB3" s="179" t="s">
        <v>74</v>
      </c>
      <c r="AC3" s="178" t="s">
        <v>75</v>
      </c>
      <c r="AD3" s="179" t="s">
        <v>159</v>
      </c>
      <c r="AE3" s="179" t="s">
        <v>160</v>
      </c>
      <c r="AF3" s="179" t="s">
        <v>74</v>
      </c>
      <c r="AG3" s="178" t="s">
        <v>75</v>
      </c>
      <c r="AH3" s="179" t="s">
        <v>159</v>
      </c>
      <c r="AI3" s="180" t="s">
        <v>160</v>
      </c>
    </row>
    <row customHeight="1" ht="18.75" r="4" s="386" spans="1:35">
      <c r="A4" s="181" t="s">
        <v>161</v>
      </c>
      <c r="E4" s="182">
        <f>IF('Deterministic LCCA'!H26="Y", "WZ","Non-WZ")</f>
        <v/>
      </c>
      <c r="F4" s="183" t="s">
        <v>162</v>
      </c>
      <c r="G4" s="184" t="n">
        <v>1.2</v>
      </c>
      <c r="H4" s="184" t="n">
        <v>47</v>
      </c>
      <c r="I4" s="184">
        <f>100-H4</f>
        <v/>
      </c>
      <c r="J4" s="185">
        <f>$B$13*G4/100*H4/100</f>
        <v/>
      </c>
      <c r="K4" s="186">
        <f>$B$13*G4/100*I4/100</f>
        <v/>
      </c>
      <c r="L4" s="187">
        <f>IF(O$2="No activity",0,IF(AVERAGE($J$4:$J$9)*(1+$B$12)^O$2&gt;1900*'Deterministic LCCA'!$C$32, 1900*'Deterministic LCCA'!$C$32,AVERAGE($J$4:$J$9)*(1+$B$12)^O$2))</f>
        <v/>
      </c>
      <c r="M4" s="188">
        <f>IF(O$2="No activity",0,IF(AVERAGE($K$4:$K$9)*(1+$B$12)^O$2&gt;1900*'Deterministic LCCA'!$E$32, 1900*'Deterministic LCCA'!$E$32,AVERAGE($K$4:$K$9)*(1+$B$12)^O$2))</f>
        <v/>
      </c>
      <c r="N4" s="423">
        <f>IF($E4="WZ",IF(L4&gt;$B$10,1,0),IF(L4&gt;'Deterministic LCCA'!$E$45*'Deterministic LCCA'!$C$32,1,0))</f>
        <v/>
      </c>
      <c r="O4" s="423">
        <f>IF($E4="WZ",IF(M4&gt;$B$10,1,0),IF(M4&gt;'Deterministic LCCA'!$E$45*'Deterministic LCCA'!$E$32,1,0))</f>
        <v/>
      </c>
      <c r="P4" s="188">
        <f>IF(S$2="No activity",0,IF(AVERAGE($J$4:$J$9)*(1+$B$12)^S$2&gt;1900*'Deterministic LCCA'!$C$32, 1900*'Deterministic LCCA'!$C$32,AVERAGE($J$4:$J$9)*(1+$B$12)^S$2))</f>
        <v/>
      </c>
      <c r="Q4" s="188">
        <f>IF(S$2="No activity",0,IF(AVERAGE($K$4:$K$9)*(1+$B$12)^S$2&gt;1900*'Deterministic LCCA'!$E$32, 1900*'Deterministic LCCA'!$E$32,AVERAGE($K$4:$K$9)*(1+$B$12)^S$2))</f>
        <v/>
      </c>
      <c r="R4" s="423">
        <f>IF($E4="WZ",IF(P4&gt;$B$10,1,0),IF(P4&gt;'Deterministic LCCA'!$E$45*'Deterministic LCCA'!$C$32,1,0))</f>
        <v/>
      </c>
      <c r="S4" s="423">
        <f>IF($E4="WZ",IF(Q4&gt;$B$10,1,0),IF(Q4&gt;'Deterministic LCCA'!$E$45*'Deterministic LCCA'!$E$32,1,0))</f>
        <v/>
      </c>
      <c r="T4" s="188">
        <f>IF(W$2="No activity",0,IF(AVERAGE($J$4:$J$9)*(1+$B$12)^W$2&gt;1900*'Deterministic LCCA'!$C$32, 1900*'Deterministic LCCA'!$C$32,AVERAGE($J$4:$J$9)*(1+$B$12)^W$2))</f>
        <v/>
      </c>
      <c r="U4" s="188">
        <f>IF(W$2="No activity",0,IF(AVERAGE($K$4:$K$9)*(1+$B$12)^W$2&gt;1900*'Deterministic LCCA'!$E$32, 1900*'Deterministic LCCA'!$E$32,AVERAGE($K$4:$K$9)*(1+$B$12)^W$2))</f>
        <v/>
      </c>
      <c r="V4" s="423">
        <f>IF($E4="WZ",IF(T4&gt;$B$10,1,0),IF(T4&gt;'Deterministic LCCA'!$E$45*'Deterministic LCCA'!$C$32,1,0))</f>
        <v/>
      </c>
      <c r="W4" s="423">
        <f>IF($E4="WZ",IF(U4&gt;$B$10,1,0),IF(U4&gt;'Deterministic LCCA'!$E$45*'Deterministic LCCA'!$E$32,1,0))</f>
        <v/>
      </c>
      <c r="X4" s="189">
        <f>IF(AA$2="No activity",0,IF(AVERAGE($J$4:$J$9)*(1+$B$12)^AA$2&gt;1900*'Deterministic LCCA'!$C$32, 1900*'Deterministic LCCA'!$C$32,AVERAGE($J$4:$J$9)*(1+$B$12)^AA$2))</f>
        <v/>
      </c>
      <c r="Y4" s="189">
        <f>IF(AA$2="No activity",0,IF(AVERAGE($K$4:$K$9)*(1+$B$12)^AA$2&gt;1900*'Deterministic LCCA'!$E$32, 1900*'Deterministic LCCA'!$E$32,AVERAGE($K$4:$K$9)*(1+$B$12)^AA$2))</f>
        <v/>
      </c>
      <c r="Z4" s="417">
        <f>IF($E4="WZ",IF(X4&gt;$B$10,1,0),IF(X4&gt;'Deterministic LCCA'!$E$45*'Deterministic LCCA'!$C$32,1,0))</f>
        <v/>
      </c>
      <c r="AA4" s="417">
        <f>IF($E4="WZ",IF(Y4&gt;$B$10,1,0),IF(Y4&gt;'Deterministic LCCA'!$E$45*'Deterministic LCCA'!$E$32,1,0))</f>
        <v/>
      </c>
      <c r="AB4" s="189">
        <f>IF(AE$2="No activity",0,IF(AVERAGE($J$4:$J$9)*(1+$B$12)^AE$2&gt;1900*'Deterministic LCCA'!$C$32, 1900*'Deterministic LCCA'!$C$32,AVERAGE($J$4:$J$9)*(1+$B$12)^AE$2))</f>
        <v/>
      </c>
      <c r="AC4" s="189">
        <f>IF(AE$2="No activity",0,IF(AVERAGE($K$4:$K$9)*(1+$B$12)^AE$2&gt;1900*'Deterministic LCCA'!$E$32, 1900*'Deterministic LCCA'!$E$32,AVERAGE($K$4:$K$9)*(1+$B$12)^AE$2))</f>
        <v/>
      </c>
      <c r="AD4" s="417">
        <f>IF($E4="WZ",IF(AB4&gt;$B$10,1,0),IF(AB4&gt;'Deterministic LCCA'!$E$45*'Deterministic LCCA'!$C$32,1,0))</f>
        <v/>
      </c>
      <c r="AE4" s="417">
        <f>IF($E4="WZ",IF(AC4&gt;$B$10,1,0),IF(AC4&gt;'Deterministic LCCA'!$E$45*'Deterministic LCCA'!$E$32,1,0))</f>
        <v/>
      </c>
      <c r="AF4" s="189">
        <f>IF(AI$2="No activity",0,IF(AVERAGE($J$4:$J$9)*(1+$B$12)^AI$2&gt;1900*'Deterministic LCCA'!$C$32, 1900*'Deterministic LCCA'!$C$32,AVERAGE($J$4:$J$9)*(1+$B$12)^AI$2))</f>
        <v/>
      </c>
      <c r="AG4" s="189">
        <f>IF(AI$2="No activity",0,IF(AVERAGE($K$4:$K$9)*(1+$B$12)^AI$2&gt;1900*'Deterministic LCCA'!$E$32, 1900*'Deterministic LCCA'!$E$32,AVERAGE($K$4:$K$9)*(1+$B$12)^AI$2))</f>
        <v/>
      </c>
      <c r="AH4" s="417">
        <f>IF($E4="WZ",IF(AF4&gt;$B$10,1,0),IF(AF4&gt;'Deterministic LCCA'!$E$45*'Deterministic LCCA'!$C$32,1,0))</f>
        <v/>
      </c>
      <c r="AI4" s="191">
        <f>IF($E4="WZ",IF(AG4&gt;$B$10,1,0),IF(AG4&gt;'Deterministic LCCA'!$E$45*'Deterministic LCCA'!$E$32,1,0))</f>
        <v/>
      </c>
    </row>
    <row r="5" spans="1:35">
      <c r="A5" s="229" t="s">
        <v>163</v>
      </c>
      <c r="B5" s="193">
        <f>'Deterministic LCCA'!B10/5280</f>
        <v/>
      </c>
      <c r="C5" s="229" t="n"/>
      <c r="E5" s="182">
        <f>IF('Deterministic LCCA'!H27="Y", "WZ","Non-WZ")</f>
        <v/>
      </c>
      <c r="F5" s="195" t="s">
        <v>164</v>
      </c>
      <c r="G5" s="196" t="n">
        <v>0.8</v>
      </c>
      <c r="H5" s="196" t="n">
        <v>43</v>
      </c>
      <c r="I5" s="196">
        <f>100-H5</f>
        <v/>
      </c>
      <c r="J5" s="197">
        <f>$B$13*G5/100*H5/100</f>
        <v/>
      </c>
      <c r="K5" s="198">
        <f>$B$13*G5/100*I5/100</f>
        <v/>
      </c>
      <c r="L5" s="199">
        <f>IF(O$2="No activity",0,IF(AVERAGE($J$4:$J$9)*(1+$B$12)^O$2&gt;1900*'Deterministic LCCA'!$C$32, 1900*'Deterministic LCCA'!$C$32,AVERAGE($J$4:$J$9)*(1+$B$12)^O$2))</f>
        <v/>
      </c>
      <c r="M5" s="200">
        <f>IF(O$2="No activity",0,IF(AVERAGE($K$4:$K$9)*(1+$B$12)^O$2&gt;1900*'Deterministic LCCA'!$E$32, 1900*'Deterministic LCCA'!$E$32,AVERAGE($K$4:$K$9)*(1+$B$12)^O$2))</f>
        <v/>
      </c>
      <c r="N5" s="92">
        <f>IF($E5="WZ",IF(L5&gt;$B$10,1,0),IF(L5&gt;'Deterministic LCCA'!$E$45*'Deterministic LCCA'!$C$32,1,0))</f>
        <v/>
      </c>
      <c r="O5" s="92">
        <f>IF($E5="WZ",IF(M5&gt;$B$10,1,0),IF(M5&gt;'Deterministic LCCA'!$E$45*'Deterministic LCCA'!$E$32,1,0))</f>
        <v/>
      </c>
      <c r="P5" s="200">
        <f>IF(S$2="No activity",0,IF(AVERAGE($J$4:$J$9)*(1+$B$12)^S$2&gt;1900*'Deterministic LCCA'!$C$32, 1900*'Deterministic LCCA'!$C$32,AVERAGE($J$4:$J$9)*(1+$B$12)^S$2))</f>
        <v/>
      </c>
      <c r="Q5" s="200">
        <f>IF(S$2="No activity",0,IF(AVERAGE($K$4:$K$9)*(1+$B$12)^S$2&gt;1900*'Deterministic LCCA'!$E$32, 1900*'Deterministic LCCA'!$E$32,AVERAGE($K$4:$K$9)*(1+$B$12)^S$2))</f>
        <v/>
      </c>
      <c r="R5" s="92">
        <f>IF($E5="WZ",IF(P5&gt;$B$10,1,0),IF(P5&gt;'Deterministic LCCA'!$E$45*'Deterministic LCCA'!$C$32,1,0))</f>
        <v/>
      </c>
      <c r="S5" s="92">
        <f>IF($E5="WZ",IF(Q5&gt;$B$10,1,0),IF(Q5&gt;'Deterministic LCCA'!$E$45*'Deterministic LCCA'!$E$32,1,0))</f>
        <v/>
      </c>
      <c r="T5" s="200">
        <f>IF(W$2="No activity",0,IF(AVERAGE($J$4:$J$9)*(1+$B$12)^W$2&gt;1900*'Deterministic LCCA'!$C$32, 1900*'Deterministic LCCA'!$C$32,AVERAGE($J$4:$J$9)*(1+$B$12)^W$2))</f>
        <v/>
      </c>
      <c r="U5" s="200">
        <f>IF(W$2="No activity",0,IF(AVERAGE($K$4:$K$9)*(1+$B$12)^W$2&gt;1900*'Deterministic LCCA'!$E$32, 1900*'Deterministic LCCA'!$E$32,AVERAGE($K$4:$K$9)*(1+$B$12)^W$2))</f>
        <v/>
      </c>
      <c r="V5" s="92">
        <f>IF($E5="WZ",IF(T5&gt;$B$10,1,0),IF(T5&gt;'Deterministic LCCA'!$E$45*'Deterministic LCCA'!$C$32,1,0))</f>
        <v/>
      </c>
      <c r="W5" s="92">
        <f>IF($E5="WZ",IF(U5&gt;$B$10,1,0),IF(U5&gt;'Deterministic LCCA'!$E$45*'Deterministic LCCA'!$E$32,1,0))</f>
        <v/>
      </c>
      <c r="X5" s="201">
        <f>IF(AA$2="No activity",0,IF(AVERAGE($J$4:$J$9)*(1+$B$12)^AA$2&gt;1900*'Deterministic LCCA'!$C$32, 1900*'Deterministic LCCA'!$C$32,AVERAGE($J$4:$J$9)*(1+$B$12)^AA$2))</f>
        <v/>
      </c>
      <c r="Y5" s="201">
        <f>IF(AA$2="No activity",0,IF(AVERAGE($K$4:$K$9)*(1+$B$12)^AA$2&gt;1900*'Deterministic LCCA'!$E$32, 1900*'Deterministic LCCA'!$E$32,AVERAGE($K$4:$K$9)*(1+$B$12)^AA$2))</f>
        <v/>
      </c>
      <c r="Z5" s="202">
        <f>IF($E5="WZ",IF(X5&gt;$B$10,1,0),IF(X5&gt;'Deterministic LCCA'!$E$45*'Deterministic LCCA'!$C$32,1,0))</f>
        <v/>
      </c>
      <c r="AA5" s="202">
        <f>IF($E5="WZ",IF(Y5&gt;$B$10,1,0),IF(Y5&gt;'Deterministic LCCA'!$E$45*'Deterministic LCCA'!$E$32,1,0))</f>
        <v/>
      </c>
      <c r="AB5" s="201">
        <f>IF(AE$2="No activity",0,IF(AVERAGE($J$4:$J$9)*(1+$B$12)^AE$2&gt;1900*'Deterministic LCCA'!$C$32, 1900*'Deterministic LCCA'!$C$32,AVERAGE($J$4:$J$9)*(1+$B$12)^AE$2))</f>
        <v/>
      </c>
      <c r="AC5" s="201">
        <f>IF(AE$2="No activity",0,IF(AVERAGE($K$4:$K$9)*(1+$B$12)^AE$2&gt;1900*'Deterministic LCCA'!$E$32, 1900*'Deterministic LCCA'!$E$32,AVERAGE($K$4:$K$9)*(1+$B$12)^AE$2))</f>
        <v/>
      </c>
      <c r="AD5" s="202">
        <f>IF($E5="WZ",IF(AB5&gt;$B$10,1,0),IF(AB5&gt;'Deterministic LCCA'!$E$45*'Deterministic LCCA'!$C$32,1,0))</f>
        <v/>
      </c>
      <c r="AE5" s="202">
        <f>IF($E5="WZ",IF(AC5&gt;$B$10,1,0),IF(AC5&gt;'Deterministic LCCA'!$E$45*'Deterministic LCCA'!$E$32,1,0))</f>
        <v/>
      </c>
      <c r="AF5" s="201">
        <f>IF(AI$2="No activity",0,IF(AVERAGE($J$4:$J$9)*(1+$B$12)^AI$2&gt;1900*'Deterministic LCCA'!$C$32, 1900*'Deterministic LCCA'!$C$32,AVERAGE($J$4:$J$9)*(1+$B$12)^AI$2))</f>
        <v/>
      </c>
      <c r="AG5" s="201">
        <f>IF(AI$2="No activity",0,IF(AVERAGE($K$4:$K$9)*(1+$B$12)^AI$2&gt;1900*'Deterministic LCCA'!$E$32, 1900*'Deterministic LCCA'!$E$32,AVERAGE($K$4:$K$9)*(1+$B$12)^AI$2))</f>
        <v/>
      </c>
      <c r="AH5" s="202">
        <f>IF($E5="WZ",IF(AF5&gt;$B$10,1,0),IF(AF5&gt;'Deterministic LCCA'!$E$45*'Deterministic LCCA'!$C$32,1,0))</f>
        <v/>
      </c>
      <c r="AI5" s="203">
        <f>IF($E5="WZ",IF(AG5&gt;$B$10,1,0),IF(AG5&gt;'Deterministic LCCA'!$E$45*'Deterministic LCCA'!$E$32,1,0))</f>
        <v/>
      </c>
    </row>
    <row r="6" spans="1:35">
      <c r="A6" s="229" t="s">
        <v>165</v>
      </c>
      <c r="B6" s="204" t="s">
        <v>166</v>
      </c>
      <c r="C6" s="229" t="n"/>
      <c r="E6" s="182">
        <f>IF('Deterministic LCCA'!H28="Y", "WZ","Non-WZ")</f>
        <v/>
      </c>
      <c r="F6" s="195" t="s">
        <v>167</v>
      </c>
      <c r="G6" s="196" t="n">
        <v>0.7</v>
      </c>
      <c r="H6" s="196" t="n">
        <v>46</v>
      </c>
      <c r="I6" s="196">
        <f>100-H6</f>
        <v/>
      </c>
      <c r="J6" s="197">
        <f>$B$13*G6/100*H6/100</f>
        <v/>
      </c>
      <c r="K6" s="198">
        <f>$B$13*G6/100*I6/100</f>
        <v/>
      </c>
      <c r="L6" s="199">
        <f>IF(O$2="No activity",0,IF(AVERAGE($J$4:$J$9)*(1+$B$12)^O$2&gt;1900*'Deterministic LCCA'!$C$32, 1900*'Deterministic LCCA'!$C$32,AVERAGE($J$4:$J$9)*(1+$B$12)^O$2))</f>
        <v/>
      </c>
      <c r="M6" s="200">
        <f>IF(O$2="No activity",0,IF(AVERAGE($K$4:$K$9)*(1+$B$12)^O$2&gt;1900*'Deterministic LCCA'!$E$32, 1900*'Deterministic LCCA'!$E$32,AVERAGE($K$4:$K$9)*(1+$B$12)^O$2))</f>
        <v/>
      </c>
      <c r="N6" s="92">
        <f>IF($E6="WZ",IF(L6&gt;$B$10,1,0),IF(L6&gt;'Deterministic LCCA'!$E$45*'Deterministic LCCA'!$C$32,1,0))</f>
        <v/>
      </c>
      <c r="O6" s="92">
        <f>IF($E6="WZ",IF(M6&gt;$B$10,1,0),IF(M6&gt;'Deterministic LCCA'!$E$45*'Deterministic LCCA'!$E$32,1,0))</f>
        <v/>
      </c>
      <c r="P6" s="200">
        <f>IF(S$2="No activity",0,IF(AVERAGE($J$4:$J$9)*(1+$B$12)^S$2&gt;1900*'Deterministic LCCA'!$C$32, 1900*'Deterministic LCCA'!$C$32,AVERAGE($J$4:$J$9)*(1+$B$12)^S$2))</f>
        <v/>
      </c>
      <c r="Q6" s="200">
        <f>IF(S$2="No activity",0,IF(AVERAGE($K$4:$K$9)*(1+$B$12)^S$2&gt;1900*'Deterministic LCCA'!$E$32, 1900*'Deterministic LCCA'!$E$32,AVERAGE($K$4:$K$9)*(1+$B$12)^S$2))</f>
        <v/>
      </c>
      <c r="R6" s="92">
        <f>IF($E6="WZ",IF(P6&gt;$B$10,1,0),IF(P6&gt;'Deterministic LCCA'!$E$45*'Deterministic LCCA'!$C$32,1,0))</f>
        <v/>
      </c>
      <c r="S6" s="92">
        <f>IF($E6="WZ",IF(Q6&gt;$B$10,1,0),IF(Q6&gt;'Deterministic LCCA'!$E$45*'Deterministic LCCA'!$E$32,1,0))</f>
        <v/>
      </c>
      <c r="T6" s="200">
        <f>IF(W$2="No activity",0,IF(AVERAGE($J$4:$J$9)*(1+$B$12)^W$2&gt;1900*'Deterministic LCCA'!$C$32, 1900*'Deterministic LCCA'!$C$32,AVERAGE($J$4:$J$9)*(1+$B$12)^W$2))</f>
        <v/>
      </c>
      <c r="U6" s="200">
        <f>IF(W$2="No activity",0,IF(AVERAGE($K$4:$K$9)*(1+$B$12)^W$2&gt;1900*'Deterministic LCCA'!$E$32, 1900*'Deterministic LCCA'!$E$32,AVERAGE($K$4:$K$9)*(1+$B$12)^W$2))</f>
        <v/>
      </c>
      <c r="V6" s="92">
        <f>IF($E6="WZ",IF(T6&gt;$B$10,1,0),IF(T6&gt;'Deterministic LCCA'!$E$45*'Deterministic LCCA'!$C$32,1,0))</f>
        <v/>
      </c>
      <c r="W6" s="92">
        <f>IF($E6="WZ",IF(U6&gt;$B$10,1,0),IF(U6&gt;'Deterministic LCCA'!$E$45*'Deterministic LCCA'!$E$32,1,0))</f>
        <v/>
      </c>
      <c r="X6" s="201">
        <f>IF(AA$2="No activity",0,IF(AVERAGE($J$4:$J$9)*(1+$B$12)^AA$2&gt;1900*'Deterministic LCCA'!$C$32, 1900*'Deterministic LCCA'!$C$32,AVERAGE($J$4:$J$9)*(1+$B$12)^AA$2))</f>
        <v/>
      </c>
      <c r="Y6" s="201">
        <f>IF(AA$2="No activity",0,IF(AVERAGE($K$4:$K$9)*(1+$B$12)^AA$2&gt;1900*'Deterministic LCCA'!$E$32, 1900*'Deterministic LCCA'!$E$32,AVERAGE($K$4:$K$9)*(1+$B$12)^AA$2))</f>
        <v/>
      </c>
      <c r="Z6" s="202">
        <f>IF($E6="WZ",IF(X6&gt;$B$10,1,0),IF(X6&gt;'Deterministic LCCA'!$E$45*'Deterministic LCCA'!$C$32,1,0))</f>
        <v/>
      </c>
      <c r="AA6" s="202">
        <f>IF($E6="WZ",IF(Y6&gt;$B$10,1,0),IF(Y6&gt;'Deterministic LCCA'!$E$45*'Deterministic LCCA'!$E$32,1,0))</f>
        <v/>
      </c>
      <c r="AB6" s="201">
        <f>IF(AE$2="No activity",0,IF(AVERAGE($J$4:$J$9)*(1+$B$12)^AE$2&gt;1900*'Deterministic LCCA'!$C$32, 1900*'Deterministic LCCA'!$C$32,AVERAGE($J$4:$J$9)*(1+$B$12)^AE$2))</f>
        <v/>
      </c>
      <c r="AC6" s="201">
        <f>IF(AE$2="No activity",0,IF(AVERAGE($K$4:$K$9)*(1+$B$12)^AE$2&gt;1900*'Deterministic LCCA'!$E$32, 1900*'Deterministic LCCA'!$E$32,AVERAGE($K$4:$K$9)*(1+$B$12)^AE$2))</f>
        <v/>
      </c>
      <c r="AD6" s="202">
        <f>IF($E6="WZ",IF(AB6&gt;$B$10,1,0),IF(AB6&gt;'Deterministic LCCA'!$E$45*'Deterministic LCCA'!$C$32,1,0))</f>
        <v/>
      </c>
      <c r="AE6" s="202">
        <f>IF($E6="WZ",IF(AC6&gt;$B$10,1,0),IF(AC6&gt;'Deterministic LCCA'!$E$45*'Deterministic LCCA'!$E$32,1,0))</f>
        <v/>
      </c>
      <c r="AF6" s="201">
        <f>IF(AI$2="No activity",0,IF(AVERAGE($J$4:$J$9)*(1+$B$12)^AI$2&gt;1900*'Deterministic LCCA'!$C$32, 1900*'Deterministic LCCA'!$C$32,AVERAGE($J$4:$J$9)*(1+$B$12)^AI$2))</f>
        <v/>
      </c>
      <c r="AG6" s="201">
        <f>IF(AI$2="No activity",0,IF(AVERAGE($K$4:$K$9)*(1+$B$12)^AI$2&gt;1900*'Deterministic LCCA'!$E$32, 1900*'Deterministic LCCA'!$E$32,AVERAGE($K$4:$K$9)*(1+$B$12)^AI$2))</f>
        <v/>
      </c>
      <c r="AH6" s="202">
        <f>IF($E6="WZ",IF(AF6&gt;$B$10,1,0),IF(AF6&gt;'Deterministic LCCA'!$E$45*'Deterministic LCCA'!$C$32,1,0))</f>
        <v/>
      </c>
      <c r="AI6" s="203">
        <f>IF($E6="WZ",IF(AG6&gt;$B$10,1,0),IF(AG6&gt;'Deterministic LCCA'!$E$45*'Deterministic LCCA'!$E$32,1,0))</f>
        <v/>
      </c>
    </row>
    <row r="7" spans="1:35">
      <c r="A7" s="229" t="s">
        <v>168</v>
      </c>
      <c r="B7" s="204" t="s">
        <v>169</v>
      </c>
      <c r="C7" s="204" t="s">
        <v>170</v>
      </c>
      <c r="D7" s="299" t="n"/>
      <c r="E7" s="182">
        <f>IF('Deterministic LCCA'!H29="Y", "WZ","Non-WZ")</f>
        <v/>
      </c>
      <c r="F7" s="195" t="s">
        <v>171</v>
      </c>
      <c r="G7" s="196" t="n">
        <v>0.5</v>
      </c>
      <c r="H7" s="196" t="n">
        <v>48</v>
      </c>
      <c r="I7" s="196">
        <f>100-H7</f>
        <v/>
      </c>
      <c r="J7" s="197">
        <f>$B$13*G7/100*H7/100</f>
        <v/>
      </c>
      <c r="K7" s="198">
        <f>$B$13*G7/100*I7/100</f>
        <v/>
      </c>
      <c r="L7" s="199">
        <f>IF(O$2="No activity",0,IF(AVERAGE($J$4:$J$9)*(1+$B$12)^O$2&gt;1900*'Deterministic LCCA'!$C$32, 1900*'Deterministic LCCA'!$C$32,AVERAGE($J$4:$J$9)*(1+$B$12)^O$2))</f>
        <v/>
      </c>
      <c r="M7" s="200">
        <f>IF(O$2="No activity",0,IF(AVERAGE($K$4:$K$9)*(1+$B$12)^O$2&gt;1900*'Deterministic LCCA'!$E$32, 1900*'Deterministic LCCA'!$E$32,AVERAGE($K$4:$K$9)*(1+$B$12)^O$2))</f>
        <v/>
      </c>
      <c r="N7" s="92">
        <f>IF($E7="WZ",IF(L7&gt;$B$10,1,0),IF(L7&gt;'Deterministic LCCA'!$E$45*'Deterministic LCCA'!$C$32,1,0))</f>
        <v/>
      </c>
      <c r="O7" s="92">
        <f>IF($E7="WZ",IF(M7&gt;$B$10,1,0),IF(M7&gt;'Deterministic LCCA'!$E$45*'Deterministic LCCA'!$E$32,1,0))</f>
        <v/>
      </c>
      <c r="P7" s="200">
        <f>IF(S$2="No activity",0,IF(AVERAGE($J$4:$J$9)*(1+$B$12)^S$2&gt;1900*'Deterministic LCCA'!$C$32, 1900*'Deterministic LCCA'!$C$32,AVERAGE($J$4:$J$9)*(1+$B$12)^S$2))</f>
        <v/>
      </c>
      <c r="Q7" s="200">
        <f>IF(S$2="No activity",0,IF(AVERAGE($K$4:$K$9)*(1+$B$12)^S$2&gt;1900*'Deterministic LCCA'!$E$32, 1900*'Deterministic LCCA'!$E$32,AVERAGE($K$4:$K$9)*(1+$B$12)^S$2))</f>
        <v/>
      </c>
      <c r="R7" s="92">
        <f>IF($E7="WZ",IF(P7&gt;$B$10,1,0),IF(P7&gt;'Deterministic LCCA'!$E$45*'Deterministic LCCA'!$C$32,1,0))</f>
        <v/>
      </c>
      <c r="S7" s="92">
        <f>IF($E7="WZ",IF(Q7&gt;$B$10,1,0),IF(Q7&gt;'Deterministic LCCA'!$E$45*'Deterministic LCCA'!$E$32,1,0))</f>
        <v/>
      </c>
      <c r="T7" s="200">
        <f>IF(W$2="No activity",0,IF(AVERAGE($J$4:$J$9)*(1+$B$12)^W$2&gt;1900*'Deterministic LCCA'!$C$32, 1900*'Deterministic LCCA'!$C$32,AVERAGE($J$4:$J$9)*(1+$B$12)^W$2))</f>
        <v/>
      </c>
      <c r="U7" s="200">
        <f>IF(W$2="No activity",0,IF(AVERAGE($K$4:$K$9)*(1+$B$12)^W$2&gt;1900*'Deterministic LCCA'!$E$32, 1900*'Deterministic LCCA'!$E$32,AVERAGE($K$4:$K$9)*(1+$B$12)^W$2))</f>
        <v/>
      </c>
      <c r="V7" s="92">
        <f>IF($E7="WZ",IF(T7&gt;$B$10,1,0),IF(T7&gt;'Deterministic LCCA'!$E$45*'Deterministic LCCA'!$C$32,1,0))</f>
        <v/>
      </c>
      <c r="W7" s="92">
        <f>IF($E7="WZ",IF(U7&gt;$B$10,1,0),IF(U7&gt;'Deterministic LCCA'!$E$45*'Deterministic LCCA'!$E$32,1,0))</f>
        <v/>
      </c>
      <c r="X7" s="201">
        <f>IF(AA$2="No activity",0,IF(AVERAGE($J$4:$J$9)*(1+$B$12)^AA$2&gt;1900*'Deterministic LCCA'!$C$32, 1900*'Deterministic LCCA'!$C$32,AVERAGE($J$4:$J$9)*(1+$B$12)^AA$2))</f>
        <v/>
      </c>
      <c r="Y7" s="201">
        <f>IF(AA$2="No activity",0,IF(AVERAGE($K$4:$K$9)*(1+$B$12)^AA$2&gt;1900*'Deterministic LCCA'!$E$32, 1900*'Deterministic LCCA'!$E$32,AVERAGE($K$4:$K$9)*(1+$B$12)^AA$2))</f>
        <v/>
      </c>
      <c r="Z7" s="202">
        <f>IF($E7="WZ",IF(X7&gt;$B$10,1,0),IF(X7&gt;'Deterministic LCCA'!$E$45*'Deterministic LCCA'!$C$32,1,0))</f>
        <v/>
      </c>
      <c r="AA7" s="202">
        <f>IF($E7="WZ",IF(Y7&gt;$B$10,1,0),IF(Y7&gt;'Deterministic LCCA'!$E$45*'Deterministic LCCA'!$E$32,1,0))</f>
        <v/>
      </c>
      <c r="AB7" s="201">
        <f>IF(AE$2="No activity",0,IF(AVERAGE($J$4:$J$9)*(1+$B$12)^AE$2&gt;1900*'Deterministic LCCA'!$C$32, 1900*'Deterministic LCCA'!$C$32,AVERAGE($J$4:$J$9)*(1+$B$12)^AE$2))</f>
        <v/>
      </c>
      <c r="AC7" s="201">
        <f>IF(AE$2="No activity",0,IF(AVERAGE($K$4:$K$9)*(1+$B$12)^AE$2&gt;1900*'Deterministic LCCA'!$E$32, 1900*'Deterministic LCCA'!$E$32,AVERAGE($K$4:$K$9)*(1+$B$12)^AE$2))</f>
        <v/>
      </c>
      <c r="AD7" s="202">
        <f>IF($E7="WZ",IF(AB7&gt;$B$10,1,0),IF(AB7&gt;'Deterministic LCCA'!$E$45*'Deterministic LCCA'!$C$32,1,0))</f>
        <v/>
      </c>
      <c r="AE7" s="202">
        <f>IF($E7="WZ",IF(AC7&gt;$B$10,1,0),IF(AC7&gt;'Deterministic LCCA'!$E$45*'Deterministic LCCA'!$E$32,1,0))</f>
        <v/>
      </c>
      <c r="AF7" s="201">
        <f>IF(AI$2="No activity",0,IF(AVERAGE($J$4:$J$9)*(1+$B$12)^AI$2&gt;1900*'Deterministic LCCA'!$C$32, 1900*'Deterministic LCCA'!$C$32,AVERAGE($J$4:$J$9)*(1+$B$12)^AI$2))</f>
        <v/>
      </c>
      <c r="AG7" s="201">
        <f>IF(AI$2="No activity",0,IF(AVERAGE($K$4:$K$9)*(1+$B$12)^AI$2&gt;1900*'Deterministic LCCA'!$E$32, 1900*'Deterministic LCCA'!$E$32,AVERAGE($K$4:$K$9)*(1+$B$12)^AI$2))</f>
        <v/>
      </c>
      <c r="AH7" s="202">
        <f>IF($E7="WZ",IF(AF7&gt;$B$10,1,0),IF(AF7&gt;'Deterministic LCCA'!$E$45*'Deterministic LCCA'!$C$32,1,0))</f>
        <v/>
      </c>
      <c r="AI7" s="203">
        <f>IF($E7="WZ",IF(AG7&gt;$B$10,1,0),IF(AG7&gt;'Deterministic LCCA'!$E$45*'Deterministic LCCA'!$E$32,1,0))</f>
        <v/>
      </c>
    </row>
    <row r="8" spans="1:35">
      <c r="A8" s="229" t="n"/>
      <c r="B8" s="204">
        <f>'Deterministic LCCA'!C33</f>
        <v/>
      </c>
      <c r="C8" s="204">
        <f>'Deterministic LCCA'!E33</f>
        <v/>
      </c>
      <c r="D8" s="299" t="n"/>
      <c r="E8" s="182">
        <f>IF('Deterministic LCCA'!H30="Y", "WZ","Non-WZ")</f>
        <v/>
      </c>
      <c r="F8" s="195" t="s">
        <v>172</v>
      </c>
      <c r="G8" s="196" t="n">
        <v>0.7</v>
      </c>
      <c r="H8" s="196" t="n">
        <v>57</v>
      </c>
      <c r="I8" s="196">
        <f>100-H8</f>
        <v/>
      </c>
      <c r="J8" s="197">
        <f>$B$13*G8/100*H8/100</f>
        <v/>
      </c>
      <c r="K8" s="198">
        <f>$B$13*G8/100*I8/100</f>
        <v/>
      </c>
      <c r="L8" s="199">
        <f>IF(O$2="No activity",0,IF(AVERAGE($J$4:$J$9)*(1+$B$12)^O$2&gt;1900*'Deterministic LCCA'!$C$32, 1900*'Deterministic LCCA'!$C$32,AVERAGE($J$4:$J$9)*(1+$B$12)^O$2))</f>
        <v/>
      </c>
      <c r="M8" s="200">
        <f>IF(O$2="No activity",0,IF(AVERAGE($K$4:$K$9)*(1+$B$12)^O$2&gt;1900*'Deterministic LCCA'!$E$32, 1900*'Deterministic LCCA'!$E$32,AVERAGE($K$4:$K$9)*(1+$B$12)^O$2))</f>
        <v/>
      </c>
      <c r="N8" s="92">
        <f>IF($E8="WZ",IF(L8&gt;$B$10,1,0),IF(L8&gt;'Deterministic LCCA'!$E$45*'Deterministic LCCA'!$C$32,1,0))</f>
        <v/>
      </c>
      <c r="O8" s="92">
        <f>IF($E8="WZ",IF(M8&gt;$B$10,1,0),IF(M8&gt;'Deterministic LCCA'!$E$45*'Deterministic LCCA'!$E$32,1,0))</f>
        <v/>
      </c>
      <c r="P8" s="200">
        <f>IF(S$2="No activity",0,IF(AVERAGE($J$4:$J$9)*(1+$B$12)^S$2&gt;1900*'Deterministic LCCA'!$C$32, 1900*'Deterministic LCCA'!$C$32,AVERAGE($J$4:$J$9)*(1+$B$12)^S$2))</f>
        <v/>
      </c>
      <c r="Q8" s="200">
        <f>IF(S$2="No activity",0,IF(AVERAGE($K$4:$K$9)*(1+$B$12)^S$2&gt;1900*'Deterministic LCCA'!$E$32, 1900*'Deterministic LCCA'!$E$32,AVERAGE($K$4:$K$9)*(1+$B$12)^S$2))</f>
        <v/>
      </c>
      <c r="R8" s="92">
        <f>IF($E8="WZ",IF(P8&gt;$B$10,1,0),IF(P8&gt;'Deterministic LCCA'!$E$45*'Deterministic LCCA'!$C$32,1,0))</f>
        <v/>
      </c>
      <c r="S8" s="92">
        <f>IF($E8="WZ",IF(Q8&gt;$B$10,1,0),IF(Q8&gt;'Deterministic LCCA'!$E$45*'Deterministic LCCA'!$E$32,1,0))</f>
        <v/>
      </c>
      <c r="T8" s="200">
        <f>IF(W$2="No activity",0,IF(AVERAGE($J$4:$J$9)*(1+$B$12)^W$2&gt;1900*'Deterministic LCCA'!$C$32, 1900*'Deterministic LCCA'!$C$32,AVERAGE($J$4:$J$9)*(1+$B$12)^W$2))</f>
        <v/>
      </c>
      <c r="U8" s="200">
        <f>IF(W$2="No activity",0,IF(AVERAGE($K$4:$K$9)*(1+$B$12)^W$2&gt;1900*'Deterministic LCCA'!$E$32, 1900*'Deterministic LCCA'!$E$32,AVERAGE($K$4:$K$9)*(1+$B$12)^W$2))</f>
        <v/>
      </c>
      <c r="V8" s="92">
        <f>IF($E8="WZ",IF(T8&gt;$B$10,1,0),IF(T8&gt;'Deterministic LCCA'!$E$45*'Deterministic LCCA'!$C$32,1,0))</f>
        <v/>
      </c>
      <c r="W8" s="92">
        <f>IF($E8="WZ",IF(U8&gt;$B$10,1,0),IF(U8&gt;'Deterministic LCCA'!$E$45*'Deterministic LCCA'!$E$32,1,0))</f>
        <v/>
      </c>
      <c r="X8" s="201">
        <f>IF(AA$2="No activity",0,IF(AVERAGE($J$4:$J$9)*(1+$B$12)^AA$2&gt;1900*'Deterministic LCCA'!$C$32, 1900*'Deterministic LCCA'!$C$32,AVERAGE($J$4:$J$9)*(1+$B$12)^AA$2))</f>
        <v/>
      </c>
      <c r="Y8" s="201">
        <f>IF(AA$2="No activity",0,IF(AVERAGE($K$4:$K$9)*(1+$B$12)^AA$2&gt;1900*'Deterministic LCCA'!$E$32, 1900*'Deterministic LCCA'!$E$32,AVERAGE($K$4:$K$9)*(1+$B$12)^AA$2))</f>
        <v/>
      </c>
      <c r="Z8" s="202">
        <f>IF($E8="WZ",IF(X8&gt;$B$10,1,0),IF(X8&gt;'Deterministic LCCA'!$E$45*'Deterministic LCCA'!$C$32,1,0))</f>
        <v/>
      </c>
      <c r="AA8" s="202">
        <f>IF($E8="WZ",IF(Y8&gt;$B$10,1,0),IF(Y8&gt;'Deterministic LCCA'!$E$45*'Deterministic LCCA'!$E$32,1,0))</f>
        <v/>
      </c>
      <c r="AB8" s="201">
        <f>IF(AE$2="No activity",0,IF(AVERAGE($J$4:$J$9)*(1+$B$12)^AE$2&gt;1900*'Deterministic LCCA'!$C$32, 1900*'Deterministic LCCA'!$C$32,AVERAGE($J$4:$J$9)*(1+$B$12)^AE$2))</f>
        <v/>
      </c>
      <c r="AC8" s="201">
        <f>IF(AE$2="No activity",0,IF(AVERAGE($K$4:$K$9)*(1+$B$12)^AE$2&gt;1900*'Deterministic LCCA'!$E$32, 1900*'Deterministic LCCA'!$E$32,AVERAGE($K$4:$K$9)*(1+$B$12)^AE$2))</f>
        <v/>
      </c>
      <c r="AD8" s="202">
        <f>IF($E8="WZ",IF(AB8&gt;$B$10,1,0),IF(AB8&gt;'Deterministic LCCA'!$E$45*'Deterministic LCCA'!$C$32,1,0))</f>
        <v/>
      </c>
      <c r="AE8" s="202">
        <f>IF($E8="WZ",IF(AC8&gt;$B$10,1,0),IF(AC8&gt;'Deterministic LCCA'!$E$45*'Deterministic LCCA'!$E$32,1,0))</f>
        <v/>
      </c>
      <c r="AF8" s="201">
        <f>IF(AI$2="No activity",0,IF(AVERAGE($J$4:$J$9)*(1+$B$12)^AI$2&gt;1900*'Deterministic LCCA'!$C$32, 1900*'Deterministic LCCA'!$C$32,AVERAGE($J$4:$J$9)*(1+$B$12)^AI$2))</f>
        <v/>
      </c>
      <c r="AG8" s="201">
        <f>IF(AI$2="No activity",0,IF(AVERAGE($K$4:$K$9)*(1+$B$12)^AI$2&gt;1900*'Deterministic LCCA'!$E$32, 1900*'Deterministic LCCA'!$E$32,AVERAGE($K$4:$K$9)*(1+$B$12)^AI$2))</f>
        <v/>
      </c>
      <c r="AH8" s="202">
        <f>IF($E8="WZ",IF(AF8&gt;$B$10,1,0),IF(AF8&gt;'Deterministic LCCA'!$E$45*'Deterministic LCCA'!$C$32,1,0))</f>
        <v/>
      </c>
      <c r="AI8" s="203">
        <f>IF($E8="WZ",IF(AG8&gt;$B$10,1,0),IF(AG8&gt;'Deterministic LCCA'!$E$45*'Deterministic LCCA'!$E$32,1,0))</f>
        <v/>
      </c>
    </row>
    <row r="9" spans="1:35">
      <c r="A9" s="229" t="s">
        <v>173</v>
      </c>
      <c r="B9" s="229" t="s">
        <v>174</v>
      </c>
      <c r="C9" s="229" t="s">
        <v>175</v>
      </c>
      <c r="E9" s="182">
        <f>IF('Deterministic LCCA'!H31="Y", "WZ","Non-WZ")</f>
        <v/>
      </c>
      <c r="F9" s="195" t="s">
        <v>176</v>
      </c>
      <c r="G9" s="196" t="n">
        <v>1.7</v>
      </c>
      <c r="H9" s="196" t="n">
        <v>58</v>
      </c>
      <c r="I9" s="196">
        <f>100-H9</f>
        <v/>
      </c>
      <c r="J9" s="197">
        <f>$B$13*G9/100*H9/100</f>
        <v/>
      </c>
      <c r="K9" s="198">
        <f>$B$13*G9/100*I9/100</f>
        <v/>
      </c>
      <c r="L9" s="199">
        <f>IF(O$2="No activity",0,IF(AVERAGE($J$4:$J$9)*(1+$B$12)^O$2&gt;1900*'Deterministic LCCA'!$C$32, 1900*'Deterministic LCCA'!$C$32,AVERAGE($J$4:$J$9)*(1+$B$12)^O$2))</f>
        <v/>
      </c>
      <c r="M9" s="200">
        <f>IF(O$2="No activity",0,IF(AVERAGE($K$4:$K$9)*(1+$B$12)^O$2&gt;1900*'Deterministic LCCA'!$E$32, 1900*'Deterministic LCCA'!$E$32,AVERAGE($K$4:$K$9)*(1+$B$12)^O$2))</f>
        <v/>
      </c>
      <c r="N9" s="92">
        <f>IF($E9="WZ",IF(L9&gt;$B$10,1,0),IF(L9&gt;'Deterministic LCCA'!$E$45*'Deterministic LCCA'!$C$32,1,0))</f>
        <v/>
      </c>
      <c r="O9" s="92">
        <f>IF($E9="WZ",IF(M9&gt;$B$10,1,0),IF(M9&gt;'Deterministic LCCA'!$E$45*'Deterministic LCCA'!$E$32,1,0))</f>
        <v/>
      </c>
      <c r="P9" s="200">
        <f>IF(S$2="No activity",0,IF(AVERAGE($J$4:$J$9)*(1+$B$12)^S$2&gt;1900*'Deterministic LCCA'!$C$32, 1900*'Deterministic LCCA'!$C$32,AVERAGE($J$4:$J$9)*(1+$B$12)^S$2))</f>
        <v/>
      </c>
      <c r="Q9" s="200">
        <f>IF(S$2="No activity",0,IF(AVERAGE($K$4:$K$9)*(1+$B$12)^S$2&gt;1900*'Deterministic LCCA'!$E$32, 1900*'Deterministic LCCA'!$E$32,AVERAGE($K$4:$K$9)*(1+$B$12)^S$2))</f>
        <v/>
      </c>
      <c r="R9" s="92">
        <f>IF($E9="WZ",IF(P9&gt;$B$10,1,0),IF(P9&gt;'Deterministic LCCA'!$E$45*'Deterministic LCCA'!$C$32,1,0))</f>
        <v/>
      </c>
      <c r="S9" s="92">
        <f>IF($E9="WZ",IF(Q9&gt;$B$10,1,0),IF(Q9&gt;'Deterministic LCCA'!$E$45*'Deterministic LCCA'!$E$32,1,0))</f>
        <v/>
      </c>
      <c r="T9" s="200">
        <f>IF(W$2="No activity",0,IF(AVERAGE($J$4:$J$9)*(1+$B$12)^W$2&gt;1900*'Deterministic LCCA'!$C$32, 1900*'Deterministic LCCA'!$C$32,AVERAGE($J$4:$J$9)*(1+$B$12)^W$2))</f>
        <v/>
      </c>
      <c r="U9" s="200">
        <f>IF(W$2="No activity",0,IF(AVERAGE($K$4:$K$9)*(1+$B$12)^W$2&gt;1900*'Deterministic LCCA'!$E$32, 1900*'Deterministic LCCA'!$E$32,AVERAGE($K$4:$K$9)*(1+$B$12)^W$2))</f>
        <v/>
      </c>
      <c r="V9" s="92">
        <f>IF($E9="WZ",IF(T9&gt;$B$10,1,0),IF(T9&gt;'Deterministic LCCA'!$E$45*'Deterministic LCCA'!$C$32,1,0))</f>
        <v/>
      </c>
      <c r="W9" s="92">
        <f>IF($E9="WZ",IF(U9&gt;$B$10,1,0),IF(U9&gt;'Deterministic LCCA'!$E$45*'Deterministic LCCA'!$E$32,1,0))</f>
        <v/>
      </c>
      <c r="X9" s="201">
        <f>IF(AA$2="No activity",0,IF(AVERAGE($J$4:$J$9)*(1+$B$12)^AA$2&gt;1900*'Deterministic LCCA'!$C$32, 1900*'Deterministic LCCA'!$C$32,AVERAGE($J$4:$J$9)*(1+$B$12)^AA$2))</f>
        <v/>
      </c>
      <c r="Y9" s="201">
        <f>IF(AA$2="No activity",0,IF(AVERAGE($K$4:$K$9)*(1+$B$12)^AA$2&gt;1900*'Deterministic LCCA'!$E$32, 1900*'Deterministic LCCA'!$E$32,AVERAGE($K$4:$K$9)*(1+$B$12)^AA$2))</f>
        <v/>
      </c>
      <c r="Z9" s="202">
        <f>IF($E9="WZ",IF(X9&gt;$B$10,1,0),IF(X9&gt;'Deterministic LCCA'!$E$45*'Deterministic LCCA'!$C$32,1,0))</f>
        <v/>
      </c>
      <c r="AA9" s="202">
        <f>IF($E9="WZ",IF(Y9&gt;$B$10,1,0),IF(Y9&gt;'Deterministic LCCA'!$E$45*'Deterministic LCCA'!$E$32,1,0))</f>
        <v/>
      </c>
      <c r="AB9" s="201">
        <f>IF(AE$2="No activity",0,IF(AVERAGE($J$4:$J$9)*(1+$B$12)^AE$2&gt;1900*'Deterministic LCCA'!$C$32, 1900*'Deterministic LCCA'!$C$32,AVERAGE($J$4:$J$9)*(1+$B$12)^AE$2))</f>
        <v/>
      </c>
      <c r="AC9" s="201">
        <f>IF(AE$2="No activity",0,IF(AVERAGE($K$4:$K$9)*(1+$B$12)^AE$2&gt;1900*'Deterministic LCCA'!$E$32, 1900*'Deterministic LCCA'!$E$32,AVERAGE($K$4:$K$9)*(1+$B$12)^AE$2))</f>
        <v/>
      </c>
      <c r="AD9" s="202">
        <f>IF($E9="WZ",IF(AB9&gt;$B$10,1,0),IF(AB9&gt;'Deterministic LCCA'!$E$45*'Deterministic LCCA'!$C$32,1,0))</f>
        <v/>
      </c>
      <c r="AE9" s="202">
        <f>IF($E9="WZ",IF(AC9&gt;$B$10,1,0),IF(AC9&gt;'Deterministic LCCA'!$E$45*'Deterministic LCCA'!$E$32,1,0))</f>
        <v/>
      </c>
      <c r="AF9" s="201">
        <f>IF(AI$2="No activity",0,IF(AVERAGE($J$4:$J$9)*(1+$B$12)^AI$2&gt;1900*'Deterministic LCCA'!$C$32, 1900*'Deterministic LCCA'!$C$32,AVERAGE($J$4:$J$9)*(1+$B$12)^AI$2))</f>
        <v/>
      </c>
      <c r="AG9" s="201">
        <f>IF(AI$2="No activity",0,IF(AVERAGE($K$4:$K$9)*(1+$B$12)^AI$2&gt;1900*'Deterministic LCCA'!$E$32, 1900*'Deterministic LCCA'!$E$32,AVERAGE($K$4:$K$9)*(1+$B$12)^AI$2))</f>
        <v/>
      </c>
      <c r="AH9" s="202">
        <f>IF($E9="WZ",IF(AF9&gt;$B$10,1,0),IF(AF9&gt;'Deterministic LCCA'!$E$45*'Deterministic LCCA'!$C$32,1,0))</f>
        <v/>
      </c>
      <c r="AI9" s="203">
        <f>IF($E9="WZ",IF(AG9&gt;$B$10,1,0),IF(AG9&gt;'Deterministic LCCA'!$E$45*'Deterministic LCCA'!$E$32,1,0))</f>
        <v/>
      </c>
    </row>
    <row r="10" spans="1:35">
      <c r="A10" s="229" t="n"/>
      <c r="B10" s="204">
        <f>'Deterministic LCCA'!C45</f>
        <v/>
      </c>
      <c r="C10" s="204">
        <f>1170*'Deterministic LCCA'!C43</f>
        <v/>
      </c>
      <c r="D10" s="299" t="n"/>
      <c r="E10" s="182">
        <f>IF('Deterministic LCCA'!H32="Y", "WZ","Non-WZ")</f>
        <v/>
      </c>
      <c r="F10" s="205" t="s">
        <v>177</v>
      </c>
      <c r="G10" s="196" t="n">
        <v>5.1</v>
      </c>
      <c r="H10" s="196" t="n">
        <v>63</v>
      </c>
      <c r="I10" s="196">
        <f>100-H10</f>
        <v/>
      </c>
      <c r="J10" s="197">
        <f>$B$13*G10/100*H10/100</f>
        <v/>
      </c>
      <c r="K10" s="198">
        <f>$B$13*G10/100*I10/100</f>
        <v/>
      </c>
      <c r="L10" s="199">
        <f>IF(O$2="No activity",0,IF(AVERAGE($J$10:$J$13)*(1+$B$12)^O$2&gt;1900*'Deterministic LCCA'!$C$32, 1900*'Deterministic LCCA'!$C$32, AVERAGE($J$10:$J$13)*(1+$B$12)^O$2))</f>
        <v/>
      </c>
      <c r="M10" s="200">
        <f>IF(O$2="No activity",0,IF(AVERAGE($K$10:$K$13)*(1+$B$12)^O$2&gt;1900*'Deterministic LCCA'!$E$32, 1900*'Deterministic LCCA'!$E$32,AVERAGE($K$10:$K$13)*(1+$B$12)^O$2))</f>
        <v/>
      </c>
      <c r="N10" s="92">
        <f>IF($E10="WZ",IF(L10&gt;$B$10,1,0),IF(L10&gt;'Deterministic LCCA'!$E$45*'Deterministic LCCA'!$C$32,1,0))</f>
        <v/>
      </c>
      <c r="O10" s="92">
        <f>IF($E10="WZ",IF(M10&gt;$B$10,1,0),IF(M10&gt;'Deterministic LCCA'!$E$45*'Deterministic LCCA'!$E$32,1,0))</f>
        <v/>
      </c>
      <c r="P10" s="200">
        <f>IF(S$2="No activity",0,IF(AVERAGE($J$10:$J$13)*(1+$B$12)^S$2&gt;1900*'Deterministic LCCA'!$C$32, 1900*'Deterministic LCCA'!$C$32, AVERAGE($J$10:$J$13)*(1+$B$12)^S$2))</f>
        <v/>
      </c>
      <c r="Q10" s="200">
        <f>IF(S$2="No activity",0,IF(AVERAGE($K$10:$K$13)*(1+$B$12)^S$2&gt;1900*'Deterministic LCCA'!$E$32, 1900*'Deterministic LCCA'!$E$32,AVERAGE($K$10:$K$13)*(1+$B$12)^S$2))</f>
        <v/>
      </c>
      <c r="R10" s="92">
        <f>IF($E10="WZ",IF(P10&gt;$B$10,1,0),IF(P10&gt;'Deterministic LCCA'!$E$45*'Deterministic LCCA'!$C$32,1,0))</f>
        <v/>
      </c>
      <c r="S10" s="92">
        <f>IF($E10="WZ",IF(Q10&gt;$B$10,1,0),IF(Q10&gt;'Deterministic LCCA'!$E$45*'Deterministic LCCA'!$E$32,1,0))</f>
        <v/>
      </c>
      <c r="T10" s="200">
        <f>IF(W$2="No activity",0,IF(AVERAGE($J$10:$J$13)*(1+$B$12)^W$2&gt;1900*'Deterministic LCCA'!$C$32, 1900*'Deterministic LCCA'!$C$32, AVERAGE($J$10:$J$13)*(1+$B$12)^W$2))</f>
        <v/>
      </c>
      <c r="U10" s="200">
        <f>IF(W$2="No activity",0,IF(AVERAGE($K$10:$K$13)*(1+$B$12)^W$2&gt;1900*'Deterministic LCCA'!$E$32, 1900*'Deterministic LCCA'!$E$32,AVERAGE($K$10:$K$13)*(1+$B$12)^W$2))</f>
        <v/>
      </c>
      <c r="V10" s="92">
        <f>IF($E10="WZ",IF(T10&gt;$B$10,1,0),IF(T10&gt;'Deterministic LCCA'!$E$45*'Deterministic LCCA'!$C$32,1,0))</f>
        <v/>
      </c>
      <c r="W10" s="92">
        <f>IF($E10="WZ",IF(U10&gt;$B$10,1,0),IF(U10&gt;'Deterministic LCCA'!$E$45*'Deterministic LCCA'!$E$32,1,0))</f>
        <v/>
      </c>
      <c r="X10" s="201">
        <f>IF(AA$2="No activity",0,IF(AVERAGE($J$10:$J$13)*(1+$B$12)^AA$2&gt;1900*'Deterministic LCCA'!$C$32, 1900*'Deterministic LCCA'!$C$32, AVERAGE($J$10:$J$13)*(1+$B$12)^AA$2))</f>
        <v/>
      </c>
      <c r="Y10" s="201">
        <f>IF(AA$2="No activity",0,IF(AVERAGE($K$10:$K$13)*(1+$B$12)^AA$2&gt;1900*'Deterministic LCCA'!$E$32, 1900*'Deterministic LCCA'!$E$32,AVERAGE($K$10:$K$13)*(1+$B$12)^AA$2))</f>
        <v/>
      </c>
      <c r="Z10" s="202">
        <f>IF($E10="WZ",IF(X10&gt;$B$10,1,0),IF(X10&gt;'Deterministic LCCA'!$E$45*'Deterministic LCCA'!$C$32,1,0))</f>
        <v/>
      </c>
      <c r="AA10" s="202">
        <f>IF($E10="WZ",IF(Y10&gt;$B$10,1,0),IF(Y10&gt;'Deterministic LCCA'!$E$45*'Deterministic LCCA'!$E$32,1,0))</f>
        <v/>
      </c>
      <c r="AB10" s="201">
        <f>IF(AE$2="No activity",0,IF(AVERAGE($J$10:$J$13)*(1+$B$12)^AE$2&gt;1900*'Deterministic LCCA'!$C$32, 1900*'Deterministic LCCA'!$C$32, AVERAGE($J$10:$J$13)*(1+$B$12)^AE$2))</f>
        <v/>
      </c>
      <c r="AC10" s="201">
        <f>IF(AE$2="No activity",0,IF(AVERAGE($K$10:$K$13)*(1+$B$12)^AE$2&gt;1900*'Deterministic LCCA'!$E$32, 1900*'Deterministic LCCA'!$E$32,AVERAGE($K$10:$K$13)*(1+$B$12)^AE$2))</f>
        <v/>
      </c>
      <c r="AD10" s="202">
        <f>IF($E10="WZ",IF(AB10&gt;$B$10,1,0),IF(AB10&gt;'Deterministic LCCA'!$E$45*'Deterministic LCCA'!$C$32,1,0))</f>
        <v/>
      </c>
      <c r="AE10" s="202">
        <f>IF($E10="WZ",IF(AC10&gt;$B$10,1,0),IF(AC10&gt;'Deterministic LCCA'!$E$45*'Deterministic LCCA'!$E$32,1,0))</f>
        <v/>
      </c>
      <c r="AF10" s="201">
        <f>IF(AI$2="No activity",0,IF(AVERAGE($J$10:$J$13)*(1+$B$12)^AI$2&gt;1900*'Deterministic LCCA'!$C$32, 1900*'Deterministic LCCA'!$C$32, AVERAGE($J$10:$J$13)*(1+$B$12)^AI$2))</f>
        <v/>
      </c>
      <c r="AG10" s="201">
        <f>IF(AI$2="No activity",0,IF(AVERAGE($K$10:$K$13)*(1+$B$12)^AI$2&gt;1900*'Deterministic LCCA'!$E$32, 1900*'Deterministic LCCA'!$E$32,AVERAGE($K$10:$K$13)*(1+$B$12)^AI$2))</f>
        <v/>
      </c>
      <c r="AH10" s="202">
        <f>IF($E10="WZ",IF(AF10&gt;$B$10,1,0),IF(AF10&gt;'Deterministic LCCA'!$E$45*'Deterministic LCCA'!$C$32,1,0))</f>
        <v/>
      </c>
      <c r="AI10" s="203">
        <f>IF($E10="WZ",IF(AG10&gt;$B$10,1,0),IF(AG10&gt;'Deterministic LCCA'!$E$45*'Deterministic LCCA'!$E$32,1,0))</f>
        <v/>
      </c>
    </row>
    <row r="11" spans="1:35">
      <c r="A11" s="229" t="s">
        <v>178</v>
      </c>
      <c r="B11" s="204">
        <f>'Deterministic LCCA'!C47</f>
        <v/>
      </c>
      <c r="C11" s="204" t="n"/>
      <c r="D11" s="299" t="n"/>
      <c r="E11" s="182">
        <f>IF('Deterministic LCCA'!H33="Y", "WZ","Non-WZ")</f>
        <v/>
      </c>
      <c r="F11" s="205" t="s">
        <v>179</v>
      </c>
      <c r="G11" s="196" t="n">
        <v>7.8</v>
      </c>
      <c r="H11" s="196" t="n">
        <v>60</v>
      </c>
      <c r="I11" s="196">
        <f>100-H11</f>
        <v/>
      </c>
      <c r="J11" s="197">
        <f>$B$13*G11/100*H11/100</f>
        <v/>
      </c>
      <c r="K11" s="198">
        <f>$B$13*G11/100*I11/100</f>
        <v/>
      </c>
      <c r="L11" s="199">
        <f>IF(O$2="No activity",0,IF(AVERAGE($J$10:$J$13)*(1+$B$12)^O$2&gt;1900*'Deterministic LCCA'!$C$32, 1900*'Deterministic LCCA'!$C$32, AVERAGE($J$10:$J$13)*(1+$B$12)^O$2))</f>
        <v/>
      </c>
      <c r="M11" s="200">
        <f>IF(O$2="No activity",0,IF(AVERAGE($K$10:$K$13)*(1+$B$12)^O$2&gt;1900*'Deterministic LCCA'!$E$32, 1900*'Deterministic LCCA'!$E$32,AVERAGE($K$10:$K$13)*(1+$B$12)^O$2))</f>
        <v/>
      </c>
      <c r="N11" s="92">
        <f>IF($E11="WZ",IF(L11&gt;$B$10,1,0),IF(L11&gt;'Deterministic LCCA'!$E$45*'Deterministic LCCA'!$C$32,1,0))</f>
        <v/>
      </c>
      <c r="O11" s="92">
        <f>IF($E11="WZ",IF(M11&gt;$B$10,1,0),IF(M11&gt;'Deterministic LCCA'!$E$45*'Deterministic LCCA'!$E$32,1,0))</f>
        <v/>
      </c>
      <c r="P11" s="200">
        <f>IF(S$2="No activity",0,IF(AVERAGE($J$10:$J$13)*(1+$B$12)^S$2&gt;1900*'Deterministic LCCA'!$C$32, 1900*'Deterministic LCCA'!$C$32, AVERAGE($J$10:$J$13)*(1+$B$12)^S$2))</f>
        <v/>
      </c>
      <c r="Q11" s="200">
        <f>IF(S$2="No activity",0,IF(AVERAGE($K$10:$K$13)*(1+$B$12)^S$2&gt;1900*'Deterministic LCCA'!$E$32, 1900*'Deterministic LCCA'!$E$32,AVERAGE($K$10:$K$13)*(1+$B$12)^S$2))</f>
        <v/>
      </c>
      <c r="R11" s="92">
        <f>IF($E11="WZ",IF(P11&gt;$B$10,1,0),IF(P11&gt;'Deterministic LCCA'!$E$45*'Deterministic LCCA'!$C$32,1,0))</f>
        <v/>
      </c>
      <c r="S11" s="92">
        <f>IF($E11="WZ",IF(Q11&gt;$B$10,1,0),IF(Q11&gt;'Deterministic LCCA'!$E$45*'Deterministic LCCA'!$E$32,1,0))</f>
        <v/>
      </c>
      <c r="T11" s="200">
        <f>IF(W$2="No activity",0,IF(AVERAGE($J$10:$J$13)*(1+$B$12)^W$2&gt;1900*'Deterministic LCCA'!$C$32, 1900*'Deterministic LCCA'!$C$32, AVERAGE($J$10:$J$13)*(1+$B$12)^W$2))</f>
        <v/>
      </c>
      <c r="U11" s="200">
        <f>IF(W$2="No activity",0,IF(AVERAGE($K$10:$K$13)*(1+$B$12)^W$2&gt;1900*'Deterministic LCCA'!$E$32, 1900*'Deterministic LCCA'!$E$32,AVERAGE($K$10:$K$13)*(1+$B$12)^W$2))</f>
        <v/>
      </c>
      <c r="V11" s="92">
        <f>IF($E11="WZ",IF(T11&gt;$B$10,1,0),IF(T11&gt;'Deterministic LCCA'!$E$45*'Deterministic LCCA'!$C$32,1,0))</f>
        <v/>
      </c>
      <c r="W11" s="92">
        <f>IF($E11="WZ",IF(U11&gt;$B$10,1,0),IF(U11&gt;'Deterministic LCCA'!$E$45*'Deterministic LCCA'!$E$32,1,0))</f>
        <v/>
      </c>
      <c r="X11" s="201">
        <f>IF(AA$2="No activity",0,IF(AVERAGE($J$10:$J$13)*(1+$B$12)^AA$2&gt;1900*'Deterministic LCCA'!$C$32, 1900*'Deterministic LCCA'!$C$32, AVERAGE($J$10:$J$13)*(1+$B$12)^AA$2))</f>
        <v/>
      </c>
      <c r="Y11" s="201">
        <f>IF(AA$2="No activity",0,IF(AVERAGE($K$10:$K$13)*(1+$B$12)^AA$2&gt;1900*'Deterministic LCCA'!$E$32, 1900*'Deterministic LCCA'!$E$32,AVERAGE($K$10:$K$13)*(1+$B$12)^AA$2))</f>
        <v/>
      </c>
      <c r="Z11" s="202">
        <f>IF($E11="WZ",IF(X11&gt;$B$10,1,0),IF(X11&gt;'Deterministic LCCA'!$E$45*'Deterministic LCCA'!$C$32,1,0))</f>
        <v/>
      </c>
      <c r="AA11" s="202">
        <f>IF($E11="WZ",IF(Y11&gt;$B$10,1,0),IF(Y11&gt;'Deterministic LCCA'!$E$45*'Deterministic LCCA'!$E$32,1,0))</f>
        <v/>
      </c>
      <c r="AB11" s="201">
        <f>IF(AE$2="No activity",0,IF(AVERAGE($J$10:$J$13)*(1+$B$12)^AE$2&gt;1900*'Deterministic LCCA'!$C$32, 1900*'Deterministic LCCA'!$C$32, AVERAGE($J$10:$J$13)*(1+$B$12)^AE$2))</f>
        <v/>
      </c>
      <c r="AC11" s="201">
        <f>IF(AE$2="No activity",0,IF(AVERAGE($K$10:$K$13)*(1+$B$12)^AE$2&gt;1900*'Deterministic LCCA'!$E$32, 1900*'Deterministic LCCA'!$E$32,AVERAGE($K$10:$K$13)*(1+$B$12)^AE$2))</f>
        <v/>
      </c>
      <c r="AD11" s="202">
        <f>IF($E11="WZ",IF(AB11&gt;$B$10,1,0),IF(AB11&gt;'Deterministic LCCA'!$E$45*'Deterministic LCCA'!$C$32,1,0))</f>
        <v/>
      </c>
      <c r="AE11" s="202">
        <f>IF($E11="WZ",IF(AC11&gt;$B$10,1,0),IF(AC11&gt;'Deterministic LCCA'!$E$45*'Deterministic LCCA'!$E$32,1,0))</f>
        <v/>
      </c>
      <c r="AF11" s="201">
        <f>IF(AI$2="No activity",0,IF(AVERAGE($J$10:$J$13)*(1+$B$12)^AI$2&gt;1900*'Deterministic LCCA'!$C$32, 1900*'Deterministic LCCA'!$C$32, AVERAGE($J$10:$J$13)*(1+$B$12)^AI$2))</f>
        <v/>
      </c>
      <c r="AG11" s="201">
        <f>IF(AI$2="No activity",0,IF(AVERAGE($K$10:$K$13)*(1+$B$12)^AI$2&gt;1900*'Deterministic LCCA'!$E$32, 1900*'Deterministic LCCA'!$E$32,AVERAGE($K$10:$K$13)*(1+$B$12)^AI$2))</f>
        <v/>
      </c>
      <c r="AH11" s="202">
        <f>IF($E11="WZ",IF(AF11&gt;$B$10,1,0),IF(AF11&gt;'Deterministic LCCA'!$E$45*'Deterministic LCCA'!$C$32,1,0))</f>
        <v/>
      </c>
      <c r="AI11" s="203">
        <f>IF($E11="WZ",IF(AG11&gt;$B$10,1,0),IF(AG11&gt;'Deterministic LCCA'!$E$45*'Deterministic LCCA'!$E$32,1,0))</f>
        <v/>
      </c>
    </row>
    <row r="12" spans="1:35">
      <c r="A12" s="229" t="s">
        <v>180</v>
      </c>
      <c r="B12" s="206">
        <f>'Deterministic LCCA'!B31</f>
        <v/>
      </c>
      <c r="C12" s="204" t="n"/>
      <c r="D12" s="299" t="n"/>
      <c r="E12" s="182">
        <f>IF('Deterministic LCCA'!H34="Y", "WZ","Non-WZ")</f>
        <v/>
      </c>
      <c r="F12" s="205" t="s">
        <v>181</v>
      </c>
      <c r="G12" s="196" t="n">
        <v>6.3</v>
      </c>
      <c r="H12" s="196" t="n">
        <v>59</v>
      </c>
      <c r="I12" s="196">
        <f>100-H12</f>
        <v/>
      </c>
      <c r="J12" s="197">
        <f>$B$13*G12/100*H12/100</f>
        <v/>
      </c>
      <c r="K12" s="198">
        <f>$B$13*G12/100*I12/100</f>
        <v/>
      </c>
      <c r="L12" s="199">
        <f>IF(O$2="No activity",0,IF(AVERAGE($J$10:$J$13)*(1+$B$12)^O$2&gt;1900*'Deterministic LCCA'!$C$32, 1900*'Deterministic LCCA'!$C$32, AVERAGE($J$10:$J$13)*(1+$B$12)^O$2))</f>
        <v/>
      </c>
      <c r="M12" s="200">
        <f>IF(O$2="No activity",0,IF(AVERAGE($K$10:$K$13)*(1+$B$12)^O$2&gt;1900*'Deterministic LCCA'!$E$32, 1900*'Deterministic LCCA'!$E$32,AVERAGE($K$10:$K$13)*(1+$B$12)^O$2))</f>
        <v/>
      </c>
      <c r="N12" s="92">
        <f>IF($E12="WZ",IF(L12&gt;$B$10,1,0),IF(L12&gt;'Deterministic LCCA'!$E$45*'Deterministic LCCA'!$C$32,1,0))</f>
        <v/>
      </c>
      <c r="O12" s="92">
        <f>IF($E12="WZ",IF(M12&gt;$B$10,1,0),IF(M12&gt;'Deterministic LCCA'!$E$45*'Deterministic LCCA'!$E$32,1,0))</f>
        <v/>
      </c>
      <c r="P12" s="200">
        <f>IF(S$2="No activity",0,IF(AVERAGE($J$10:$J$13)*(1+$B$12)^S$2&gt;1900*'Deterministic LCCA'!$C$32, 1900*'Deterministic LCCA'!$C$32, AVERAGE($J$10:$J$13)*(1+$B$12)^S$2))</f>
        <v/>
      </c>
      <c r="Q12" s="200">
        <f>IF(S$2="No activity",0,IF(AVERAGE($K$10:$K$13)*(1+$B$12)^S$2&gt;1900*'Deterministic LCCA'!$E$32, 1900*'Deterministic LCCA'!$E$32,AVERAGE($K$10:$K$13)*(1+$B$12)^S$2))</f>
        <v/>
      </c>
      <c r="R12" s="92">
        <f>IF($E12="WZ",IF(P12&gt;$B$10,1,0),IF(P12&gt;'Deterministic LCCA'!$E$45*'Deterministic LCCA'!$C$32,1,0))</f>
        <v/>
      </c>
      <c r="S12" s="92">
        <f>IF($E12="WZ",IF(Q12&gt;$B$10,1,0),IF(Q12&gt;'Deterministic LCCA'!$E$45*'Deterministic LCCA'!$E$32,1,0))</f>
        <v/>
      </c>
      <c r="T12" s="200">
        <f>IF(W$2="No activity",0,IF(AVERAGE($J$10:$J$13)*(1+$B$12)^W$2&gt;1900*'Deterministic LCCA'!$C$32, 1900*'Deterministic LCCA'!$C$32, AVERAGE($J$10:$J$13)*(1+$B$12)^W$2))</f>
        <v/>
      </c>
      <c r="U12" s="200">
        <f>IF(W$2="No activity",0,IF(AVERAGE($K$10:$K$13)*(1+$B$12)^W$2&gt;1900*'Deterministic LCCA'!$E$32, 1900*'Deterministic LCCA'!$E$32,AVERAGE($K$10:$K$13)*(1+$B$12)^W$2))</f>
        <v/>
      </c>
      <c r="V12" s="92">
        <f>IF($E12="WZ",IF(T12&gt;$B$10,1,0),IF(T12&gt;'Deterministic LCCA'!$E$45*'Deterministic LCCA'!$C$32,1,0))</f>
        <v/>
      </c>
      <c r="W12" s="92">
        <f>IF($E12="WZ",IF(U12&gt;$B$10,1,0),IF(U12&gt;'Deterministic LCCA'!$E$45*'Deterministic LCCA'!$E$32,1,0))</f>
        <v/>
      </c>
      <c r="X12" s="201">
        <f>IF(AA$2="No activity",0,IF(AVERAGE($J$10:$J$13)*(1+$B$12)^AA$2&gt;1900*'Deterministic LCCA'!$C$32, 1900*'Deterministic LCCA'!$C$32, AVERAGE($J$10:$J$13)*(1+$B$12)^AA$2))</f>
        <v/>
      </c>
      <c r="Y12" s="201">
        <f>IF(AA$2="No activity",0,IF(AVERAGE($K$10:$K$13)*(1+$B$12)^AA$2&gt;1900*'Deterministic LCCA'!$E$32, 1900*'Deterministic LCCA'!$E$32,AVERAGE($K$10:$K$13)*(1+$B$12)^AA$2))</f>
        <v/>
      </c>
      <c r="Z12" s="202">
        <f>IF($E12="WZ",IF(X12&gt;$B$10,1,0),IF(X12&gt;'Deterministic LCCA'!$E$45*'Deterministic LCCA'!$C$32,1,0))</f>
        <v/>
      </c>
      <c r="AA12" s="202">
        <f>IF($E12="WZ",IF(Y12&gt;$B$10,1,0),IF(Y12&gt;'Deterministic LCCA'!$E$45*'Deterministic LCCA'!$E$32,1,0))</f>
        <v/>
      </c>
      <c r="AB12" s="201">
        <f>IF(AE$2="No activity",0,IF(AVERAGE($J$10:$J$13)*(1+$B$12)^AE$2&gt;1900*'Deterministic LCCA'!$C$32, 1900*'Deterministic LCCA'!$C$32, AVERAGE($J$10:$J$13)*(1+$B$12)^AE$2))</f>
        <v/>
      </c>
      <c r="AC12" s="201">
        <f>IF(AE$2="No activity",0,IF(AVERAGE($K$10:$K$13)*(1+$B$12)^AE$2&gt;1900*'Deterministic LCCA'!$E$32, 1900*'Deterministic LCCA'!$E$32,AVERAGE($K$10:$K$13)*(1+$B$12)^AE$2))</f>
        <v/>
      </c>
      <c r="AD12" s="202">
        <f>IF($E12="WZ",IF(AB12&gt;$B$10,1,0),IF(AB12&gt;'Deterministic LCCA'!$E$45*'Deterministic LCCA'!$C$32,1,0))</f>
        <v/>
      </c>
      <c r="AE12" s="202">
        <f>IF($E12="WZ",IF(AC12&gt;$B$10,1,0),IF(AC12&gt;'Deterministic LCCA'!$E$45*'Deterministic LCCA'!$E$32,1,0))</f>
        <v/>
      </c>
      <c r="AF12" s="201">
        <f>IF(AI$2="No activity",0,IF(AVERAGE($J$10:$J$13)*(1+$B$12)^AI$2&gt;1900*'Deterministic LCCA'!$C$32, 1900*'Deterministic LCCA'!$C$32, AVERAGE($J$10:$J$13)*(1+$B$12)^AI$2))</f>
        <v/>
      </c>
      <c r="AG12" s="201">
        <f>IF(AI$2="No activity",0,IF(AVERAGE($K$10:$K$13)*(1+$B$12)^AI$2&gt;1900*'Deterministic LCCA'!$E$32, 1900*'Deterministic LCCA'!$E$32,AVERAGE($K$10:$K$13)*(1+$B$12)^AI$2))</f>
        <v/>
      </c>
      <c r="AH12" s="202">
        <f>IF($E12="WZ",IF(AF12&gt;$B$10,1,0),IF(AF12&gt;'Deterministic LCCA'!$E$45*'Deterministic LCCA'!$C$32,1,0))</f>
        <v/>
      </c>
      <c r="AI12" s="203">
        <f>IF($E12="WZ",IF(AG12&gt;$B$10,1,0),IF(AG12&gt;'Deterministic LCCA'!$E$45*'Deterministic LCCA'!$E$32,1,0))</f>
        <v/>
      </c>
    </row>
    <row r="13" spans="1:35">
      <c r="A13" s="229" t="s">
        <v>182</v>
      </c>
      <c r="B13" s="207">
        <f>'Deterministic LCCA'!B29</f>
        <v/>
      </c>
      <c r="C13" s="204" t="n"/>
      <c r="D13" s="299" t="n"/>
      <c r="E13" s="182">
        <f>IF('Deterministic LCCA'!H35="Y", "WZ","Non-WZ")</f>
        <v/>
      </c>
      <c r="F13" s="205" t="s">
        <v>183</v>
      </c>
      <c r="G13" s="196" t="n">
        <v>5.2</v>
      </c>
      <c r="H13" s="196" t="n">
        <v>55</v>
      </c>
      <c r="I13" s="196">
        <f>100-H13</f>
        <v/>
      </c>
      <c r="J13" s="197">
        <f>$B$13*G13/100*H13/100</f>
        <v/>
      </c>
      <c r="K13" s="198">
        <f>$B$13*G13/100*I13/100</f>
        <v/>
      </c>
      <c r="L13" s="199">
        <f>IF(O$2="No activity",0,IF(AVERAGE($J$10:$J$13)*(1+$B$12)^O$2&gt;1900*'Deterministic LCCA'!$C$32, 1900*'Deterministic LCCA'!$C$32, AVERAGE($J$10:$J$13)*(1+$B$12)^O$2))</f>
        <v/>
      </c>
      <c r="M13" s="200">
        <f>IF(O$2="No activity",0,IF(AVERAGE($K$10:$K$13)*(1+$B$12)^O$2&gt;1900*'Deterministic LCCA'!$E$32, 1900*'Deterministic LCCA'!$E$32,AVERAGE($K$10:$K$13)*(1+$B$12)^O$2))</f>
        <v/>
      </c>
      <c r="N13" s="92">
        <f>IF($E13="WZ",IF(L13&gt;$B$10,1,0),IF(L13&gt;'Deterministic LCCA'!$E$45*'Deterministic LCCA'!$C$32,1,0))</f>
        <v/>
      </c>
      <c r="O13" s="92">
        <f>IF($E13="WZ",IF(M13&gt;$B$10,1,0),IF(M13&gt;'Deterministic LCCA'!$E$45*'Deterministic LCCA'!$E$32,1,0))</f>
        <v/>
      </c>
      <c r="P13" s="200">
        <f>IF(S$2="No activity",0,IF(AVERAGE($J$10:$J$13)*(1+$B$12)^S$2&gt;1900*'Deterministic LCCA'!$C$32, 1900*'Deterministic LCCA'!$C$32, AVERAGE($J$10:$J$13)*(1+$B$12)^S$2))</f>
        <v/>
      </c>
      <c r="Q13" s="200">
        <f>IF(S$2="No activity",0,IF(AVERAGE($K$10:$K$13)*(1+$B$12)^S$2&gt;1900*'Deterministic LCCA'!$E$32, 1900*'Deterministic LCCA'!$E$32,AVERAGE($K$10:$K$13)*(1+$B$12)^S$2))</f>
        <v/>
      </c>
      <c r="R13" s="92">
        <f>IF($E13="WZ",IF(P13&gt;$B$10,1,0),IF(P13&gt;'Deterministic LCCA'!$E$45*'Deterministic LCCA'!$C$32,1,0))</f>
        <v/>
      </c>
      <c r="S13" s="92">
        <f>IF($E13="WZ",IF(Q13&gt;$B$10,1,0),IF(Q13&gt;'Deterministic LCCA'!$E$45*'Deterministic LCCA'!$E$32,1,0))</f>
        <v/>
      </c>
      <c r="T13" s="200">
        <f>IF(W$2="No activity",0,IF(AVERAGE($J$10:$J$13)*(1+$B$12)^W$2&gt;1900*'Deterministic LCCA'!$C$32, 1900*'Deterministic LCCA'!$C$32, AVERAGE($J$10:$J$13)*(1+$B$12)^W$2))</f>
        <v/>
      </c>
      <c r="U13" s="200">
        <f>IF(W$2="No activity",0,IF(AVERAGE($K$10:$K$13)*(1+$B$12)^W$2&gt;1900*'Deterministic LCCA'!$E$32, 1900*'Deterministic LCCA'!$E$32,AVERAGE($K$10:$K$13)*(1+$B$12)^W$2))</f>
        <v/>
      </c>
      <c r="V13" s="92">
        <f>IF($E13="WZ",IF(T13&gt;$B$10,1,0),IF(T13&gt;'Deterministic LCCA'!$E$45*'Deterministic LCCA'!$C$32,1,0))</f>
        <v/>
      </c>
      <c r="W13" s="92">
        <f>IF($E13="WZ",IF(U13&gt;$B$10,1,0),IF(U13&gt;'Deterministic LCCA'!$E$45*'Deterministic LCCA'!$E$32,1,0))</f>
        <v/>
      </c>
      <c r="X13" s="201">
        <f>IF(AA$2="No activity",0,IF(AVERAGE($J$10:$J$13)*(1+$B$12)^AA$2&gt;1900*'Deterministic LCCA'!$C$32, 1900*'Deterministic LCCA'!$C$32, AVERAGE($J$10:$J$13)*(1+$B$12)^AA$2))</f>
        <v/>
      </c>
      <c r="Y13" s="201">
        <f>IF(AA$2="No activity",0,IF(AVERAGE($K$10:$K$13)*(1+$B$12)^AA$2&gt;1900*'Deterministic LCCA'!$E$32, 1900*'Deterministic LCCA'!$E$32,AVERAGE($K$10:$K$13)*(1+$B$12)^AA$2))</f>
        <v/>
      </c>
      <c r="Z13" s="202">
        <f>IF($E13="WZ",IF(X13&gt;$B$10,1,0),IF(X13&gt;'Deterministic LCCA'!$E$45*'Deterministic LCCA'!$C$32,1,0))</f>
        <v/>
      </c>
      <c r="AA13" s="202">
        <f>IF($E13="WZ",IF(Y13&gt;$B$10,1,0),IF(Y13&gt;'Deterministic LCCA'!$E$45*'Deterministic LCCA'!$E$32,1,0))</f>
        <v/>
      </c>
      <c r="AB13" s="201">
        <f>IF(AE$2="No activity",0,IF(AVERAGE($J$10:$J$13)*(1+$B$12)^AE$2&gt;1900*'Deterministic LCCA'!$C$32, 1900*'Deterministic LCCA'!$C$32, AVERAGE($J$10:$J$13)*(1+$B$12)^AE$2))</f>
        <v/>
      </c>
      <c r="AC13" s="201">
        <f>IF(AE$2="No activity",0,IF(AVERAGE($K$10:$K$13)*(1+$B$12)^AE$2&gt;1900*'Deterministic LCCA'!$E$32, 1900*'Deterministic LCCA'!$E$32,AVERAGE($K$10:$K$13)*(1+$B$12)^AE$2))</f>
        <v/>
      </c>
      <c r="AD13" s="202">
        <f>IF($E13="WZ",IF(AB13&gt;$B$10,1,0),IF(AB13&gt;'Deterministic LCCA'!$E$45*'Deterministic LCCA'!$C$32,1,0))</f>
        <v/>
      </c>
      <c r="AE13" s="202">
        <f>IF($E13="WZ",IF(AC13&gt;$B$10,1,0),IF(AC13&gt;'Deterministic LCCA'!$E$45*'Deterministic LCCA'!$E$32,1,0))</f>
        <v/>
      </c>
      <c r="AF13" s="201">
        <f>IF(AI$2="No activity",0,IF(AVERAGE($J$10:$J$13)*(1+$B$12)^AI$2&gt;1900*'Deterministic LCCA'!$C$32, 1900*'Deterministic LCCA'!$C$32, AVERAGE($J$10:$J$13)*(1+$B$12)^AI$2))</f>
        <v/>
      </c>
      <c r="AG13" s="201">
        <f>IF(AI$2="No activity",0,IF(AVERAGE($K$10:$K$13)*(1+$B$12)^AI$2&gt;1900*'Deterministic LCCA'!$E$32, 1900*'Deterministic LCCA'!$E$32,AVERAGE($K$10:$K$13)*(1+$B$12)^AI$2))</f>
        <v/>
      </c>
      <c r="AH13" s="202">
        <f>IF($E13="WZ",IF(AF13&gt;$B$10,1,0),IF(AF13&gt;'Deterministic LCCA'!$E$45*'Deterministic LCCA'!$C$32,1,0))</f>
        <v/>
      </c>
      <c r="AI13" s="203">
        <f>IF($E13="WZ",IF(AG13&gt;$B$10,1,0),IF(AG13&gt;'Deterministic LCCA'!$E$45*'Deterministic LCCA'!$E$32,1,0))</f>
        <v/>
      </c>
    </row>
    <row r="14" spans="1:35">
      <c r="A14" s="229" t="s">
        <v>184</v>
      </c>
      <c r="B14" s="208">
        <f>'Deterministic LCCA'!B30</f>
        <v/>
      </c>
      <c r="C14" s="204" t="n"/>
      <c r="D14" s="299" t="n"/>
      <c r="E14" s="182">
        <f>IF('Deterministic LCCA'!H36="Y", "WZ","Non-WZ")</f>
        <v/>
      </c>
      <c r="F14" s="195" t="s">
        <v>185</v>
      </c>
      <c r="G14" s="196" t="n">
        <v>4.7</v>
      </c>
      <c r="H14" s="196" t="n">
        <v>46</v>
      </c>
      <c r="I14" s="196">
        <f>100-H14</f>
        <v/>
      </c>
      <c r="J14" s="197">
        <f>$B$13*G14/100*H14/100</f>
        <v/>
      </c>
      <c r="K14" s="198">
        <f>$B$13*G14/100*I14/100</f>
        <v/>
      </c>
      <c r="L14" s="199">
        <f>IF(O$2="No activity",0,IF( AVERAGE($J$14:$J$18)*(1+$B$12)^O$2&gt;1900*'Deterministic LCCA'!$C$32, 1900*'Deterministic LCCA'!$C$32, AVERAGE($J$14:$J$18)*(1+$B$12)^O$2))</f>
        <v/>
      </c>
      <c r="M14" s="200">
        <f>IF(O$2="No activity",0,IF(AVERAGE($K$14:$K$18)*(1+$B$12)^O$2&gt;1900*'Deterministic LCCA'!$E$32, 1900*'Deterministic LCCA'!$E$32,AVERAGE($K$14:$K$18)*(1+$B$12)^O$2))</f>
        <v/>
      </c>
      <c r="N14" s="92">
        <f>IF($E14="WZ",IF(L14&gt;$B$10,1,0),IF(L14&gt;'Deterministic LCCA'!$E$45*'Deterministic LCCA'!$C$32,1,0))</f>
        <v/>
      </c>
      <c r="O14" s="92">
        <f>IF($E14="WZ",IF(M14&gt;$B$10,1,0),IF(M14&gt;'Deterministic LCCA'!$E$45*'Deterministic LCCA'!$E$32,1,0))</f>
        <v/>
      </c>
      <c r="P14" s="200">
        <f>IF(S$2="No activity",0,IF( AVERAGE($J$14:$J$18)*(1+$B$12)^S$2&gt;1900*'Deterministic LCCA'!$C$32, 1900*'Deterministic LCCA'!$C$32, AVERAGE($J$14:$J$18)*(1+$B$12)^S$2))</f>
        <v/>
      </c>
      <c r="Q14" s="200">
        <f>IF(S$2="No activity",0,IF(AVERAGE($K$14:$K$18)*(1+$B$12)^S$2&gt;1900*'Deterministic LCCA'!$E$32, 1900*'Deterministic LCCA'!$E$32,AVERAGE($K$14:$K$18)*(1+$B$12)^S$2))</f>
        <v/>
      </c>
      <c r="R14" s="92">
        <f>IF($E14="WZ",IF(P14&gt;$B$10,1,0),IF(P14&gt;'Deterministic LCCA'!$E$45*'Deterministic LCCA'!$C$32,1,0))</f>
        <v/>
      </c>
      <c r="S14" s="92">
        <f>IF($E14="WZ",IF(Q14&gt;$B$10,1,0),IF(Q14&gt;'Deterministic LCCA'!$E$45*'Deterministic LCCA'!$E$32,1,0))</f>
        <v/>
      </c>
      <c r="T14" s="200">
        <f>IF(W$2="No activity",0,IF( AVERAGE($J$14:$J$18)*(1+$B$12)^W$2&gt;1900*'Deterministic LCCA'!$C$32, 1900*'Deterministic LCCA'!$C$32, AVERAGE($J$14:$J$18)*(1+$B$12)^W$2))</f>
        <v/>
      </c>
      <c r="U14" s="200">
        <f>IF(W$2="No activity",0,IF(AVERAGE($K$14:$K$18)*(1+$B$12)^W$2&gt;1900*'Deterministic LCCA'!$E$32, 1900*'Deterministic LCCA'!$E$32,AVERAGE($K$14:$K$18)*(1+$B$12)^W$2))</f>
        <v/>
      </c>
      <c r="V14" s="92">
        <f>IF($E14="WZ",IF(T14&gt;$B$10,1,0),IF(T14&gt;'Deterministic LCCA'!$E$45*'Deterministic LCCA'!$C$32,1,0))</f>
        <v/>
      </c>
      <c r="W14" s="92">
        <f>IF($E14="WZ",IF(U14&gt;$B$10,1,0),IF(U14&gt;'Deterministic LCCA'!$E$45*'Deterministic LCCA'!$E$32,1,0))</f>
        <v/>
      </c>
      <c r="X14" s="201">
        <f>IF(AA$2="No activity",0,IF( AVERAGE($J$14:$J$18)*(1+$B$12)^AA$2&gt;1900*'Deterministic LCCA'!$C$32, 1900*'Deterministic LCCA'!$C$32, AVERAGE($J$14:$J$18)*(1+$B$12)^AA$2))</f>
        <v/>
      </c>
      <c r="Y14" s="201">
        <f>IF(AA$2="No activity",0,IF(AVERAGE($K$14:$K$18)*(1+$B$12)^AA$2&gt;1900*'Deterministic LCCA'!$E$32, 1900*'Deterministic LCCA'!$E$32,AVERAGE($K$14:$K$18)*(1+$B$12)^AA$2))</f>
        <v/>
      </c>
      <c r="Z14" s="202">
        <f>IF($E14="WZ",IF(X14&gt;$B$10,1,0),IF(X14&gt;'Deterministic LCCA'!$E$45*'Deterministic LCCA'!$C$32,1,0))</f>
        <v/>
      </c>
      <c r="AA14" s="202">
        <f>IF($E14="WZ",IF(Y14&gt;$B$10,1,0),IF(Y14&gt;'Deterministic LCCA'!$E$45*'Deterministic LCCA'!$E$32,1,0))</f>
        <v/>
      </c>
      <c r="AB14" s="201">
        <f>IF(AE$2="No activity",0,IF( AVERAGE($J$14:$J$18)*(1+$B$12)^AE$2&gt;1900*'Deterministic LCCA'!$C$32, 1900*'Deterministic LCCA'!$C$32, AVERAGE($J$14:$J$18)*(1+$B$12)^AE$2))</f>
        <v/>
      </c>
      <c r="AC14" s="201">
        <f>IF(AE$2="No activity",0,IF(AVERAGE($K$14:$K$18)*(1+$B$12)^AE$2&gt;1900*'Deterministic LCCA'!$E$32, 1900*'Deterministic LCCA'!$E$32,AVERAGE($K$14:$K$18)*(1+$B$12)^AE$2))</f>
        <v/>
      </c>
      <c r="AD14" s="202">
        <f>IF($E14="WZ",IF(AB14&gt;$B$10,1,0),IF(AB14&gt;'Deterministic LCCA'!$E$45*'Deterministic LCCA'!$C$32,1,0))</f>
        <v/>
      </c>
      <c r="AE14" s="202">
        <f>IF($E14="WZ",IF(AC14&gt;$B$10,1,0),IF(AC14&gt;'Deterministic LCCA'!$E$45*'Deterministic LCCA'!$E$32,1,0))</f>
        <v/>
      </c>
      <c r="AF14" s="201">
        <f>IF(AI$2="No activity",0,IF( AVERAGE($J$14:$J$18)*(1+$B$12)^AI$2&gt;1900*'Deterministic LCCA'!$C$32, 1900*'Deterministic LCCA'!$C$32, AVERAGE($J$14:$J$18)*(1+$B$12)^AI$2))</f>
        <v/>
      </c>
      <c r="AG14" s="201">
        <f>IF(AI$2="No activity",0,IF(AVERAGE($K$14:$K$18)*(1+$B$12)^AI$2&gt;1900*'Deterministic LCCA'!$E$32, 1900*'Deterministic LCCA'!$E$32,AVERAGE($K$14:$K$18)*(1+$B$12)^AI$2))</f>
        <v/>
      </c>
      <c r="AH14" s="202">
        <f>IF($E14="WZ",IF(AF14&gt;$B$10,1,0),IF(AF14&gt;'Deterministic LCCA'!$E$45*'Deterministic LCCA'!$C$32,1,0))</f>
        <v/>
      </c>
      <c r="AI14" s="203">
        <f>IF($E14="WZ",IF(AG14&gt;$B$10,1,0),IF(AG14&gt;'Deterministic LCCA'!$E$45*'Deterministic LCCA'!$E$32,1,0))</f>
        <v/>
      </c>
    </row>
    <row r="15" spans="1:35">
      <c r="A15" s="229" t="s">
        <v>186</v>
      </c>
      <c r="B15" s="209">
        <f>'Deterministic LCCA'!B18</f>
        <v/>
      </c>
      <c r="C15" s="204" t="n"/>
      <c r="D15" s="299" t="n"/>
      <c r="E15" s="182">
        <f>IF('Deterministic LCCA'!H37="Y", "WZ","Non-WZ")</f>
        <v/>
      </c>
      <c r="F15" s="195" t="s">
        <v>187</v>
      </c>
      <c r="G15" s="196" t="n">
        <v>5.3</v>
      </c>
      <c r="H15" s="196" t="n">
        <v>49</v>
      </c>
      <c r="I15" s="196">
        <f>100-H15</f>
        <v/>
      </c>
      <c r="J15" s="197">
        <f>$B$13*G15/100*H15/100</f>
        <v/>
      </c>
      <c r="K15" s="198">
        <f>$B$13*G15/100*I15/100</f>
        <v/>
      </c>
      <c r="L15" s="199">
        <f>IF(O$2="No activity",0,IF( AVERAGE($J$14:$J$18)*(1+$B$12)^O$2&gt;1900*'Deterministic LCCA'!$C$32, 1900*'Deterministic LCCA'!$C$32, AVERAGE($J$14:$J$18)*(1+$B$12)^O$2))</f>
        <v/>
      </c>
      <c r="M15" s="200">
        <f>IF(O$2="No activity",0,IF(AVERAGE($K$14:$K$18)*(1+$B$12)^O$2&gt;1900*'Deterministic LCCA'!$E$32, 1900*'Deterministic LCCA'!$E$32,AVERAGE($K$14:$K$18)*(1+$B$12)^O$2))</f>
        <v/>
      </c>
      <c r="N15" s="92">
        <f>IF($E15="WZ",IF(L15&gt;$B$10,1,0),IF(L15&gt;'Deterministic LCCA'!$E$45*'Deterministic LCCA'!$C$32,1,0))</f>
        <v/>
      </c>
      <c r="O15" s="92">
        <f>IF($E15="WZ",IF(M15&gt;$B$10,1,0),IF(M15&gt;'Deterministic LCCA'!$E$45*'Deterministic LCCA'!$E$32,1,0))</f>
        <v/>
      </c>
      <c r="P15" s="200">
        <f>IF(S$2="No activity",0,IF( AVERAGE($J$14:$J$18)*(1+$B$12)^S$2&gt;1900*'Deterministic LCCA'!$C$32, 1900*'Deterministic LCCA'!$C$32, AVERAGE($J$14:$J$18)*(1+$B$12)^S$2))</f>
        <v/>
      </c>
      <c r="Q15" s="200">
        <f>IF(S$2="No activity",0,IF(AVERAGE($K$14:$K$18)*(1+$B$12)^S$2&gt;1900*'Deterministic LCCA'!$E$32, 1900*'Deterministic LCCA'!$E$32,AVERAGE($K$14:$K$18)*(1+$B$12)^S$2))</f>
        <v/>
      </c>
      <c r="R15" s="92">
        <f>IF($E15="WZ",IF(P15&gt;$B$10,1,0),IF(P15&gt;'Deterministic LCCA'!$E$45*'Deterministic LCCA'!$C$32,1,0))</f>
        <v/>
      </c>
      <c r="S15" s="92">
        <f>IF($E15="WZ",IF(Q15&gt;$B$10,1,0),IF(Q15&gt;'Deterministic LCCA'!$E$45*'Deterministic LCCA'!$E$32,1,0))</f>
        <v/>
      </c>
      <c r="T15" s="200">
        <f>IF(W$2="No activity",0,IF( AVERAGE($J$14:$J$18)*(1+$B$12)^W$2&gt;1900*'Deterministic LCCA'!$C$32, 1900*'Deterministic LCCA'!$C$32, AVERAGE($J$14:$J$18)*(1+$B$12)^W$2))</f>
        <v/>
      </c>
      <c r="U15" s="200">
        <f>IF(W$2="No activity",0,IF(AVERAGE($K$14:$K$18)*(1+$B$12)^W$2&gt;1900*'Deterministic LCCA'!$E$32, 1900*'Deterministic LCCA'!$E$32,AVERAGE($K$14:$K$18)*(1+$B$12)^W$2))</f>
        <v/>
      </c>
      <c r="V15" s="92">
        <f>IF($E15="WZ",IF(T15&gt;$B$10,1,0),IF(T15&gt;'Deterministic LCCA'!$E$45*'Deterministic LCCA'!$C$32,1,0))</f>
        <v/>
      </c>
      <c r="W15" s="92">
        <f>IF($E15="WZ",IF(U15&gt;$B$10,1,0),IF(U15&gt;'Deterministic LCCA'!$E$45*'Deterministic LCCA'!$E$32,1,0))</f>
        <v/>
      </c>
      <c r="X15" s="201">
        <f>IF(AA$2="No activity",0,IF( AVERAGE($J$14:$J$18)*(1+$B$12)^AA$2&gt;1900*'Deterministic LCCA'!$C$32, 1900*'Deterministic LCCA'!$C$32, AVERAGE($J$14:$J$18)*(1+$B$12)^AA$2))</f>
        <v/>
      </c>
      <c r="Y15" s="201">
        <f>IF(AA$2="No activity",0,IF(AVERAGE($K$14:$K$18)*(1+$B$12)^AA$2&gt;1900*'Deterministic LCCA'!$E$32, 1900*'Deterministic LCCA'!$E$32,AVERAGE($K$14:$K$18)*(1+$B$12)^AA$2))</f>
        <v/>
      </c>
      <c r="Z15" s="202">
        <f>IF($E15="WZ",IF(X15&gt;$B$10,1,0),IF(X15&gt;'Deterministic LCCA'!$E$45*'Deterministic LCCA'!$C$32,1,0))</f>
        <v/>
      </c>
      <c r="AA15" s="202">
        <f>IF($E15="WZ",IF(Y15&gt;$B$10,1,0),IF(Y15&gt;'Deterministic LCCA'!$E$45*'Deterministic LCCA'!$E$32,1,0))</f>
        <v/>
      </c>
      <c r="AB15" s="201">
        <f>IF(AE$2="No activity",0,IF( AVERAGE($J$14:$J$18)*(1+$B$12)^AE$2&gt;1900*'Deterministic LCCA'!$C$32, 1900*'Deterministic LCCA'!$C$32, AVERAGE($J$14:$J$18)*(1+$B$12)^AE$2))</f>
        <v/>
      </c>
      <c r="AC15" s="201">
        <f>IF(AE$2="No activity",0,IF(AVERAGE($K$14:$K$18)*(1+$B$12)^AE$2&gt;1900*'Deterministic LCCA'!$E$32, 1900*'Deterministic LCCA'!$E$32,AVERAGE($K$14:$K$18)*(1+$B$12)^AE$2))</f>
        <v/>
      </c>
      <c r="AD15" s="202">
        <f>IF($E15="WZ",IF(AB15&gt;$B$10,1,0),IF(AB15&gt;'Deterministic LCCA'!$E$45*'Deterministic LCCA'!$C$32,1,0))</f>
        <v/>
      </c>
      <c r="AE15" s="202">
        <f>IF($E15="WZ",IF(AC15&gt;$B$10,1,0),IF(AC15&gt;'Deterministic LCCA'!$E$45*'Deterministic LCCA'!$E$32,1,0))</f>
        <v/>
      </c>
      <c r="AF15" s="201">
        <f>IF(AI$2="No activity",0,IF( AVERAGE($J$14:$J$18)*(1+$B$12)^AI$2&gt;1900*'Deterministic LCCA'!$C$32, 1900*'Deterministic LCCA'!$C$32, AVERAGE($J$14:$J$18)*(1+$B$12)^AI$2))</f>
        <v/>
      </c>
      <c r="AG15" s="201">
        <f>IF(AI$2="No activity",0,IF(AVERAGE($K$14:$K$18)*(1+$B$12)^AI$2&gt;1900*'Deterministic LCCA'!$E$32, 1900*'Deterministic LCCA'!$E$32,AVERAGE($K$14:$K$18)*(1+$B$12)^AI$2))</f>
        <v/>
      </c>
      <c r="AH15" s="202">
        <f>IF($E15="WZ",IF(AF15&gt;$B$10,1,0),IF(AF15&gt;'Deterministic LCCA'!$E$45*'Deterministic LCCA'!$C$32,1,0))</f>
        <v/>
      </c>
      <c r="AI15" s="203">
        <f>IF($E15="WZ",IF(AG15&gt;$B$10,1,0),IF(AG15&gt;'Deterministic LCCA'!$E$45*'Deterministic LCCA'!$E$32,1,0))</f>
        <v/>
      </c>
    </row>
    <row r="16" spans="1:35">
      <c r="A16" s="210" t="s">
        <v>188</v>
      </c>
      <c r="B16" s="211">
        <f>B17*1.5</f>
        <v/>
      </c>
      <c r="C16" s="204" t="n"/>
      <c r="D16" s="299" t="n"/>
      <c r="E16" s="182">
        <f>IF('Deterministic LCCA'!H38="Y", "WZ","Non-WZ")</f>
        <v/>
      </c>
      <c r="F16" s="195" t="s">
        <v>189</v>
      </c>
      <c r="G16" s="196" t="n">
        <v>5.6</v>
      </c>
      <c r="H16" s="196" t="n">
        <v>50</v>
      </c>
      <c r="I16" s="196">
        <f>100-H16</f>
        <v/>
      </c>
      <c r="J16" s="197">
        <f>$B$13*G16/100*H16/100</f>
        <v/>
      </c>
      <c r="K16" s="198">
        <f>$B$13*G16/100*I16/100</f>
        <v/>
      </c>
      <c r="L16" s="199">
        <f>IF(O$2="No activity",0,IF( AVERAGE($J$14:$J$18)*(1+$B$12)^O$2&gt;1900*'Deterministic LCCA'!$C$32, 1900*'Deterministic LCCA'!$C$32, AVERAGE($J$14:$J$18)*(1+$B$12)^O$2))</f>
        <v/>
      </c>
      <c r="M16" s="200">
        <f>IF(O$2="No activity",0,IF(AVERAGE($K$14:$K$18)*(1+$B$12)^O$2&gt;1900*'Deterministic LCCA'!$E$32, 1900*'Deterministic LCCA'!$E$32,AVERAGE($K$14:$K$18)*(1+$B$12)^O$2))</f>
        <v/>
      </c>
      <c r="N16" s="92">
        <f>IF($E16="WZ",IF(L16&gt;$B$10,1,0),IF(L16&gt;'Deterministic LCCA'!$E$45*'Deterministic LCCA'!$C$32,1,0))</f>
        <v/>
      </c>
      <c r="O16" s="92">
        <f>IF($E16="WZ",IF(M16&gt;$B$10,1,0),IF(M16&gt;'Deterministic LCCA'!$E$45*'Deterministic LCCA'!$E$32,1,0))</f>
        <v/>
      </c>
      <c r="P16" s="200">
        <f>IF(S$2="No activity",0,IF( AVERAGE($J$14:$J$18)*(1+$B$12)^S$2&gt;1900*'Deterministic LCCA'!$C$32, 1900*'Deterministic LCCA'!$C$32, AVERAGE($J$14:$J$18)*(1+$B$12)^S$2))</f>
        <v/>
      </c>
      <c r="Q16" s="200">
        <f>IF(S$2="No activity",0,IF(AVERAGE($K$14:$K$18)*(1+$B$12)^S$2&gt;1900*'Deterministic LCCA'!$E$32, 1900*'Deterministic LCCA'!$E$32,AVERAGE($K$14:$K$18)*(1+$B$12)^S$2))</f>
        <v/>
      </c>
      <c r="R16" s="92">
        <f>IF($E16="WZ",IF(P16&gt;$B$10,1,0),IF(P16&gt;'Deterministic LCCA'!$E$45*'Deterministic LCCA'!$C$32,1,0))</f>
        <v/>
      </c>
      <c r="S16" s="92">
        <f>IF($E16="WZ",IF(Q16&gt;$B$10,1,0),IF(Q16&gt;'Deterministic LCCA'!$E$45*'Deterministic LCCA'!$E$32,1,0))</f>
        <v/>
      </c>
      <c r="T16" s="200">
        <f>IF(W$2="No activity",0,IF( AVERAGE($J$14:$J$18)*(1+$B$12)^W$2&gt;1900*'Deterministic LCCA'!$C$32, 1900*'Deterministic LCCA'!$C$32, AVERAGE($J$14:$J$18)*(1+$B$12)^W$2))</f>
        <v/>
      </c>
      <c r="U16" s="200">
        <f>IF(W$2="No activity",0,IF(AVERAGE($K$14:$K$18)*(1+$B$12)^W$2&gt;1900*'Deterministic LCCA'!$E$32, 1900*'Deterministic LCCA'!$E$32,AVERAGE($K$14:$K$18)*(1+$B$12)^W$2))</f>
        <v/>
      </c>
      <c r="V16" s="92">
        <f>IF($E16="WZ",IF(T16&gt;$B$10,1,0),IF(T16&gt;'Deterministic LCCA'!$E$45*'Deterministic LCCA'!$C$32,1,0))</f>
        <v/>
      </c>
      <c r="W16" s="92">
        <f>IF($E16="WZ",IF(U16&gt;$B$10,1,0),IF(U16&gt;'Deterministic LCCA'!$E$45*'Deterministic LCCA'!$E$32,1,0))</f>
        <v/>
      </c>
      <c r="X16" s="201">
        <f>IF(AA$2="No activity",0,IF( AVERAGE($J$14:$J$18)*(1+$B$12)^AA$2&gt;1900*'Deterministic LCCA'!$C$32, 1900*'Deterministic LCCA'!$C$32, AVERAGE($J$14:$J$18)*(1+$B$12)^AA$2))</f>
        <v/>
      </c>
      <c r="Y16" s="201">
        <f>IF(AA$2="No activity",0,IF(AVERAGE($K$14:$K$18)*(1+$B$12)^AA$2&gt;1900*'Deterministic LCCA'!$E$32, 1900*'Deterministic LCCA'!$E$32,AVERAGE($K$14:$K$18)*(1+$B$12)^AA$2))</f>
        <v/>
      </c>
      <c r="Z16" s="202">
        <f>IF($E16="WZ",IF(X16&gt;$B$10,1,0),IF(X16&gt;'Deterministic LCCA'!$E$45*'Deterministic LCCA'!$C$32,1,0))</f>
        <v/>
      </c>
      <c r="AA16" s="202">
        <f>IF($E16="WZ",IF(Y16&gt;$B$10,1,0),IF(Y16&gt;'Deterministic LCCA'!$E$45*'Deterministic LCCA'!$E$32,1,0))</f>
        <v/>
      </c>
      <c r="AB16" s="201">
        <f>IF(AE$2="No activity",0,IF( AVERAGE($J$14:$J$18)*(1+$B$12)^AE$2&gt;1900*'Deterministic LCCA'!$C$32, 1900*'Deterministic LCCA'!$C$32, AVERAGE($J$14:$J$18)*(1+$B$12)^AE$2))</f>
        <v/>
      </c>
      <c r="AC16" s="201">
        <f>IF(AE$2="No activity",0,IF(AVERAGE($K$14:$K$18)*(1+$B$12)^AE$2&gt;1900*'Deterministic LCCA'!$E$32, 1900*'Deterministic LCCA'!$E$32,AVERAGE($K$14:$K$18)*(1+$B$12)^AE$2))</f>
        <v/>
      </c>
      <c r="AD16" s="202">
        <f>IF($E16="WZ",IF(AB16&gt;$B$10,1,0),IF(AB16&gt;'Deterministic LCCA'!$E$45*'Deterministic LCCA'!$C$32,1,0))</f>
        <v/>
      </c>
      <c r="AE16" s="202">
        <f>IF($E16="WZ",IF(AC16&gt;$B$10,1,0),IF(AC16&gt;'Deterministic LCCA'!$E$45*'Deterministic LCCA'!$E$32,1,0))</f>
        <v/>
      </c>
      <c r="AF16" s="201">
        <f>IF(AI$2="No activity",0,IF( AVERAGE($J$14:$J$18)*(1+$B$12)^AI$2&gt;1900*'Deterministic LCCA'!$C$32, 1900*'Deterministic LCCA'!$C$32, AVERAGE($J$14:$J$18)*(1+$B$12)^AI$2))</f>
        <v/>
      </c>
      <c r="AG16" s="201">
        <f>IF(AI$2="No activity",0,IF(AVERAGE($K$14:$K$18)*(1+$B$12)^AI$2&gt;1900*'Deterministic LCCA'!$E$32, 1900*'Deterministic LCCA'!$E$32,AVERAGE($K$14:$K$18)*(1+$B$12)^AI$2))</f>
        <v/>
      </c>
      <c r="AH16" s="202">
        <f>IF($E16="WZ",IF(AF16&gt;$B$10,1,0),IF(AF16&gt;'Deterministic LCCA'!$E$45*'Deterministic LCCA'!$C$32,1,0))</f>
        <v/>
      </c>
      <c r="AI16" s="203">
        <f>IF($E16="WZ",IF(AG16&gt;$B$10,1,0),IF(AG16&gt;'Deterministic LCCA'!$E$45*'Deterministic LCCA'!$E$32,1,0))</f>
        <v/>
      </c>
    </row>
    <row r="17" spans="1:35">
      <c r="A17" s="210" t="s">
        <v>190</v>
      </c>
      <c r="B17" s="204" t="n">
        <v>1.77</v>
      </c>
      <c r="C17" s="204" t="n"/>
      <c r="D17" s="299" t="n"/>
      <c r="E17" s="182">
        <f>IF('Deterministic LCCA'!H39="Y", "WZ","Non-WZ")</f>
        <v/>
      </c>
      <c r="F17" s="195" t="s">
        <v>191</v>
      </c>
      <c r="G17" s="196" t="n">
        <v>5.7</v>
      </c>
      <c r="H17" s="196" t="n">
        <v>50</v>
      </c>
      <c r="I17" s="196">
        <f>100-H17</f>
        <v/>
      </c>
      <c r="J17" s="197">
        <f>$B$13*G17/100*H17/100</f>
        <v/>
      </c>
      <c r="K17" s="198">
        <f>$B$13*G17/100*I17/100</f>
        <v/>
      </c>
      <c r="L17" s="199">
        <f>IF(O$2="No activity",0,IF( AVERAGE($J$14:$J$18)*(1+$B$12)^O$2&gt;1900*'Deterministic LCCA'!$C$32, 1900*'Deterministic LCCA'!$C$32, AVERAGE($J$14:$J$18)*(1+$B$12)^O$2))</f>
        <v/>
      </c>
      <c r="M17" s="200">
        <f>IF(O$2="No activity",0,IF(AVERAGE($K$14:$K$18)*(1+$B$12)^O$2&gt;1900*'Deterministic LCCA'!$E$32, 1900*'Deterministic LCCA'!$E$32,AVERAGE($K$14:$K$18)*(1+$B$12)^O$2))</f>
        <v/>
      </c>
      <c r="N17" s="92">
        <f>IF($E17="WZ",IF(L17&gt;$B$10,1,0),IF(L17&gt;'Deterministic LCCA'!$E$45*'Deterministic LCCA'!$C$32,1,0))</f>
        <v/>
      </c>
      <c r="O17" s="92">
        <f>IF($E17="WZ",IF(M17&gt;$B$10,1,0),IF(M17&gt;'Deterministic LCCA'!$E$45*'Deterministic LCCA'!$E$32,1,0))</f>
        <v/>
      </c>
      <c r="P17" s="200">
        <f>IF(S$2="No activity",0,IF( AVERAGE($J$14:$J$18)*(1+$B$12)^S$2&gt;1900*'Deterministic LCCA'!$C$32, 1900*'Deterministic LCCA'!$C$32, AVERAGE($J$14:$J$18)*(1+$B$12)^S$2))</f>
        <v/>
      </c>
      <c r="Q17" s="200">
        <f>IF(S$2="No activity",0,IF(AVERAGE($K$14:$K$18)*(1+$B$12)^S$2&gt;1900*'Deterministic LCCA'!$E$32, 1900*'Deterministic LCCA'!$E$32,AVERAGE($K$14:$K$18)*(1+$B$12)^S$2))</f>
        <v/>
      </c>
      <c r="R17" s="92">
        <f>IF($E17="WZ",IF(P17&gt;$B$10,1,0),IF(P17&gt;'Deterministic LCCA'!$E$45*'Deterministic LCCA'!$C$32,1,0))</f>
        <v/>
      </c>
      <c r="S17" s="92">
        <f>IF($E17="WZ",IF(Q17&gt;$B$10,1,0),IF(Q17&gt;'Deterministic LCCA'!$E$45*'Deterministic LCCA'!$E$32,1,0))</f>
        <v/>
      </c>
      <c r="T17" s="200">
        <f>IF(W$2="No activity",0,IF( AVERAGE($J$14:$J$18)*(1+$B$12)^W$2&gt;1900*'Deterministic LCCA'!$C$32, 1900*'Deterministic LCCA'!$C$32, AVERAGE($J$14:$J$18)*(1+$B$12)^W$2))</f>
        <v/>
      </c>
      <c r="U17" s="200">
        <f>IF(W$2="No activity",0,IF(AVERAGE($K$14:$K$18)*(1+$B$12)^W$2&gt;1900*'Deterministic LCCA'!$E$32, 1900*'Deterministic LCCA'!$E$32,AVERAGE($K$14:$K$18)*(1+$B$12)^W$2))</f>
        <v/>
      </c>
      <c r="V17" s="92">
        <f>IF($E17="WZ",IF(T17&gt;$B$10,1,0),IF(T17&gt;'Deterministic LCCA'!$E$45*'Deterministic LCCA'!$C$32,1,0))</f>
        <v/>
      </c>
      <c r="W17" s="92">
        <f>IF($E17="WZ",IF(U17&gt;$B$10,1,0),IF(U17&gt;'Deterministic LCCA'!$E$45*'Deterministic LCCA'!$E$32,1,0))</f>
        <v/>
      </c>
      <c r="X17" s="201">
        <f>IF(AA$2="No activity",0,IF( AVERAGE($J$14:$J$18)*(1+$B$12)^AA$2&gt;1900*'Deterministic LCCA'!$C$32, 1900*'Deterministic LCCA'!$C$32, AVERAGE($J$14:$J$18)*(1+$B$12)^AA$2))</f>
        <v/>
      </c>
      <c r="Y17" s="201">
        <f>IF(AA$2="No activity",0,IF(AVERAGE($K$14:$K$18)*(1+$B$12)^AA$2&gt;1900*'Deterministic LCCA'!$E$32, 1900*'Deterministic LCCA'!$E$32,AVERAGE($K$14:$K$18)*(1+$B$12)^AA$2))</f>
        <v/>
      </c>
      <c r="Z17" s="202">
        <f>IF($E17="WZ",IF(X17&gt;$B$10,1,0),IF(X17&gt;'Deterministic LCCA'!$E$45*'Deterministic LCCA'!$C$32,1,0))</f>
        <v/>
      </c>
      <c r="AA17" s="202">
        <f>IF($E17="WZ",IF(Y17&gt;$B$10,1,0),IF(Y17&gt;'Deterministic LCCA'!$E$45*'Deterministic LCCA'!$E$32,1,0))</f>
        <v/>
      </c>
      <c r="AB17" s="201">
        <f>IF(AE$2="No activity",0,IF( AVERAGE($J$14:$J$18)*(1+$B$12)^AE$2&gt;1900*'Deterministic LCCA'!$C$32, 1900*'Deterministic LCCA'!$C$32, AVERAGE($J$14:$J$18)*(1+$B$12)^AE$2))</f>
        <v/>
      </c>
      <c r="AC17" s="201">
        <f>IF(AE$2="No activity",0,IF(AVERAGE($K$14:$K$18)*(1+$B$12)^AE$2&gt;1900*'Deterministic LCCA'!$E$32, 1900*'Deterministic LCCA'!$E$32,AVERAGE($K$14:$K$18)*(1+$B$12)^AE$2))</f>
        <v/>
      </c>
      <c r="AD17" s="202">
        <f>IF($E17="WZ",IF(AB17&gt;$B$10,1,0),IF(AB17&gt;'Deterministic LCCA'!$E$45*'Deterministic LCCA'!$C$32,1,0))</f>
        <v/>
      </c>
      <c r="AE17" s="202">
        <f>IF($E17="WZ",IF(AC17&gt;$B$10,1,0),IF(AC17&gt;'Deterministic LCCA'!$E$45*'Deterministic LCCA'!$E$32,1,0))</f>
        <v/>
      </c>
      <c r="AF17" s="201">
        <f>IF(AI$2="No activity",0,IF( AVERAGE($J$14:$J$18)*(1+$B$12)^AI$2&gt;1900*'Deterministic LCCA'!$C$32, 1900*'Deterministic LCCA'!$C$32, AVERAGE($J$14:$J$18)*(1+$B$12)^AI$2))</f>
        <v/>
      </c>
      <c r="AG17" s="201">
        <f>IF(AI$2="No activity",0,IF(AVERAGE($K$14:$K$18)*(1+$B$12)^AI$2&gt;1900*'Deterministic LCCA'!$E$32, 1900*'Deterministic LCCA'!$E$32,AVERAGE($K$14:$K$18)*(1+$B$12)^AI$2))</f>
        <v/>
      </c>
      <c r="AH17" s="202">
        <f>IF($E17="WZ",IF(AF17&gt;$B$10,1,0),IF(AF17&gt;'Deterministic LCCA'!$E$45*'Deterministic LCCA'!$C$32,1,0))</f>
        <v/>
      </c>
      <c r="AI17" s="203">
        <f>IF($E17="WZ",IF(AG17&gt;$B$10,1,0),IF(AG17&gt;'Deterministic LCCA'!$E$45*'Deterministic LCCA'!$E$32,1,0))</f>
        <v/>
      </c>
    </row>
    <row r="18" spans="1:35">
      <c r="A18" s="210" t="s">
        <v>192</v>
      </c>
      <c r="B18" s="207" t="n">
        <v>142000</v>
      </c>
      <c r="C18" s="204" t="n"/>
      <c r="D18" s="299" t="n"/>
      <c r="E18" s="182">
        <f>IF('Deterministic LCCA'!H40="Y", "WZ","Non-WZ")</f>
        <v/>
      </c>
      <c r="F18" s="195" t="s">
        <v>193</v>
      </c>
      <c r="G18" s="196" t="n">
        <v>5.9</v>
      </c>
      <c r="H18" s="196" t="n">
        <v>49</v>
      </c>
      <c r="I18" s="196">
        <f>100-H18</f>
        <v/>
      </c>
      <c r="J18" s="197">
        <f>$B$13*G18/100*H18/100</f>
        <v/>
      </c>
      <c r="K18" s="198">
        <f>$B$13*G18/100*I18/100</f>
        <v/>
      </c>
      <c r="L18" s="199">
        <f>IF(O$2="No activity",0,IF( AVERAGE($J$14:$J$18)*(1+$B$12)^O$2&gt;1900*'Deterministic LCCA'!$C$32, 1900*'Deterministic LCCA'!$C$32, AVERAGE($J$14:$J$18)*(1+$B$12)^O$2))</f>
        <v/>
      </c>
      <c r="M18" s="200">
        <f>IF(O$2="No activity",0,IF(AVERAGE($K$14:$K$18)*(1+$B$12)^O$2&gt;1900*'Deterministic LCCA'!$E$32, 1900*'Deterministic LCCA'!$E$32,AVERAGE($K$14:$K$18)*(1+$B$12)^O$2))</f>
        <v/>
      </c>
      <c r="N18" s="92">
        <f>IF($E18="WZ",IF(L18&gt;$B$10,1,0),IF(L18&gt;'Deterministic LCCA'!$E$45*'Deterministic LCCA'!$C$32,1,0))</f>
        <v/>
      </c>
      <c r="O18" s="92">
        <f>IF($E18="WZ",IF(M18&gt;$B$10,1,0),IF(M18&gt;'Deterministic LCCA'!$E$45*'Deterministic LCCA'!$E$32,1,0))</f>
        <v/>
      </c>
      <c r="P18" s="200">
        <f>IF(S$2="No activity",0,IF( AVERAGE($J$14:$J$18)*(1+$B$12)^S$2&gt;1900*'Deterministic LCCA'!$C$32, 1900*'Deterministic LCCA'!$C$32, AVERAGE($J$14:$J$18)*(1+$B$12)^S$2))</f>
        <v/>
      </c>
      <c r="Q18" s="200">
        <f>IF(S$2="No activity",0,IF(AVERAGE($K$14:$K$18)*(1+$B$12)^S$2&gt;1900*'Deterministic LCCA'!$E$32, 1900*'Deterministic LCCA'!$E$32,AVERAGE($K$14:$K$18)*(1+$B$12)^S$2))</f>
        <v/>
      </c>
      <c r="R18" s="92">
        <f>IF($E18="WZ",IF(P18&gt;$B$10,1,0),IF(P18&gt;'Deterministic LCCA'!$E$45*'Deterministic LCCA'!$C$32,1,0))</f>
        <v/>
      </c>
      <c r="S18" s="92">
        <f>IF($E18="WZ",IF(Q18&gt;$B$10,1,0),IF(Q18&gt;'Deterministic LCCA'!$E$45*'Deterministic LCCA'!$E$32,1,0))</f>
        <v/>
      </c>
      <c r="T18" s="200">
        <f>IF(W$2="No activity",0,IF( AVERAGE($J$14:$J$18)*(1+$B$12)^W$2&gt;1900*'Deterministic LCCA'!$C$32, 1900*'Deterministic LCCA'!$C$32, AVERAGE($J$14:$J$18)*(1+$B$12)^W$2))</f>
        <v/>
      </c>
      <c r="U18" s="200">
        <f>IF(W$2="No activity",0,IF(AVERAGE($K$14:$K$18)*(1+$B$12)^W$2&gt;1900*'Deterministic LCCA'!$E$32, 1900*'Deterministic LCCA'!$E$32,AVERAGE($K$14:$K$18)*(1+$B$12)^W$2))</f>
        <v/>
      </c>
      <c r="V18" s="92">
        <f>IF($E18="WZ",IF(T18&gt;$B$10,1,0),IF(T18&gt;'Deterministic LCCA'!$E$45*'Deterministic LCCA'!$C$32,1,0))</f>
        <v/>
      </c>
      <c r="W18" s="92">
        <f>IF($E18="WZ",IF(U18&gt;$B$10,1,0),IF(U18&gt;'Deterministic LCCA'!$E$45*'Deterministic LCCA'!$E$32,1,0))</f>
        <v/>
      </c>
      <c r="X18" s="201">
        <f>IF(AA$2="No activity",0,IF( AVERAGE($J$14:$J$18)*(1+$B$12)^AA$2&gt;1900*'Deterministic LCCA'!$C$32, 1900*'Deterministic LCCA'!$C$32, AVERAGE($J$14:$J$18)*(1+$B$12)^AA$2))</f>
        <v/>
      </c>
      <c r="Y18" s="201">
        <f>IF(AA$2="No activity",0,IF(AVERAGE($K$14:$K$18)*(1+$B$12)^AA$2&gt;1900*'Deterministic LCCA'!$E$32, 1900*'Deterministic LCCA'!$E$32,AVERAGE($K$14:$K$18)*(1+$B$12)^AA$2))</f>
        <v/>
      </c>
      <c r="Z18" s="202">
        <f>IF($E18="WZ",IF(X18&gt;$B$10,1,0),IF(X18&gt;'Deterministic LCCA'!$E$45*'Deterministic LCCA'!$C$32,1,0))</f>
        <v/>
      </c>
      <c r="AA18" s="202">
        <f>IF($E18="WZ",IF(Y18&gt;$B$10,1,0),IF(Y18&gt;'Deterministic LCCA'!$E$45*'Deterministic LCCA'!$E$32,1,0))</f>
        <v/>
      </c>
      <c r="AB18" s="201">
        <f>IF(AE$2="No activity",0,IF( AVERAGE($J$14:$J$18)*(1+$B$12)^AE$2&gt;1900*'Deterministic LCCA'!$C$32, 1900*'Deterministic LCCA'!$C$32, AVERAGE($J$14:$J$18)*(1+$B$12)^AE$2))</f>
        <v/>
      </c>
      <c r="AC18" s="201">
        <f>IF(AE$2="No activity",0,IF(AVERAGE($K$14:$K$18)*(1+$B$12)^AE$2&gt;1900*'Deterministic LCCA'!$E$32, 1900*'Deterministic LCCA'!$E$32,AVERAGE($K$14:$K$18)*(1+$B$12)^AE$2))</f>
        <v/>
      </c>
      <c r="AD18" s="202">
        <f>IF($E18="WZ",IF(AB18&gt;$B$10,1,0),IF(AB18&gt;'Deterministic LCCA'!$E$45*'Deterministic LCCA'!$C$32,1,0))</f>
        <v/>
      </c>
      <c r="AE18" s="202">
        <f>IF($E18="WZ",IF(AC18&gt;$B$10,1,0),IF(AC18&gt;'Deterministic LCCA'!$E$45*'Deterministic LCCA'!$E$32,1,0))</f>
        <v/>
      </c>
      <c r="AF18" s="201">
        <f>IF(AI$2="No activity",0,IF( AVERAGE($J$14:$J$18)*(1+$B$12)^AI$2&gt;1900*'Deterministic LCCA'!$C$32, 1900*'Deterministic LCCA'!$C$32, AVERAGE($J$14:$J$18)*(1+$B$12)^AI$2))</f>
        <v/>
      </c>
      <c r="AG18" s="201">
        <f>IF(AI$2="No activity",0,IF(AVERAGE($K$14:$K$18)*(1+$B$12)^AI$2&gt;1900*'Deterministic LCCA'!$E$32, 1900*'Deterministic LCCA'!$E$32,AVERAGE($K$14:$K$18)*(1+$B$12)^AI$2))</f>
        <v/>
      </c>
      <c r="AH18" s="202">
        <f>IF($E18="WZ",IF(AF18&gt;$B$10,1,0),IF(AF18&gt;'Deterministic LCCA'!$E$45*'Deterministic LCCA'!$C$32,1,0))</f>
        <v/>
      </c>
      <c r="AI18" s="203">
        <f>IF($E18="WZ",IF(AG18&gt;$B$10,1,0),IF(AG18&gt;'Deterministic LCCA'!$E$45*'Deterministic LCCA'!$E$32,1,0))</f>
        <v/>
      </c>
    </row>
    <row r="19" spans="1:35">
      <c r="A19" s="419" t="s">
        <v>194</v>
      </c>
      <c r="B19" s="229" t="s">
        <v>174</v>
      </c>
      <c r="C19" s="229" t="s">
        <v>175</v>
      </c>
      <c r="E19" s="182">
        <f>IF('Deterministic LCCA'!H41="Y", "WZ","Non-WZ")</f>
        <v/>
      </c>
      <c r="F19" s="205" t="s">
        <v>195</v>
      </c>
      <c r="G19" s="196" t="n">
        <v>6.5</v>
      </c>
      <c r="H19" s="196" t="n">
        <v>46</v>
      </c>
      <c r="I19" s="196">
        <f>100-H19</f>
        <v/>
      </c>
      <c r="J19" s="197">
        <f>$B$13*G19/100*H19/100</f>
        <v/>
      </c>
      <c r="K19" s="198">
        <f>$B$13*G19/100*I19/100</f>
        <v/>
      </c>
      <c r="L19" s="199">
        <f>IF(O$2="No activity",0,IF(AVERAGE($J$19:$J$22)*(1+$B$12)^O$2&gt;1900*'Deterministic LCCA'!$C$32, 1900*'Deterministic LCCA'!$C$32, AVERAGE($J$19:$J$22)*(1+$B$12)^O$2))</f>
        <v/>
      </c>
      <c r="M19" s="200">
        <f>IF(O$2="No activity",0,IF(AVERAGE($K$19:$K$22)*(1+$B$12)^O$2&gt;1900*'Deterministic LCCA'!$E$32, 1900*'Deterministic LCCA'!$E$32,AVERAGE($K$19:$K$22)*(1+$B$12)^O$2))</f>
        <v/>
      </c>
      <c r="N19" s="92">
        <f>IF($E19="WZ",IF(L19&gt;$B$10,1,0),IF(L19&gt;'Deterministic LCCA'!$E$45*'Deterministic LCCA'!$C$32,1,0))</f>
        <v/>
      </c>
      <c r="O19" s="92">
        <f>IF($E19="WZ",IF(M19&gt;$B$10,1,0),IF(M19&gt;'Deterministic LCCA'!$E$45*'Deterministic LCCA'!$E$32,1,0))</f>
        <v/>
      </c>
      <c r="P19" s="200">
        <f>IF(S$2="No activity",0,IF(AVERAGE($J$19:$J$22)*(1+$B$12)^S$2&gt;1900*'Deterministic LCCA'!$C$32, 1900*'Deterministic LCCA'!$C$32, AVERAGE($J$19:$J$22)*(1+$B$12)^S$2))</f>
        <v/>
      </c>
      <c r="Q19" s="200">
        <f>IF(S$2="No activity",0,IF(AVERAGE($K$19:$K$22)*(1+$B$12)^S$2&gt;1900*'Deterministic LCCA'!$E$32, 1900*'Deterministic LCCA'!$E$32,AVERAGE($K$19:$K$22)*(1+$B$12)^S$2))</f>
        <v/>
      </c>
      <c r="R19" s="92">
        <f>IF($E19="WZ",IF(P19&gt;$B$10,1,0),IF(P19&gt;'Deterministic LCCA'!$E$45*'Deterministic LCCA'!$C$32,1,0))</f>
        <v/>
      </c>
      <c r="S19" s="92">
        <f>IF($E19="WZ",IF(Q19&gt;$B$10,1,0),IF(Q19&gt;'Deterministic LCCA'!$E$45*'Deterministic LCCA'!$E$32,1,0))</f>
        <v/>
      </c>
      <c r="T19" s="200">
        <f>IF(W$2="No activity",0,IF(AVERAGE($J$19:$J$22)*(1+$B$12)^W$2&gt;1900*'Deterministic LCCA'!$C$32, 1900*'Deterministic LCCA'!$C$32, AVERAGE($J$19:$J$22)*(1+$B$12)^W$2))</f>
        <v/>
      </c>
      <c r="U19" s="200">
        <f>IF(W$2="No activity",0,IF(AVERAGE($K$19:$K$22)*(1+$B$12)^W$2&gt;1900*'Deterministic LCCA'!$E$32, 1900*'Deterministic LCCA'!$E$32,AVERAGE($K$19:$K$22)*(1+$B$12)^W$2))</f>
        <v/>
      </c>
      <c r="V19" s="92">
        <f>IF($E19="WZ",IF(T19&gt;$B$10,1,0),IF(T19&gt;'Deterministic LCCA'!$E$45*'Deterministic LCCA'!$C$32,1,0))</f>
        <v/>
      </c>
      <c r="W19" s="92">
        <f>IF($E19="WZ",IF(U19&gt;$B$10,1,0),IF(U19&gt;'Deterministic LCCA'!$E$45*'Deterministic LCCA'!$E$32,1,0))</f>
        <v/>
      </c>
      <c r="X19" s="201">
        <f>IF(AA$2="No activity",0,IF(AVERAGE($J$19:$J$22)*(1+$B$12)^AA$2&gt;1900*'Deterministic LCCA'!$C$32, 1900*'Deterministic LCCA'!$C$32, AVERAGE($J$19:$J$22)*(1+$B$12)^AA$2))</f>
        <v/>
      </c>
      <c r="Y19" s="201">
        <f>IF(AA$2="No activity",0,IF(AVERAGE($K$19:$K$22)*(1+$B$12)^AA$2&gt;1900*'Deterministic LCCA'!$E$32, 1900*'Deterministic LCCA'!$E$32,AVERAGE($K$19:$K$22)*(1+$B$12)^AA$2))</f>
        <v/>
      </c>
      <c r="Z19" s="202">
        <f>IF($E19="WZ",IF(X19&gt;$B$10,1,0),IF(X19&gt;'Deterministic LCCA'!$E$45*'Deterministic LCCA'!$C$32,1,0))</f>
        <v/>
      </c>
      <c r="AA19" s="202">
        <f>IF($E19="WZ",IF(Y19&gt;$B$10,1,0),IF(Y19&gt;'Deterministic LCCA'!$E$45*'Deterministic LCCA'!$E$32,1,0))</f>
        <v/>
      </c>
      <c r="AB19" s="201">
        <f>IF(AE$2="No activity",0,IF(AVERAGE($J$19:$J$22)*(1+$B$12)^AE$2&gt;1900*'Deterministic LCCA'!$C$32, 1900*'Deterministic LCCA'!$C$32, AVERAGE($J$19:$J$22)*(1+$B$12)^AE$2))</f>
        <v/>
      </c>
      <c r="AC19" s="201">
        <f>IF(AE$2="No activity",0,IF(AVERAGE($K$19:$K$22)*(1+$B$12)^AE$2&gt;1900*'Deterministic LCCA'!$E$32, 1900*'Deterministic LCCA'!$E$32,AVERAGE($K$19:$K$22)*(1+$B$12)^AE$2))</f>
        <v/>
      </c>
      <c r="AD19" s="202">
        <f>IF($E19="WZ",IF(AB19&gt;$B$10,1,0),IF(AB19&gt;'Deterministic LCCA'!$E$45*'Deterministic LCCA'!$C$32,1,0))</f>
        <v/>
      </c>
      <c r="AE19" s="202">
        <f>IF($E19="WZ",IF(AC19&gt;$B$10,1,0),IF(AC19&gt;'Deterministic LCCA'!$E$45*'Deterministic LCCA'!$E$32,1,0))</f>
        <v/>
      </c>
      <c r="AF19" s="201">
        <f>IF(AI$2="No activity",0,IF(AVERAGE($J$19:$J$22)*(1+$B$12)^AI$2&gt;1900*'Deterministic LCCA'!$C$32, 1900*'Deterministic LCCA'!$C$32, AVERAGE($J$19:$J$22)*(1+$B$12)^AI$2))</f>
        <v/>
      </c>
      <c r="AG19" s="201">
        <f>IF(AI$2="No activity",0,IF(AVERAGE($K$19:$K$22)*(1+$B$12)^AI$2&gt;1900*'Deterministic LCCA'!$E$32, 1900*'Deterministic LCCA'!$E$32,AVERAGE($K$19:$K$22)*(1+$B$12)^AI$2))</f>
        <v/>
      </c>
      <c r="AH19" s="202">
        <f>IF($E19="WZ",IF(AF19&gt;$B$10,1,0),IF(AF19&gt;'Deterministic LCCA'!$E$45*'Deterministic LCCA'!$C$32,1,0))</f>
        <v/>
      </c>
      <c r="AI19" s="203">
        <f>IF($E19="WZ",IF(AG19&gt;$B$10,1,0),IF(AG19&gt;'Deterministic LCCA'!$E$45*'Deterministic LCCA'!$E$32,1,0))</f>
        <v/>
      </c>
    </row>
    <row r="20" spans="1:35">
      <c r="A20" s="419" t="n"/>
      <c r="B20" s="204">
        <f>'Deterministic LCCA'!C49</f>
        <v/>
      </c>
      <c r="C20" s="204">
        <f>'Deterministic LCCA'!C48</f>
        <v/>
      </c>
      <c r="D20" s="299" t="n"/>
      <c r="E20" s="182">
        <f>IF('Deterministic LCCA'!H42="Y", "WZ","Non-WZ")</f>
        <v/>
      </c>
      <c r="F20" s="205" t="s">
        <v>196</v>
      </c>
      <c r="G20" s="196" t="n">
        <v>7.9</v>
      </c>
      <c r="H20" s="196" t="n">
        <v>45</v>
      </c>
      <c r="I20" s="196">
        <f>100-H20</f>
        <v/>
      </c>
      <c r="J20" s="197">
        <f>$B$13*G20/100*H20/100</f>
        <v/>
      </c>
      <c r="K20" s="198">
        <f>$B$13*G20/100*I20/100</f>
        <v/>
      </c>
      <c r="L20" s="199">
        <f>IF(O$2="No activity",0,IF(AVERAGE($J$19:$J$22)*(1+$B$12)^O$2&gt;1900*'Deterministic LCCA'!$C$32, 1900*'Deterministic LCCA'!$C$32, AVERAGE($J$19:$J$22)*(1+$B$12)^O$2))</f>
        <v/>
      </c>
      <c r="M20" s="200">
        <f>IF(O$2="No activity",0,IF(AVERAGE($K$19:$K$22)*(1+$B$12)^O$2&gt;1900*'Deterministic LCCA'!$E$32, 1900*'Deterministic LCCA'!$E$32,AVERAGE($K$19:$K$22)*(1+$B$12)^O$2))</f>
        <v/>
      </c>
      <c r="N20" s="92">
        <f>IF($E20="WZ",IF(L20&gt;$B$10,1,0),IF(L20&gt;'Deterministic LCCA'!$E$45*'Deterministic LCCA'!$C$32,1,0))</f>
        <v/>
      </c>
      <c r="O20" s="92">
        <f>IF($E20="WZ",IF(M20&gt;$B$10,1,0),IF(M20&gt;'Deterministic LCCA'!$E$45*'Deterministic LCCA'!$E$32,1,0))</f>
        <v/>
      </c>
      <c r="P20" s="200">
        <f>IF(S$2="No activity",0,IF(AVERAGE($J$19:$J$22)*(1+$B$12)^S$2&gt;1900*'Deterministic LCCA'!$C$32, 1900*'Deterministic LCCA'!$C$32, AVERAGE($J$19:$J$22)*(1+$B$12)^S$2))</f>
        <v/>
      </c>
      <c r="Q20" s="200">
        <f>IF(S$2="No activity",0,IF(AVERAGE($K$19:$K$22)*(1+$B$12)^S$2&gt;1900*'Deterministic LCCA'!$E$32, 1900*'Deterministic LCCA'!$E$32,AVERAGE($K$19:$K$22)*(1+$B$12)^S$2))</f>
        <v/>
      </c>
      <c r="R20" s="92">
        <f>IF($E20="WZ",IF(P20&gt;$B$10,1,0),IF(P20&gt;'Deterministic LCCA'!$E$45*'Deterministic LCCA'!$C$32,1,0))</f>
        <v/>
      </c>
      <c r="S20" s="92">
        <f>IF($E20="WZ",IF(Q20&gt;$B$10,1,0),IF(Q20&gt;'Deterministic LCCA'!$E$45*'Deterministic LCCA'!$E$32,1,0))</f>
        <v/>
      </c>
      <c r="T20" s="200">
        <f>IF(W$2="No activity",0,IF(AVERAGE($J$19:$J$22)*(1+$B$12)^W$2&gt;1900*'Deterministic LCCA'!$C$32, 1900*'Deterministic LCCA'!$C$32, AVERAGE($J$19:$J$22)*(1+$B$12)^W$2))</f>
        <v/>
      </c>
      <c r="U20" s="200">
        <f>IF(W$2="No activity",0,IF(AVERAGE($K$19:$K$22)*(1+$B$12)^W$2&gt;1900*'Deterministic LCCA'!$E$32, 1900*'Deterministic LCCA'!$E$32,AVERAGE($K$19:$K$22)*(1+$B$12)^W$2))</f>
        <v/>
      </c>
      <c r="V20" s="92">
        <f>IF($E20="WZ",IF(T20&gt;$B$10,1,0),IF(T20&gt;'Deterministic LCCA'!$E$45*'Deterministic LCCA'!$C$32,1,0))</f>
        <v/>
      </c>
      <c r="W20" s="92">
        <f>IF($E20="WZ",IF(U20&gt;$B$10,1,0),IF(U20&gt;'Deterministic LCCA'!$E$45*'Deterministic LCCA'!$E$32,1,0))</f>
        <v/>
      </c>
      <c r="X20" s="201">
        <f>IF(AA$2="No activity",0,IF(AVERAGE($J$19:$J$22)*(1+$B$12)^AA$2&gt;1900*'Deterministic LCCA'!$C$32, 1900*'Deterministic LCCA'!$C$32, AVERAGE($J$19:$J$22)*(1+$B$12)^AA$2))</f>
        <v/>
      </c>
      <c r="Y20" s="201">
        <f>IF(AA$2="No activity",0,IF(AVERAGE($K$19:$K$22)*(1+$B$12)^AA$2&gt;1900*'Deterministic LCCA'!$E$32, 1900*'Deterministic LCCA'!$E$32,AVERAGE($K$19:$K$22)*(1+$B$12)^AA$2))</f>
        <v/>
      </c>
      <c r="Z20" s="202">
        <f>IF($E20="WZ",IF(X20&gt;$B$10,1,0),IF(X20&gt;'Deterministic LCCA'!$E$45*'Deterministic LCCA'!$C$32,1,0))</f>
        <v/>
      </c>
      <c r="AA20" s="202">
        <f>IF($E20="WZ",IF(Y20&gt;$B$10,1,0),IF(Y20&gt;'Deterministic LCCA'!$E$45*'Deterministic LCCA'!$E$32,1,0))</f>
        <v/>
      </c>
      <c r="AB20" s="201">
        <f>IF(AE$2="No activity",0,IF(AVERAGE($J$19:$J$22)*(1+$B$12)^AE$2&gt;1900*'Deterministic LCCA'!$C$32, 1900*'Deterministic LCCA'!$C$32, AVERAGE($J$19:$J$22)*(1+$B$12)^AE$2))</f>
        <v/>
      </c>
      <c r="AC20" s="201">
        <f>IF(AE$2="No activity",0,IF(AVERAGE($K$19:$K$22)*(1+$B$12)^AE$2&gt;1900*'Deterministic LCCA'!$E$32, 1900*'Deterministic LCCA'!$E$32,AVERAGE($K$19:$K$22)*(1+$B$12)^AE$2))</f>
        <v/>
      </c>
      <c r="AD20" s="202">
        <f>IF($E20="WZ",IF(AB20&gt;$B$10,1,0),IF(AB20&gt;'Deterministic LCCA'!$E$45*'Deterministic LCCA'!$C$32,1,0))</f>
        <v/>
      </c>
      <c r="AE20" s="202">
        <f>IF($E20="WZ",IF(AC20&gt;$B$10,1,0),IF(AC20&gt;'Deterministic LCCA'!$E$45*'Deterministic LCCA'!$E$32,1,0))</f>
        <v/>
      </c>
      <c r="AF20" s="201">
        <f>IF(AI$2="No activity",0,IF(AVERAGE($J$19:$J$22)*(1+$B$12)^AI$2&gt;1900*'Deterministic LCCA'!$C$32, 1900*'Deterministic LCCA'!$C$32, AVERAGE($J$19:$J$22)*(1+$B$12)^AI$2))</f>
        <v/>
      </c>
      <c r="AG20" s="201">
        <f>IF(AI$2="No activity",0,IF(AVERAGE($K$19:$K$22)*(1+$B$12)^AI$2&gt;1900*'Deterministic LCCA'!$E$32, 1900*'Deterministic LCCA'!$E$32,AVERAGE($K$19:$K$22)*(1+$B$12)^AI$2))</f>
        <v/>
      </c>
      <c r="AH20" s="202">
        <f>IF($E20="WZ",IF(AF20&gt;$B$10,1,0),IF(AF20&gt;'Deterministic LCCA'!$E$45*'Deterministic LCCA'!$C$32,1,0))</f>
        <v/>
      </c>
      <c r="AI20" s="203">
        <f>IF($E20="WZ",IF(AG20&gt;$B$10,1,0),IF(AG20&gt;'Deterministic LCCA'!$E$45*'Deterministic LCCA'!$E$32,1,0))</f>
        <v/>
      </c>
    </row>
    <row r="21" spans="1:35">
      <c r="A21" s="229" t="s">
        <v>197</v>
      </c>
      <c r="B21" s="204" t="n">
        <v>8</v>
      </c>
      <c r="C21" s="204" t="n"/>
      <c r="D21" s="299" t="n"/>
      <c r="E21" s="182">
        <f>IF('Deterministic LCCA'!H43="Y", "WZ","Non-WZ")</f>
        <v/>
      </c>
      <c r="F21" s="205" t="s">
        <v>198</v>
      </c>
      <c r="G21" s="196" t="n">
        <v>8.5</v>
      </c>
      <c r="H21" s="196" t="n">
        <v>40</v>
      </c>
      <c r="I21" s="196">
        <f>100-H21</f>
        <v/>
      </c>
      <c r="J21" s="197">
        <f>$B$13*G21/100*H21/100</f>
        <v/>
      </c>
      <c r="K21" s="198">
        <f>$B$13*G21/100*I21/100</f>
        <v/>
      </c>
      <c r="L21" s="199">
        <f>IF(O$2="No activity",0,IF(AVERAGE($J$19:$J$22)*(1+$B$12)^O$2&gt;1900*'Deterministic LCCA'!$C$32, 1900*'Deterministic LCCA'!$C$32, AVERAGE($J$19:$J$22)*(1+$B$12)^O$2))</f>
        <v/>
      </c>
      <c r="M21" s="200">
        <f>IF(O$2="No activity",0,IF(AVERAGE($K$19:$K$22)*(1+$B$12)^O$2&gt;1900*'Deterministic LCCA'!$E$32, 1900*'Deterministic LCCA'!$E$32,AVERAGE($K$19:$K$22)*(1+$B$12)^O$2))</f>
        <v/>
      </c>
      <c r="N21" s="92">
        <f>IF($E21="WZ",IF(L21&gt;$B$10,1,0),IF(L21&gt;'Deterministic LCCA'!$E$45*'Deterministic LCCA'!$C$32,1,0))</f>
        <v/>
      </c>
      <c r="O21" s="92">
        <f>IF($E21="WZ",IF(M21&gt;$B$10,1,0),IF(M21&gt;'Deterministic LCCA'!$E$45*'Deterministic LCCA'!$E$32,1,0))</f>
        <v/>
      </c>
      <c r="P21" s="200">
        <f>IF(S$2="No activity",0,IF(AVERAGE($J$19:$J$22)*(1+$B$12)^S$2&gt;1900*'Deterministic LCCA'!$C$32, 1900*'Deterministic LCCA'!$C$32, AVERAGE($J$19:$J$22)*(1+$B$12)^S$2))</f>
        <v/>
      </c>
      <c r="Q21" s="200">
        <f>IF(S$2="No activity",0,IF(AVERAGE($K$19:$K$22)*(1+$B$12)^S$2&gt;1900*'Deterministic LCCA'!$E$32, 1900*'Deterministic LCCA'!$E$32,AVERAGE($K$19:$K$22)*(1+$B$12)^S$2))</f>
        <v/>
      </c>
      <c r="R21" s="92">
        <f>IF($E21="WZ",IF(P21&gt;$B$10,1,0),IF(P21&gt;'Deterministic LCCA'!$E$45*'Deterministic LCCA'!$C$32,1,0))</f>
        <v/>
      </c>
      <c r="S21" s="92">
        <f>IF($E21="WZ",IF(Q21&gt;$B$10,1,0),IF(Q21&gt;'Deterministic LCCA'!$E$45*'Deterministic LCCA'!$E$32,1,0))</f>
        <v/>
      </c>
      <c r="T21" s="200">
        <f>IF(W$2="No activity",0,IF(AVERAGE($J$19:$J$22)*(1+$B$12)^W$2&gt;1900*'Deterministic LCCA'!$C$32, 1900*'Deterministic LCCA'!$C$32, AVERAGE($J$19:$J$22)*(1+$B$12)^W$2))</f>
        <v/>
      </c>
      <c r="U21" s="200">
        <f>IF(W$2="No activity",0,IF(AVERAGE($K$19:$K$22)*(1+$B$12)^W$2&gt;1900*'Deterministic LCCA'!$E$32, 1900*'Deterministic LCCA'!$E$32,AVERAGE($K$19:$K$22)*(1+$B$12)^W$2))</f>
        <v/>
      </c>
      <c r="V21" s="92">
        <f>IF($E21="WZ",IF(T21&gt;$B$10,1,0),IF(T21&gt;'Deterministic LCCA'!$E$45*'Deterministic LCCA'!$C$32,1,0))</f>
        <v/>
      </c>
      <c r="W21" s="92">
        <f>IF($E21="WZ",IF(U21&gt;$B$10,1,0),IF(U21&gt;'Deterministic LCCA'!$E$45*'Deterministic LCCA'!$E$32,1,0))</f>
        <v/>
      </c>
      <c r="X21" s="201">
        <f>IF(AA$2="No activity",0,IF(AVERAGE($J$19:$J$22)*(1+$B$12)^AA$2&gt;1900*'Deterministic LCCA'!$C$32, 1900*'Deterministic LCCA'!$C$32, AVERAGE($J$19:$J$22)*(1+$B$12)^AA$2))</f>
        <v/>
      </c>
      <c r="Y21" s="201">
        <f>IF(AA$2="No activity",0,IF(AVERAGE($K$19:$K$22)*(1+$B$12)^AA$2&gt;1900*'Deterministic LCCA'!$E$32, 1900*'Deterministic LCCA'!$E$32,AVERAGE($K$19:$K$22)*(1+$B$12)^AA$2))</f>
        <v/>
      </c>
      <c r="Z21" s="202">
        <f>IF($E21="WZ",IF(X21&gt;$B$10,1,0),IF(X21&gt;'Deterministic LCCA'!$E$45*'Deterministic LCCA'!$C$32,1,0))</f>
        <v/>
      </c>
      <c r="AA21" s="202">
        <f>IF($E21="WZ",IF(Y21&gt;$B$10,1,0),IF(Y21&gt;'Deterministic LCCA'!$E$45*'Deterministic LCCA'!$E$32,1,0))</f>
        <v/>
      </c>
      <c r="AB21" s="201">
        <f>IF(AE$2="No activity",0,IF(AVERAGE($J$19:$J$22)*(1+$B$12)^AE$2&gt;1900*'Deterministic LCCA'!$C$32, 1900*'Deterministic LCCA'!$C$32, AVERAGE($J$19:$J$22)*(1+$B$12)^AE$2))</f>
        <v/>
      </c>
      <c r="AC21" s="201">
        <f>IF(AE$2="No activity",0,IF(AVERAGE($K$19:$K$22)*(1+$B$12)^AE$2&gt;1900*'Deterministic LCCA'!$E$32, 1900*'Deterministic LCCA'!$E$32,AVERAGE($K$19:$K$22)*(1+$B$12)^AE$2))</f>
        <v/>
      </c>
      <c r="AD21" s="202">
        <f>IF($E21="WZ",IF(AB21&gt;$B$10,1,0),IF(AB21&gt;'Deterministic LCCA'!$E$45*'Deterministic LCCA'!$C$32,1,0))</f>
        <v/>
      </c>
      <c r="AE21" s="202">
        <f>IF($E21="WZ",IF(AC21&gt;$B$10,1,0),IF(AC21&gt;'Deterministic LCCA'!$E$45*'Deterministic LCCA'!$E$32,1,0))</f>
        <v/>
      </c>
      <c r="AF21" s="201">
        <f>IF(AI$2="No activity",0,IF(AVERAGE($J$19:$J$22)*(1+$B$12)^AI$2&gt;1900*'Deterministic LCCA'!$C$32, 1900*'Deterministic LCCA'!$C$32, AVERAGE($J$19:$J$22)*(1+$B$12)^AI$2))</f>
        <v/>
      </c>
      <c r="AG21" s="201">
        <f>IF(AI$2="No activity",0,IF(AVERAGE($K$19:$K$22)*(1+$B$12)^AI$2&gt;1900*'Deterministic LCCA'!$E$32, 1900*'Deterministic LCCA'!$E$32,AVERAGE($K$19:$K$22)*(1+$B$12)^AI$2))</f>
        <v/>
      </c>
      <c r="AH21" s="202">
        <f>IF($E21="WZ",IF(AF21&gt;$B$10,1,0),IF(AF21&gt;'Deterministic LCCA'!$E$45*'Deterministic LCCA'!$C$32,1,0))</f>
        <v/>
      </c>
      <c r="AI21" s="203">
        <f>IF($E21="WZ",IF(AG21&gt;$B$10,1,0),IF(AG21&gt;'Deterministic LCCA'!$E$45*'Deterministic LCCA'!$E$32,1,0))</f>
        <v/>
      </c>
    </row>
    <row r="22" spans="1:35">
      <c r="A22" s="229" t="n"/>
      <c r="B22" s="204" t="n"/>
      <c r="C22" s="204" t="n"/>
      <c r="D22" s="299" t="n"/>
      <c r="E22" s="182">
        <f>IF('Deterministic LCCA'!H44="Y", "WZ","Non-WZ")</f>
        <v/>
      </c>
      <c r="F22" s="205" t="s">
        <v>199</v>
      </c>
      <c r="G22" s="196" t="n">
        <v>5.9</v>
      </c>
      <c r="H22" s="196" t="n">
        <v>46</v>
      </c>
      <c r="I22" s="196">
        <f>100-H22</f>
        <v/>
      </c>
      <c r="J22" s="197">
        <f>$B$13*G22/100*H22/100</f>
        <v/>
      </c>
      <c r="K22" s="198">
        <f>$B$13*G22/100*I22/100</f>
        <v/>
      </c>
      <c r="L22" s="199">
        <f>IF(O$2="No activity",0,IF(AVERAGE($J$19:$J$22)*(1+$B$12)^O$2&gt;1900*'Deterministic LCCA'!$C$32, 1900*'Deterministic LCCA'!$C$32, AVERAGE($J$19:$J$22)*(1+$B$12)^O$2))</f>
        <v/>
      </c>
      <c r="M22" s="200">
        <f>IF(O$2="No activity",0,IF(AVERAGE($K$19:$K$22)*(1+$B$12)^O$2&gt;1900*'Deterministic LCCA'!$E$32, 1900*'Deterministic LCCA'!$E$32,AVERAGE($K$19:$K$22)*(1+$B$12)^O$2))</f>
        <v/>
      </c>
      <c r="N22" s="92">
        <f>IF($E22="WZ",IF(L22&gt;$B$10,1,0),IF(L22&gt;'Deterministic LCCA'!$E$45*'Deterministic LCCA'!$C$32,1,0))</f>
        <v/>
      </c>
      <c r="O22" s="92">
        <f>IF($E22="WZ",IF(M22&gt;$B$10,1,0),IF(M22&gt;'Deterministic LCCA'!$E$45*'Deterministic LCCA'!$E$32,1,0))</f>
        <v/>
      </c>
      <c r="P22" s="200">
        <f>IF(S$2="No activity",0,IF(AVERAGE($J$19:$J$22)*(1+$B$12)^S$2&gt;1900*'Deterministic LCCA'!$C$32, 1900*'Deterministic LCCA'!$C$32, AVERAGE($J$19:$J$22)*(1+$B$12)^S$2))</f>
        <v/>
      </c>
      <c r="Q22" s="200">
        <f>IF(S$2="No activity",0,IF(AVERAGE($K$19:$K$22)*(1+$B$12)^S$2&gt;1900*'Deterministic LCCA'!$E$32, 1900*'Deterministic LCCA'!$E$32,AVERAGE($K$19:$K$22)*(1+$B$12)^S$2))</f>
        <v/>
      </c>
      <c r="R22" s="92">
        <f>IF($E22="WZ",IF(P22&gt;$B$10,1,0),IF(P22&gt;'Deterministic LCCA'!$E$45*'Deterministic LCCA'!$C$32,1,0))</f>
        <v/>
      </c>
      <c r="S22" s="92">
        <f>IF($E22="WZ",IF(Q22&gt;$B$10,1,0),IF(Q22&gt;'Deterministic LCCA'!$E$45*'Deterministic LCCA'!$E$32,1,0))</f>
        <v/>
      </c>
      <c r="T22" s="200">
        <f>IF(W$2="No activity",0,IF(AVERAGE($J$19:$J$22)*(1+$B$12)^W$2&gt;1900*'Deterministic LCCA'!$C$32, 1900*'Deterministic LCCA'!$C$32, AVERAGE($J$19:$J$22)*(1+$B$12)^W$2))</f>
        <v/>
      </c>
      <c r="U22" s="200">
        <f>IF(W$2="No activity",0,IF(AVERAGE($K$19:$K$22)*(1+$B$12)^W$2&gt;1900*'Deterministic LCCA'!$E$32, 1900*'Deterministic LCCA'!$E$32,AVERAGE($K$19:$K$22)*(1+$B$12)^W$2))</f>
        <v/>
      </c>
      <c r="V22" s="92">
        <f>IF($E22="WZ",IF(T22&gt;$B$10,1,0),IF(T22&gt;'Deterministic LCCA'!$E$45*'Deterministic LCCA'!$C$32,1,0))</f>
        <v/>
      </c>
      <c r="W22" s="92">
        <f>IF($E22="WZ",IF(U22&gt;$B$10,1,0),IF(U22&gt;'Deterministic LCCA'!$E$45*'Deterministic LCCA'!$E$32,1,0))</f>
        <v/>
      </c>
      <c r="X22" s="201">
        <f>IF(AA$2="No activity",0,IF(AVERAGE($J$19:$J$22)*(1+$B$12)^AA$2&gt;1900*'Deterministic LCCA'!$C$32, 1900*'Deterministic LCCA'!$C$32, AVERAGE($J$19:$J$22)*(1+$B$12)^AA$2))</f>
        <v/>
      </c>
      <c r="Y22" s="201">
        <f>IF(AA$2="No activity",0,IF(AVERAGE($K$19:$K$22)*(1+$B$12)^AA$2&gt;1900*'Deterministic LCCA'!$E$32, 1900*'Deterministic LCCA'!$E$32,AVERAGE($K$19:$K$22)*(1+$B$12)^AA$2))</f>
        <v/>
      </c>
      <c r="Z22" s="202">
        <f>IF($E22="WZ",IF(X22&gt;$B$10,1,0),IF(X22&gt;'Deterministic LCCA'!$E$45*'Deterministic LCCA'!$C$32,1,0))</f>
        <v/>
      </c>
      <c r="AA22" s="202">
        <f>IF($E22="WZ",IF(Y22&gt;$B$10,1,0),IF(Y22&gt;'Deterministic LCCA'!$E$45*'Deterministic LCCA'!$E$32,1,0))</f>
        <v/>
      </c>
      <c r="AB22" s="201">
        <f>IF(AE$2="No activity",0,IF(AVERAGE($J$19:$J$22)*(1+$B$12)^AE$2&gt;1900*'Deterministic LCCA'!$C$32, 1900*'Deterministic LCCA'!$C$32, AVERAGE($J$19:$J$22)*(1+$B$12)^AE$2))</f>
        <v/>
      </c>
      <c r="AC22" s="201">
        <f>IF(AE$2="No activity",0,IF(AVERAGE($K$19:$K$22)*(1+$B$12)^AE$2&gt;1900*'Deterministic LCCA'!$E$32, 1900*'Deterministic LCCA'!$E$32,AVERAGE($K$19:$K$22)*(1+$B$12)^AE$2))</f>
        <v/>
      </c>
      <c r="AD22" s="202">
        <f>IF($E22="WZ",IF(AB22&gt;$B$10,1,0),IF(AB22&gt;'Deterministic LCCA'!$E$45*'Deterministic LCCA'!$C$32,1,0))</f>
        <v/>
      </c>
      <c r="AE22" s="202">
        <f>IF($E22="WZ",IF(AC22&gt;$B$10,1,0),IF(AC22&gt;'Deterministic LCCA'!$E$45*'Deterministic LCCA'!$E$32,1,0))</f>
        <v/>
      </c>
      <c r="AF22" s="201">
        <f>IF(AI$2="No activity",0,IF(AVERAGE($J$19:$J$22)*(1+$B$12)^AI$2&gt;1900*'Deterministic LCCA'!$C$32, 1900*'Deterministic LCCA'!$C$32, AVERAGE($J$19:$J$22)*(1+$B$12)^AI$2))</f>
        <v/>
      </c>
      <c r="AG22" s="201">
        <f>IF(AI$2="No activity",0,IF(AVERAGE($K$19:$K$22)*(1+$B$12)^AI$2&gt;1900*'Deterministic LCCA'!$E$32, 1900*'Deterministic LCCA'!$E$32,AVERAGE($K$19:$K$22)*(1+$B$12)^AI$2))</f>
        <v/>
      </c>
      <c r="AH22" s="202">
        <f>IF($E22="WZ",IF(AF22&gt;$B$10,1,0),IF(AF22&gt;'Deterministic LCCA'!$E$45*'Deterministic LCCA'!$C$32,1,0))</f>
        <v/>
      </c>
      <c r="AI22" s="203">
        <f>IF($E22="WZ",IF(AG22&gt;$B$10,1,0),IF(AG22&gt;'Deterministic LCCA'!$E$45*'Deterministic LCCA'!$E$32,1,0))</f>
        <v/>
      </c>
    </row>
    <row r="23" spans="1:35">
      <c r="A23" s="229" t="s">
        <v>200</v>
      </c>
      <c r="B23" s="204" t="s">
        <v>201</v>
      </c>
      <c r="C23" s="204" t="s">
        <v>202</v>
      </c>
      <c r="D23" s="299" t="n"/>
      <c r="E23" s="182">
        <f>IF('Deterministic LCCA'!H45="Y", "WZ","Non-WZ")</f>
        <v/>
      </c>
      <c r="F23" s="195" t="s">
        <v>203</v>
      </c>
      <c r="G23" s="196" t="n">
        <v>3.9</v>
      </c>
      <c r="H23" s="196" t="n">
        <v>48</v>
      </c>
      <c r="I23" s="196">
        <f>100-H23</f>
        <v/>
      </c>
      <c r="J23" s="197">
        <f>$B$13*G23/100*H23/100</f>
        <v/>
      </c>
      <c r="K23" s="198">
        <f>$B$13*G23/100*I23/100</f>
        <v/>
      </c>
      <c r="L23" s="199">
        <f>IF(O$2="No activity",0,IF(AVERAGE($J$23:$J$27)*(1+$B$12)^O$2&gt;1900*'Deterministic LCCA'!$C$32, 1900*'Deterministic LCCA'!$C$32, AVERAGE($J$23:$J$27)*(1+$B$12)^O$2))</f>
        <v/>
      </c>
      <c r="M23" s="200">
        <f>IF(O$2="No activity",0,IF(AVERAGE($K$23:$K$27)*(1+$B$12)^O$2&gt;1900*'Deterministic LCCA'!$E$32, 1900*'Deterministic LCCA'!$E$32,AVERAGE($K$23:$K$27)*(1+$B$12)^O$2))</f>
        <v/>
      </c>
      <c r="N23" s="92">
        <f>IF($E23="WZ",IF(L23&gt;$B$10,1,0),IF(L23&gt;'Deterministic LCCA'!$E$45*'Deterministic LCCA'!$C$32,1,0))</f>
        <v/>
      </c>
      <c r="O23" s="92">
        <f>IF($E23="WZ",IF(M23&gt;$B$10,1,0),IF(M23&gt;'Deterministic LCCA'!$E$45*'Deterministic LCCA'!$E$32,1,0))</f>
        <v/>
      </c>
      <c r="P23" s="200">
        <f>IF(S$2="No activity",0,IF(AVERAGE($J$23:$J$27)*(1+$B$12)^S$2&gt;1900*'Deterministic LCCA'!$C$32, 1900*'Deterministic LCCA'!$C$32, AVERAGE($J$23:$J$27)*(1+$B$12)^S$2))</f>
        <v/>
      </c>
      <c r="Q23" s="200">
        <f>IF(S$2="No activity",0,IF(AVERAGE($K$23:$K$27)*(1+$B$12)^S$2&gt;1900*'Deterministic LCCA'!$E$32, 1900*'Deterministic LCCA'!$E$32,AVERAGE($K$23:$K$27)*(1+$B$12)^S$2))</f>
        <v/>
      </c>
      <c r="R23" s="92">
        <f>IF($E23="WZ",IF(P23&gt;$B$10,1,0),IF(P23&gt;'Deterministic LCCA'!$E$45*'Deterministic LCCA'!$C$32,1,0))</f>
        <v/>
      </c>
      <c r="S23" s="92">
        <f>IF($E23="WZ",IF(Q23&gt;$B$10,1,0),IF(Q23&gt;'Deterministic LCCA'!$E$45*'Deterministic LCCA'!$E$32,1,0))</f>
        <v/>
      </c>
      <c r="T23" s="200">
        <f>IF(W$2="No activity",0,IF(AVERAGE($J$23:$J$27)*(1+$B$12)^W$2&gt;1900*'Deterministic LCCA'!$C$32, 1900*'Deterministic LCCA'!$C$32, AVERAGE($J$23:$J$27)*(1+$B$12)^W$2))</f>
        <v/>
      </c>
      <c r="U23" s="200">
        <f>IF(W$2="No activity",0,IF(AVERAGE($K$23:$K$27)*(1+$B$12)^W$2&gt;1900*'Deterministic LCCA'!$E$32, 1900*'Deterministic LCCA'!$E$32,AVERAGE($K$23:$K$27)*(1+$B$12)^W$2))</f>
        <v/>
      </c>
      <c r="V23" s="92">
        <f>IF($E23="WZ",IF(T23&gt;$B$10,1,0),IF(T23&gt;'Deterministic LCCA'!$E$45*'Deterministic LCCA'!$C$32,1,0))</f>
        <v/>
      </c>
      <c r="W23" s="92">
        <f>IF($E23="WZ",IF(U23&gt;$B$10,1,0),IF(U23&gt;'Deterministic LCCA'!$E$45*'Deterministic LCCA'!$E$32,1,0))</f>
        <v/>
      </c>
      <c r="X23" s="201">
        <f>IF(AA$2="No activity",0,IF(AVERAGE($J$23:$J$27)*(1+$B$12)^AA$2&gt;1900*'Deterministic LCCA'!$C$32, 1900*'Deterministic LCCA'!$C$32, AVERAGE($J$23:$J$27)*(1+$B$12)^AA$2))</f>
        <v/>
      </c>
      <c r="Y23" s="201">
        <f>IF(AA$2="No activity",0,IF(AVERAGE($K$23:$K$27)*(1+$B$12)^AA$2&gt;1900*'Deterministic LCCA'!$E$32, 1900*'Deterministic LCCA'!$E$32,AVERAGE($K$23:$K$27)*(1+$B$12)^AA$2))</f>
        <v/>
      </c>
      <c r="Z23" s="202">
        <f>IF($E23="WZ",IF(X23&gt;$B$10,1,0),IF(X23&gt;'Deterministic LCCA'!$E$45*'Deterministic LCCA'!$C$32,1,0))</f>
        <v/>
      </c>
      <c r="AA23" s="202">
        <f>IF($E23="WZ",IF(Y23&gt;$B$10,1,0),IF(Y23&gt;'Deterministic LCCA'!$E$45*'Deterministic LCCA'!$E$32,1,0))</f>
        <v/>
      </c>
      <c r="AB23" s="201">
        <f>IF(AE$2="No activity",0,IF(AVERAGE($J$23:$J$27)*(1+$B$12)^AE$2&gt;1900*'Deterministic LCCA'!$C$32, 1900*'Deterministic LCCA'!$C$32, AVERAGE($J$23:$J$27)*(1+$B$12)^AE$2))</f>
        <v/>
      </c>
      <c r="AC23" s="201">
        <f>IF(AE$2="No activity",0,IF(AVERAGE($K$23:$K$27)*(1+$B$12)^AE$2&gt;1900*'Deterministic LCCA'!$E$32, 1900*'Deterministic LCCA'!$E$32,AVERAGE($K$23:$K$27)*(1+$B$12)^AE$2))</f>
        <v/>
      </c>
      <c r="AD23" s="202">
        <f>IF($E23="WZ",IF(AB23&gt;$B$10,1,0),IF(AB23&gt;'Deterministic LCCA'!$E$45*'Deterministic LCCA'!$C$32,1,0))</f>
        <v/>
      </c>
      <c r="AE23" s="202">
        <f>IF($E23="WZ",IF(AC23&gt;$B$10,1,0),IF(AC23&gt;'Deterministic LCCA'!$E$45*'Deterministic LCCA'!$E$32,1,0))</f>
        <v/>
      </c>
      <c r="AF23" s="201">
        <f>IF(AI$2="No activity",0,IF(AVERAGE($J$23:$J$27)*(1+$B$12)^AI$2&gt;1900*'Deterministic LCCA'!$C$32, 1900*'Deterministic LCCA'!$C$32, AVERAGE($J$23:$J$27)*(1+$B$12)^AI$2))</f>
        <v/>
      </c>
      <c r="AG23" s="201">
        <f>IF(AI$2="No activity",0,IF(AVERAGE($K$23:$K$27)*(1+$B$12)^AI$2&gt;1900*'Deterministic LCCA'!$E$32, 1900*'Deterministic LCCA'!$E$32,AVERAGE($K$23:$K$27)*(1+$B$12)^AI$2))</f>
        <v/>
      </c>
      <c r="AH23" s="202">
        <f>IF($E23="WZ",IF(AF23&gt;$B$10,1,0),IF(AF23&gt;'Deterministic LCCA'!$E$45*'Deterministic LCCA'!$C$32,1,0))</f>
        <v/>
      </c>
      <c r="AI23" s="203">
        <f>IF($E23="WZ",IF(AG23&gt;$B$10,1,0),IF(AG23&gt;'Deterministic LCCA'!$E$45*'Deterministic LCCA'!$E$32,1,0))</f>
        <v/>
      </c>
    </row>
    <row r="24" spans="1:35">
      <c r="A24" s="229" t="s">
        <v>204</v>
      </c>
      <c r="B24" s="204">
        <f>'Deterministic LCCA'!C36</f>
        <v/>
      </c>
      <c r="C24" s="204">
        <f>'Deterministic LCCA'!E36</f>
        <v/>
      </c>
      <c r="D24" s="299" t="n"/>
      <c r="E24" s="182">
        <f>IF('Deterministic LCCA'!H46="Y", "WZ","Non-WZ")</f>
        <v/>
      </c>
      <c r="F24" s="195" t="s">
        <v>205</v>
      </c>
      <c r="G24" s="196" t="n">
        <v>3.3</v>
      </c>
      <c r="H24" s="196" t="n">
        <v>47</v>
      </c>
      <c r="I24" s="196">
        <f>100-H24</f>
        <v/>
      </c>
      <c r="J24" s="197">
        <f>$B$13*G24/100*H24/100</f>
        <v/>
      </c>
      <c r="K24" s="198">
        <f>$B$13*G24/100*I24/100</f>
        <v/>
      </c>
      <c r="L24" s="199">
        <f>IF(O$2="No activity",0,IF(AVERAGE($J$23:$J$27)*(1+$B$12)^O$2&gt;1900*'Deterministic LCCA'!$C$32, 1900*'Deterministic LCCA'!$C$32, AVERAGE($J$23:$J$27)*(1+$B$12)^O$2))</f>
        <v/>
      </c>
      <c r="M24" s="200">
        <f>IF(O$2="No activity",0,IF(AVERAGE($K$23:$K$27)*(1+$B$12)^O$2&gt;1900*'Deterministic LCCA'!$E$32, 1900*'Deterministic LCCA'!$E$32,AVERAGE($K$23:$K$27)*(1+$B$12)^O$2))</f>
        <v/>
      </c>
      <c r="N24" s="92">
        <f>IF($E24="WZ",IF(L24&gt;$B$10,1,0),IF(L24&gt;'Deterministic LCCA'!$E$45*'Deterministic LCCA'!$C$32,1,0))</f>
        <v/>
      </c>
      <c r="O24" s="92">
        <f>IF($E24="WZ",IF(M24&gt;$B$10,1,0),IF(M24&gt;'Deterministic LCCA'!$E$45*'Deterministic LCCA'!$E$32,1,0))</f>
        <v/>
      </c>
      <c r="P24" s="200">
        <f>IF(S$2="No activity",0,IF(AVERAGE($J$23:$J$27)*(1+$B$12)^S$2&gt;1900*'Deterministic LCCA'!$C$32, 1900*'Deterministic LCCA'!$C$32, AVERAGE($J$23:$J$27)*(1+$B$12)^S$2))</f>
        <v/>
      </c>
      <c r="Q24" s="200">
        <f>IF(S$2="No activity",0,IF(AVERAGE($K$23:$K$27)*(1+$B$12)^S$2&gt;1900*'Deterministic LCCA'!$E$32, 1900*'Deterministic LCCA'!$E$32,AVERAGE($K$23:$K$27)*(1+$B$12)^S$2))</f>
        <v/>
      </c>
      <c r="R24" s="92">
        <f>IF($E24="WZ",IF(P24&gt;$B$10,1,0),IF(P24&gt;'Deterministic LCCA'!$E$45*'Deterministic LCCA'!$C$32,1,0))</f>
        <v/>
      </c>
      <c r="S24" s="92">
        <f>IF($E24="WZ",IF(Q24&gt;$B$10,1,0),IF(Q24&gt;'Deterministic LCCA'!$E$45*'Deterministic LCCA'!$E$32,1,0))</f>
        <v/>
      </c>
      <c r="T24" s="200">
        <f>IF(W$2="No activity",0,IF(AVERAGE($J$23:$J$27)*(1+$B$12)^W$2&gt;1900*'Deterministic LCCA'!$C$32, 1900*'Deterministic LCCA'!$C$32, AVERAGE($J$23:$J$27)*(1+$B$12)^W$2))</f>
        <v/>
      </c>
      <c r="U24" s="200">
        <f>IF(W$2="No activity",0,IF(AVERAGE($K$23:$K$27)*(1+$B$12)^W$2&gt;1900*'Deterministic LCCA'!$E$32, 1900*'Deterministic LCCA'!$E$32,AVERAGE($K$23:$K$27)*(1+$B$12)^W$2))</f>
        <v/>
      </c>
      <c r="V24" s="92">
        <f>IF($E24="WZ",IF(T24&gt;$B$10,1,0),IF(T24&gt;'Deterministic LCCA'!$E$45*'Deterministic LCCA'!$C$32,1,0))</f>
        <v/>
      </c>
      <c r="W24" s="92">
        <f>IF($E24="WZ",IF(U24&gt;$B$10,1,0),IF(U24&gt;'Deterministic LCCA'!$E$45*'Deterministic LCCA'!$E$32,1,0))</f>
        <v/>
      </c>
      <c r="X24" s="201">
        <f>IF(AA$2="No activity",0,IF(AVERAGE($J$23:$J$27)*(1+$B$12)^AA$2&gt;1900*'Deterministic LCCA'!$C$32, 1900*'Deterministic LCCA'!$C$32, AVERAGE($J$23:$J$27)*(1+$B$12)^AA$2))</f>
        <v/>
      </c>
      <c r="Y24" s="201">
        <f>IF(AA$2="No activity",0,IF(AVERAGE($K$23:$K$27)*(1+$B$12)^AA$2&gt;1900*'Deterministic LCCA'!$E$32, 1900*'Deterministic LCCA'!$E$32,AVERAGE($K$23:$K$27)*(1+$B$12)^AA$2))</f>
        <v/>
      </c>
      <c r="Z24" s="202">
        <f>IF($E24="WZ",IF(X24&gt;$B$10,1,0),IF(X24&gt;'Deterministic LCCA'!$E$45*'Deterministic LCCA'!$C$32,1,0))</f>
        <v/>
      </c>
      <c r="AA24" s="202">
        <f>IF($E24="WZ",IF(Y24&gt;$B$10,1,0),IF(Y24&gt;'Deterministic LCCA'!$E$45*'Deterministic LCCA'!$E$32,1,0))</f>
        <v/>
      </c>
      <c r="AB24" s="201">
        <f>IF(AE$2="No activity",0,IF(AVERAGE($J$23:$J$27)*(1+$B$12)^AE$2&gt;1900*'Deterministic LCCA'!$C$32, 1900*'Deterministic LCCA'!$C$32, AVERAGE($J$23:$J$27)*(1+$B$12)^AE$2))</f>
        <v/>
      </c>
      <c r="AC24" s="201">
        <f>IF(AE$2="No activity",0,IF(AVERAGE($K$23:$K$27)*(1+$B$12)^AE$2&gt;1900*'Deterministic LCCA'!$E$32, 1900*'Deterministic LCCA'!$E$32,AVERAGE($K$23:$K$27)*(1+$B$12)^AE$2))</f>
        <v/>
      </c>
      <c r="AD24" s="202">
        <f>IF($E24="WZ",IF(AB24&gt;$B$10,1,0),IF(AB24&gt;'Deterministic LCCA'!$E$45*'Deterministic LCCA'!$C$32,1,0))</f>
        <v/>
      </c>
      <c r="AE24" s="202">
        <f>IF($E24="WZ",IF(AC24&gt;$B$10,1,0),IF(AC24&gt;'Deterministic LCCA'!$E$45*'Deterministic LCCA'!$E$32,1,0))</f>
        <v/>
      </c>
      <c r="AF24" s="201">
        <f>IF(AI$2="No activity",0,IF(AVERAGE($J$23:$J$27)*(1+$B$12)^AI$2&gt;1900*'Deterministic LCCA'!$C$32, 1900*'Deterministic LCCA'!$C$32, AVERAGE($J$23:$J$27)*(1+$B$12)^AI$2))</f>
        <v/>
      </c>
      <c r="AG24" s="201">
        <f>IF(AI$2="No activity",0,IF(AVERAGE($K$23:$K$27)*(1+$B$12)^AI$2&gt;1900*'Deterministic LCCA'!$E$32, 1900*'Deterministic LCCA'!$E$32,AVERAGE($K$23:$K$27)*(1+$B$12)^AI$2))</f>
        <v/>
      </c>
      <c r="AH24" s="202">
        <f>IF($E24="WZ",IF(AF24&gt;$B$10,1,0),IF(AF24&gt;'Deterministic LCCA'!$E$45*'Deterministic LCCA'!$C$32,1,0))</f>
        <v/>
      </c>
      <c r="AI24" s="203">
        <f>IF($E24="WZ",IF(AG24&gt;$B$10,1,0),IF(AG24&gt;'Deterministic LCCA'!$E$45*'Deterministic LCCA'!$E$32,1,0))</f>
        <v/>
      </c>
    </row>
    <row r="25" spans="1:35">
      <c r="A25" s="229" t="s">
        <v>206</v>
      </c>
      <c r="B25" s="204">
        <f>'Deterministic LCCA'!C37</f>
        <v/>
      </c>
      <c r="C25" s="204">
        <f>'Deterministic LCCA'!E37</f>
        <v/>
      </c>
      <c r="D25" s="299" t="n"/>
      <c r="E25" s="182">
        <f>IF('Deterministic LCCA'!H47="Y", "WZ","Non-WZ")</f>
        <v/>
      </c>
      <c r="F25" s="195" t="s">
        <v>207</v>
      </c>
      <c r="G25" s="196" t="n">
        <v>2.8</v>
      </c>
      <c r="H25" s="196" t="n">
        <v>47</v>
      </c>
      <c r="I25" s="196">
        <f>100-H25</f>
        <v/>
      </c>
      <c r="J25" s="197">
        <f>$B$13*G25/100*H25/100</f>
        <v/>
      </c>
      <c r="K25" s="198">
        <f>$B$13*G25/100*I25/100</f>
        <v/>
      </c>
      <c r="L25" s="199">
        <f>IF(O$2="No activity",0,IF(AVERAGE($J$23:$J$27)*(1+$B$12)^O$2&gt;1900*'Deterministic LCCA'!$C$32, 1900*'Deterministic LCCA'!$C$32, AVERAGE($J$23:$J$27)*(1+$B$12)^O$2))</f>
        <v/>
      </c>
      <c r="M25" s="200">
        <f>IF(O$2="No activity",0,IF(AVERAGE($K$23:$K$27)*(1+$B$12)^O$2&gt;1900*'Deterministic LCCA'!$E$32, 1900*'Deterministic LCCA'!$E$32,AVERAGE($K$23:$K$27)*(1+$B$12)^O$2))</f>
        <v/>
      </c>
      <c r="N25" s="92">
        <f>IF($E25="WZ",IF(L25&gt;$B$10,1,0),IF(L25&gt;'Deterministic LCCA'!$E$45*'Deterministic LCCA'!$C$32,1,0))</f>
        <v/>
      </c>
      <c r="O25" s="92">
        <f>IF($E25="WZ",IF(M25&gt;$B$10,1,0),IF(M25&gt;'Deterministic LCCA'!$E$45*'Deterministic LCCA'!$E$32,1,0))</f>
        <v/>
      </c>
      <c r="P25" s="200">
        <f>IF(S$2="No activity",0,IF(AVERAGE($J$23:$J$27)*(1+$B$12)^S$2&gt;1900*'Deterministic LCCA'!$C$32, 1900*'Deterministic LCCA'!$C$32, AVERAGE($J$23:$J$27)*(1+$B$12)^S$2))</f>
        <v/>
      </c>
      <c r="Q25" s="200">
        <f>IF(S$2="No activity",0,IF(AVERAGE($K$23:$K$27)*(1+$B$12)^S$2&gt;1900*'Deterministic LCCA'!$E$32, 1900*'Deterministic LCCA'!$E$32,AVERAGE($K$23:$K$27)*(1+$B$12)^S$2))</f>
        <v/>
      </c>
      <c r="R25" s="92">
        <f>IF($E25="WZ",IF(P25&gt;$B$10,1,0),IF(P25&gt;'Deterministic LCCA'!$E$45*'Deterministic LCCA'!$C$32,1,0))</f>
        <v/>
      </c>
      <c r="S25" s="92">
        <f>IF($E25="WZ",IF(Q25&gt;$B$10,1,0),IF(Q25&gt;'Deterministic LCCA'!$E$45*'Deterministic LCCA'!$E$32,1,0))</f>
        <v/>
      </c>
      <c r="T25" s="200">
        <f>IF(W$2="No activity",0,IF(AVERAGE($J$23:$J$27)*(1+$B$12)^W$2&gt;1900*'Deterministic LCCA'!$C$32, 1900*'Deterministic LCCA'!$C$32, AVERAGE($J$23:$J$27)*(1+$B$12)^W$2))</f>
        <v/>
      </c>
      <c r="U25" s="200">
        <f>IF(W$2="No activity",0,IF(AVERAGE($K$23:$K$27)*(1+$B$12)^W$2&gt;1900*'Deterministic LCCA'!$E$32, 1900*'Deterministic LCCA'!$E$32,AVERAGE($K$23:$K$27)*(1+$B$12)^W$2))</f>
        <v/>
      </c>
      <c r="V25" s="92">
        <f>IF($E25="WZ",IF(T25&gt;$B$10,1,0),IF(T25&gt;'Deterministic LCCA'!$E$45*'Deterministic LCCA'!$C$32,1,0))</f>
        <v/>
      </c>
      <c r="W25" s="92">
        <f>IF($E25="WZ",IF(U25&gt;$B$10,1,0),IF(U25&gt;'Deterministic LCCA'!$E$45*'Deterministic LCCA'!$E$32,1,0))</f>
        <v/>
      </c>
      <c r="X25" s="201">
        <f>IF(AA$2="No activity",0,IF(AVERAGE($J$23:$J$27)*(1+$B$12)^AA$2&gt;1900*'Deterministic LCCA'!$C$32, 1900*'Deterministic LCCA'!$C$32, AVERAGE($J$23:$J$27)*(1+$B$12)^AA$2))</f>
        <v/>
      </c>
      <c r="Y25" s="201">
        <f>IF(AA$2="No activity",0,IF(AVERAGE($K$23:$K$27)*(1+$B$12)^AA$2&gt;1900*'Deterministic LCCA'!$E$32, 1900*'Deterministic LCCA'!$E$32,AVERAGE($K$23:$K$27)*(1+$B$12)^AA$2))</f>
        <v/>
      </c>
      <c r="Z25" s="202">
        <f>IF($E25="WZ",IF(X25&gt;$B$10,1,0),IF(X25&gt;'Deterministic LCCA'!$E$45*'Deterministic LCCA'!$C$32,1,0))</f>
        <v/>
      </c>
      <c r="AA25" s="202">
        <f>IF($E25="WZ",IF(Y25&gt;$B$10,1,0),IF(Y25&gt;'Deterministic LCCA'!$E$45*'Deterministic LCCA'!$E$32,1,0))</f>
        <v/>
      </c>
      <c r="AB25" s="201">
        <f>IF(AE$2="No activity",0,IF(AVERAGE($J$23:$J$27)*(1+$B$12)^AE$2&gt;1900*'Deterministic LCCA'!$C$32, 1900*'Deterministic LCCA'!$C$32, AVERAGE($J$23:$J$27)*(1+$B$12)^AE$2))</f>
        <v/>
      </c>
      <c r="AC25" s="201">
        <f>IF(AE$2="No activity",0,IF(AVERAGE($K$23:$K$27)*(1+$B$12)^AE$2&gt;1900*'Deterministic LCCA'!$E$32, 1900*'Deterministic LCCA'!$E$32,AVERAGE($K$23:$K$27)*(1+$B$12)^AE$2))</f>
        <v/>
      </c>
      <c r="AD25" s="202">
        <f>IF($E25="WZ",IF(AB25&gt;$B$10,1,0),IF(AB25&gt;'Deterministic LCCA'!$E$45*'Deterministic LCCA'!$C$32,1,0))</f>
        <v/>
      </c>
      <c r="AE25" s="202">
        <f>IF($E25="WZ",IF(AC25&gt;$B$10,1,0),IF(AC25&gt;'Deterministic LCCA'!$E$45*'Deterministic LCCA'!$E$32,1,0))</f>
        <v/>
      </c>
      <c r="AF25" s="201">
        <f>IF(AI$2="No activity",0,IF(AVERAGE($J$23:$J$27)*(1+$B$12)^AI$2&gt;1900*'Deterministic LCCA'!$C$32, 1900*'Deterministic LCCA'!$C$32, AVERAGE($J$23:$J$27)*(1+$B$12)^AI$2))</f>
        <v/>
      </c>
      <c r="AG25" s="201">
        <f>IF(AI$2="No activity",0,IF(AVERAGE($K$23:$K$27)*(1+$B$12)^AI$2&gt;1900*'Deterministic LCCA'!$E$32, 1900*'Deterministic LCCA'!$E$32,AVERAGE($K$23:$K$27)*(1+$B$12)^AI$2))</f>
        <v/>
      </c>
      <c r="AH25" s="202">
        <f>IF($E25="WZ",IF(AF25&gt;$B$10,1,0),IF(AF25&gt;'Deterministic LCCA'!$E$45*'Deterministic LCCA'!$C$32,1,0))</f>
        <v/>
      </c>
      <c r="AI25" s="203">
        <f>IF($E25="WZ",IF(AG25&gt;$B$10,1,0),IF(AG25&gt;'Deterministic LCCA'!$E$45*'Deterministic LCCA'!$E$32,1,0))</f>
        <v/>
      </c>
    </row>
    <row r="26" spans="1:35">
      <c r="A26" s="229" t="n"/>
      <c r="B26" s="204" t="n"/>
      <c r="C26" s="204" t="n"/>
      <c r="D26" s="299" t="n"/>
      <c r="E26" s="182">
        <f>IF('Deterministic LCCA'!H48="Y", "WZ","Non-WZ")</f>
        <v/>
      </c>
      <c r="F26" s="195" t="s">
        <v>208</v>
      </c>
      <c r="G26" s="196" t="n">
        <v>2.3</v>
      </c>
      <c r="H26" s="196" t="n">
        <v>48</v>
      </c>
      <c r="I26" s="196">
        <f>100-H26</f>
        <v/>
      </c>
      <c r="J26" s="197">
        <f>$B$13*G26/100*H26/100</f>
        <v/>
      </c>
      <c r="K26" s="198">
        <f>$B$13*G26/100*I26/100</f>
        <v/>
      </c>
      <c r="L26" s="199">
        <f>IF(O$2="No activity",0,IF(AVERAGE($J$23:$J$27)*(1+$B$12)^O$2&gt;1900*'Deterministic LCCA'!$C$32, 1900*'Deterministic LCCA'!$C$32, AVERAGE($J$23:$J$27)*(1+$B$12)^O$2))</f>
        <v/>
      </c>
      <c r="M26" s="200">
        <f>IF(O$2="No activity",0,IF(AVERAGE($K$23:$K$27)*(1+$B$12)^O$2&gt;1900*'Deterministic LCCA'!$E$32, 1900*'Deterministic LCCA'!$E$32,AVERAGE($K$23:$K$27)*(1+$B$12)^O$2))</f>
        <v/>
      </c>
      <c r="N26" s="92">
        <f>IF($E26="WZ",IF(L26&gt;$B$10,1,0),IF(L26&gt;'Deterministic LCCA'!$E$45*'Deterministic LCCA'!$C$32,1,0))</f>
        <v/>
      </c>
      <c r="O26" s="92">
        <f>IF($E26="WZ",IF(M26&gt;$B$10,1,0),IF(M26&gt;'Deterministic LCCA'!$E$45*'Deterministic LCCA'!$E$32,1,0))</f>
        <v/>
      </c>
      <c r="P26" s="200">
        <f>IF(S$2="No activity",0,IF(AVERAGE($J$23:$J$27)*(1+$B$12)^S$2&gt;1900*'Deterministic LCCA'!$C$32, 1900*'Deterministic LCCA'!$C$32, AVERAGE($J$23:$J$27)*(1+$B$12)^S$2))</f>
        <v/>
      </c>
      <c r="Q26" s="200">
        <f>IF(S$2="No activity",0,IF(AVERAGE($K$23:$K$27)*(1+$B$12)^S$2&gt;1900*'Deterministic LCCA'!$E$32, 1900*'Deterministic LCCA'!$E$32,AVERAGE($K$23:$K$27)*(1+$B$12)^S$2))</f>
        <v/>
      </c>
      <c r="R26" s="92">
        <f>IF($E26="WZ",IF(P26&gt;$B$10,1,0),IF(P26&gt;'Deterministic LCCA'!$E$45*'Deterministic LCCA'!$C$32,1,0))</f>
        <v/>
      </c>
      <c r="S26" s="92">
        <f>IF($E26="WZ",IF(Q26&gt;$B$10,1,0),IF(Q26&gt;'Deterministic LCCA'!$E$45*'Deterministic LCCA'!$E$32,1,0))</f>
        <v/>
      </c>
      <c r="T26" s="200">
        <f>IF(W$2="No activity",0,IF(AVERAGE($J$23:$J$27)*(1+$B$12)^W$2&gt;1900*'Deterministic LCCA'!$C$32, 1900*'Deterministic LCCA'!$C$32, AVERAGE($J$23:$J$27)*(1+$B$12)^W$2))</f>
        <v/>
      </c>
      <c r="U26" s="200">
        <f>IF(W$2="No activity",0,IF(AVERAGE($K$23:$K$27)*(1+$B$12)^W$2&gt;1900*'Deterministic LCCA'!$E$32, 1900*'Deterministic LCCA'!$E$32,AVERAGE($K$23:$K$27)*(1+$B$12)^W$2))</f>
        <v/>
      </c>
      <c r="V26" s="92">
        <f>IF($E26="WZ",IF(T26&gt;$B$10,1,0),IF(T26&gt;'Deterministic LCCA'!$E$45*'Deterministic LCCA'!$C$32,1,0))</f>
        <v/>
      </c>
      <c r="W26" s="92">
        <f>IF($E26="WZ",IF(U26&gt;$B$10,1,0),IF(U26&gt;'Deterministic LCCA'!$E$45*'Deterministic LCCA'!$E$32,1,0))</f>
        <v/>
      </c>
      <c r="X26" s="201">
        <f>IF(AA$2="No activity",0,IF(AVERAGE($J$23:$J$27)*(1+$B$12)^AA$2&gt;1900*'Deterministic LCCA'!$C$32, 1900*'Deterministic LCCA'!$C$32, AVERAGE($J$23:$J$27)*(1+$B$12)^AA$2))</f>
        <v/>
      </c>
      <c r="Y26" s="201">
        <f>IF(AA$2="No activity",0,IF(AVERAGE($K$23:$K$27)*(1+$B$12)^AA$2&gt;1900*'Deterministic LCCA'!$E$32, 1900*'Deterministic LCCA'!$E$32,AVERAGE($K$23:$K$27)*(1+$B$12)^AA$2))</f>
        <v/>
      </c>
      <c r="Z26" s="202">
        <f>IF($E26="WZ",IF(X26&gt;$B$10,1,0),IF(X26&gt;'Deterministic LCCA'!$E$45*'Deterministic LCCA'!$C$32,1,0))</f>
        <v/>
      </c>
      <c r="AA26" s="202">
        <f>IF($E26="WZ",IF(Y26&gt;$B$10,1,0),IF(Y26&gt;'Deterministic LCCA'!$E$45*'Deterministic LCCA'!$E$32,1,0))</f>
        <v/>
      </c>
      <c r="AB26" s="201">
        <f>IF(AE$2="No activity",0,IF(AVERAGE($J$23:$J$27)*(1+$B$12)^AE$2&gt;1900*'Deterministic LCCA'!$C$32, 1900*'Deterministic LCCA'!$C$32, AVERAGE($J$23:$J$27)*(1+$B$12)^AE$2))</f>
        <v/>
      </c>
      <c r="AC26" s="201">
        <f>IF(AE$2="No activity",0,IF(AVERAGE($K$23:$K$27)*(1+$B$12)^AE$2&gt;1900*'Deterministic LCCA'!$E$32, 1900*'Deterministic LCCA'!$E$32,AVERAGE($K$23:$K$27)*(1+$B$12)^AE$2))</f>
        <v/>
      </c>
      <c r="AD26" s="202">
        <f>IF($E26="WZ",IF(AB26&gt;$B$10,1,0),IF(AB26&gt;'Deterministic LCCA'!$E$45*'Deterministic LCCA'!$C$32,1,0))</f>
        <v/>
      </c>
      <c r="AE26" s="202">
        <f>IF($E26="WZ",IF(AC26&gt;$B$10,1,0),IF(AC26&gt;'Deterministic LCCA'!$E$45*'Deterministic LCCA'!$E$32,1,0))</f>
        <v/>
      </c>
      <c r="AF26" s="201">
        <f>IF(AI$2="No activity",0,IF(AVERAGE($J$23:$J$27)*(1+$B$12)^AI$2&gt;1900*'Deterministic LCCA'!$C$32, 1900*'Deterministic LCCA'!$C$32, AVERAGE($J$23:$J$27)*(1+$B$12)^AI$2))</f>
        <v/>
      </c>
      <c r="AG26" s="201">
        <f>IF(AI$2="No activity",0,IF(AVERAGE($K$23:$K$27)*(1+$B$12)^AI$2&gt;1900*'Deterministic LCCA'!$E$32, 1900*'Deterministic LCCA'!$E$32,AVERAGE($K$23:$K$27)*(1+$B$12)^AI$2))</f>
        <v/>
      </c>
      <c r="AH26" s="202">
        <f>IF($E26="WZ",IF(AF26&gt;$B$10,1,0),IF(AF26&gt;'Deterministic LCCA'!$E$45*'Deterministic LCCA'!$C$32,1,0))</f>
        <v/>
      </c>
      <c r="AI26" s="203">
        <f>IF($E26="WZ",IF(AG26&gt;$B$10,1,0),IF(AG26&gt;'Deterministic LCCA'!$E$45*'Deterministic LCCA'!$E$32,1,0))</f>
        <v/>
      </c>
    </row>
    <row r="27" spans="1:35">
      <c r="A27" s="229" t="s">
        <v>209</v>
      </c>
      <c r="B27" s="204" t="s">
        <v>201</v>
      </c>
      <c r="C27" s="204" t="s">
        <v>202</v>
      </c>
      <c r="D27" s="299" t="n"/>
      <c r="E27" s="212">
        <f>IF('Deterministic LCCA'!H49="Y", "WZ","Non-WZ")</f>
        <v/>
      </c>
      <c r="F27" s="213" t="s">
        <v>210</v>
      </c>
      <c r="G27" s="214" t="n">
        <v>1.7</v>
      </c>
      <c r="H27" s="214" t="n">
        <v>45</v>
      </c>
      <c r="I27" s="214">
        <f>100-H27</f>
        <v/>
      </c>
      <c r="J27" s="215">
        <f>$B$13*G27/100*H27/100</f>
        <v/>
      </c>
      <c r="K27" s="216">
        <f>$B$13*G27/100*I27/100</f>
        <v/>
      </c>
      <c r="L27" s="217">
        <f>IF(O$2="No activity",0,IF(AVERAGE($J$23:$J$27)*(1+$B$12)^O$2&gt;1900*'Deterministic LCCA'!$C$32, 1900*'Deterministic LCCA'!$C$32, AVERAGE($J$23:$J$27)*(1+$B$12)^O$2))</f>
        <v/>
      </c>
      <c r="M27" s="218">
        <f>IF(O$2="No activity",0,IF(AVERAGE($K$23:$K$27)*(1+$B$12)^O$2&gt;1900*'Deterministic LCCA'!$E$32, 1900*'Deterministic LCCA'!$E$32,AVERAGE($K$23:$K$27)*(1+$B$12)^O$2))</f>
        <v/>
      </c>
      <c r="N27" s="83">
        <f>IF($E27="WZ",IF(L27&gt;$B$10,1,0),IF(L27&gt;'Deterministic LCCA'!$E$45*'Deterministic LCCA'!$C$32,1,0))</f>
        <v/>
      </c>
      <c r="O27" s="83">
        <f>IF($E27="WZ",IF(M27&gt;$B$10,1,0),IF(M27&gt;'Deterministic LCCA'!$E$45*'Deterministic LCCA'!$E$32,1,0))</f>
        <v/>
      </c>
      <c r="P27" s="218">
        <f>IF(S$2="No activity",0,IF(AVERAGE($J$23:$J$27)*(1+$B$12)^S$2&gt;1900*'Deterministic LCCA'!$C$32, 1900*'Deterministic LCCA'!$C$32, AVERAGE($J$23:$J$27)*(1+$B$12)^S$2))</f>
        <v/>
      </c>
      <c r="Q27" s="218">
        <f>IF(S$2="No activity",0,IF(AVERAGE($K$23:$K$27)*(1+$B$12)^S$2&gt;1900*'Deterministic LCCA'!$E$32, 1900*'Deterministic LCCA'!$E$32,AVERAGE($K$23:$K$27)*(1+$B$12)^S$2))</f>
        <v/>
      </c>
      <c r="R27" s="83">
        <f>IF($E27="WZ",IF(P27&gt;$B$10,1,0),IF(P27&gt;'Deterministic LCCA'!$E$45*'Deterministic LCCA'!$C$32,1,0))</f>
        <v/>
      </c>
      <c r="S27" s="83">
        <f>IF($E27="WZ",IF(Q27&gt;$B$10,1,0),IF(Q27&gt;'Deterministic LCCA'!$E$45*'Deterministic LCCA'!$E$32,1,0))</f>
        <v/>
      </c>
      <c r="T27" s="218">
        <f>IF(W$2="No activity",0,IF(AVERAGE($J$23:$J$27)*(1+$B$12)^W$2&gt;1900*'Deterministic LCCA'!$C$32, 1900*'Deterministic LCCA'!$C$32, AVERAGE($J$23:$J$27)*(1+$B$12)^W$2))</f>
        <v/>
      </c>
      <c r="U27" s="218">
        <f>IF(W$2="No activity",0,IF(AVERAGE($K$23:$K$27)*(1+$B$12)^W$2&gt;1900*'Deterministic LCCA'!$E$32, 1900*'Deterministic LCCA'!$E$32,AVERAGE($K$23:$K$27)*(1+$B$12)^W$2))</f>
        <v/>
      </c>
      <c r="V27" s="83">
        <f>IF($E27="WZ",IF(T27&gt;$B$10,1,0),IF(T27&gt;'Deterministic LCCA'!$E$45*'Deterministic LCCA'!$C$32,1,0))</f>
        <v/>
      </c>
      <c r="W27" s="83">
        <f>IF($E27="WZ",IF(U27&gt;$B$10,1,0),IF(U27&gt;'Deterministic LCCA'!$E$45*'Deterministic LCCA'!$E$32,1,0))</f>
        <v/>
      </c>
      <c r="X27" s="219">
        <f>IF(AA$2="No activity",0,IF(AVERAGE($J$23:$J$27)*(1+$B$12)^AA$2&gt;1900*'Deterministic LCCA'!$C$32, 1900*'Deterministic LCCA'!$C$32, AVERAGE($J$23:$J$27)*(1+$B$12)^AA$2))</f>
        <v/>
      </c>
      <c r="Y27" s="219">
        <f>IF(AA$2="No activity",0,IF(AVERAGE($K$23:$K$27)*(1+$B$12)^AA$2&gt;1900*'Deterministic LCCA'!$E$32, 1900*'Deterministic LCCA'!$E$32,AVERAGE($K$23:$K$27)*(1+$B$12)^AA$2))</f>
        <v/>
      </c>
      <c r="Z27" s="220">
        <f>IF($E27="WZ",IF(X27&gt;$B$10,1,0),IF(X27&gt;'Deterministic LCCA'!$E$45*'Deterministic LCCA'!$C$32,1,0))</f>
        <v/>
      </c>
      <c r="AA27" s="220">
        <f>IF($E27="WZ",IF(Y27&gt;$B$10,1,0),IF(Y27&gt;'Deterministic LCCA'!$E$45*'Deterministic LCCA'!$E$32,1,0))</f>
        <v/>
      </c>
      <c r="AB27" s="219">
        <f>IF(AE$2="No activity",0,IF(AVERAGE($J$23:$J$27)*(1+$B$12)^AE$2&gt;1900*'Deterministic LCCA'!$C$32, 1900*'Deterministic LCCA'!$C$32, AVERAGE($J$23:$J$27)*(1+$B$12)^AE$2))</f>
        <v/>
      </c>
      <c r="AC27" s="219">
        <f>IF(AE$2="No activity",0,IF(AVERAGE($K$23:$K$27)*(1+$B$12)^AE$2&gt;1900*'Deterministic LCCA'!$E$32, 1900*'Deterministic LCCA'!$E$32,AVERAGE($K$23:$K$27)*(1+$B$12)^AE$2))</f>
        <v/>
      </c>
      <c r="AD27" s="220">
        <f>IF($E27="WZ",IF(AB27&gt;$B$10,1,0),IF(AB27&gt;'Deterministic LCCA'!$E$45*'Deterministic LCCA'!$C$32,1,0))</f>
        <v/>
      </c>
      <c r="AE27" s="220">
        <f>IF($E27="WZ",IF(AC27&gt;$B$10,1,0),IF(AC27&gt;'Deterministic LCCA'!$E$45*'Deterministic LCCA'!$E$32,1,0))</f>
        <v/>
      </c>
      <c r="AF27" s="219">
        <f>IF(AI$2="No activity",0,IF(AVERAGE($J$23:$J$27)*(1+$B$12)^AI$2&gt;1900*'Deterministic LCCA'!$C$32, 1900*'Deterministic LCCA'!$C$32, AVERAGE($J$23:$J$27)*(1+$B$12)^AI$2))</f>
        <v/>
      </c>
      <c r="AG27" s="219">
        <f>IF(AI$2="No activity",0,IF(AVERAGE($K$23:$K$27)*(1+$B$12)^AI$2&gt;1900*'Deterministic LCCA'!$E$32, 1900*'Deterministic LCCA'!$E$32,AVERAGE($K$23:$K$27)*(1+$B$12)^AI$2))</f>
        <v/>
      </c>
      <c r="AH27" s="220">
        <f>IF($E27="WZ",IF(AF27&gt;$B$10,1,0),IF(AF27&gt;'Deterministic LCCA'!$E$45*'Deterministic LCCA'!$C$32,1,0))</f>
        <v/>
      </c>
      <c r="AI27" s="221">
        <f>IF($E27="WZ",IF(AG27&gt;$B$10,1,0),IF(AG27&gt;'Deterministic LCCA'!$E$45*'Deterministic LCCA'!$E$32,1,0))</f>
        <v/>
      </c>
    </row>
    <row r="28" spans="1:35">
      <c r="A28" s="229" t="s">
        <v>211</v>
      </c>
      <c r="B28" s="204">
        <f>'Deterministic LCCA'!C38</f>
        <v/>
      </c>
      <c r="C28" s="204">
        <f>'Deterministic LCCA'!E38</f>
        <v/>
      </c>
      <c r="D28" s="299" t="n"/>
      <c r="E28" s="222" t="n"/>
      <c r="F28" s="223" t="n"/>
      <c r="G28" s="235" t="n"/>
      <c r="H28" s="225" t="n"/>
      <c r="I28" s="235" t="n"/>
      <c r="J28" s="223" t="n"/>
      <c r="K28" s="223" t="s">
        <v>212</v>
      </c>
      <c r="L28" s="226">
        <f>1/2*(L14-$B$10)*SUM(N14:N22)*(SUM(N14:N22)+(L14-$B$10)*SUM(N14:N22)/('Deterministic LCCA'!$E$45*'Deterministic LCCA'!$C$32-L19))+1/2*(L23-$B$10)*SUM(N23:N27)*(SUM(N23:N27)+(L23-$B$10)*SUM(N23:N27)/($B$10-L4))</f>
        <v/>
      </c>
      <c r="M28" s="226">
        <f>1/2*(M14-$B$10)*SUM(O14:O22)*(SUM(O14:O22)+(M14-$B$10)*SUM(O14:O22)/('Deterministic LCCA'!$E$45*'Deterministic LCCA'!$E$32-M19))+1/2*(M23-$B$10)*SUM(O23:O27)*(SUM(O23:O27)+(M23-$B$10)*SUM(O23:O27)/($B$10-M4))</f>
        <v/>
      </c>
      <c r="N28" s="227" t="n"/>
      <c r="O28" s="227" t="n"/>
      <c r="P28" s="226">
        <f>1/2*(P14-$B$10)*SUM(R14:R22)*(SUM(R14:R22)+(P14-$B$10)*SUM(R14:R22)/('Deterministic LCCA'!$E$45*'Deterministic LCCA'!$C$32-P19))+1/2*(P23-$B$10)*SUM(R23:R27)*(SUM(R23:R27)+(P23-$B$10)*SUM(R23:R27)/($B$10-P4))</f>
        <v/>
      </c>
      <c r="Q28" s="226">
        <f>1/2*(Q14-$B$10)*SUM(S14:S22)*(SUM(S14:S22)+(Q14-$B$10)*SUM(S14:S22)/('Deterministic LCCA'!$E$45*'Deterministic LCCA'!$E$32-Q19))+1/2*(Q23-$B$10)*SUM(S23:S27)*(SUM(S23:S27)+(Q23-$B$10)*SUM(S23:S27)/($B$10-Q4))</f>
        <v/>
      </c>
      <c r="R28" s="185" t="n"/>
      <c r="S28" s="185" t="n"/>
      <c r="T28" s="226">
        <f>1/2*(T14-$B$10)*SUM(V14:V22)*(SUM(V14:V22)+(T14-$B$10)*SUM(V14:V22)/('Deterministic LCCA'!$E$45*'Deterministic LCCA'!$C$32-T19))+1/2*(T23-$B$10)*SUM(V23:V27)*(SUM(V23:V27)+(T23-$B$10)*SUM(V23:V27)/($B$10-T4))</f>
        <v/>
      </c>
      <c r="U28" s="226">
        <f>1/2*(U14-$B$10)*SUM(W14:W22)*(SUM(W14:W22)+(U14-$B$10)*SUM(W14:W22)/('Deterministic LCCA'!$E$45*'Deterministic LCCA'!$E$32-U19))+1/2*(U23-$B$10)*SUM(W23:W27)*(SUM(W23:W27)+(U23-$B$10)*SUM(W23:W27)/($B$10-U4))</f>
        <v/>
      </c>
      <c r="V28" s="185" t="n"/>
      <c r="W28" s="185" t="n"/>
      <c r="X28" s="226">
        <f>1/2*(X14-$B$10)*SUM(Z14:Z22)*(SUM(Z14:Z22)+(X14-$B$10)*SUM(Z14:Z22)/('Deterministic LCCA'!$E$45*'Deterministic LCCA'!$C$32-X19))+1/2*(X23-$B$10)*SUM(Z23:Z27)*(SUM(Z23:Z27)+(X23-$B$10)*SUM(Z23:Z27)/($B$10-X4))</f>
        <v/>
      </c>
      <c r="Y28" s="226">
        <f>1/2*(Y14-$B$10)*SUM(AA14:AA22)*(SUM(AA14:AA22)+(Y14-$B$10)*SUM(AA14:AA22)/('Deterministic LCCA'!$E$45*'Deterministic LCCA'!$E$32-Y19))+1/2*(Y23-$B$10)*SUM(AA23:AA27)*(SUM(AA23:AA27)+(Y23-$B$10)*SUM(AA23:AA27)/($B$10-Y4))</f>
        <v/>
      </c>
      <c r="Z28" s="185" t="n"/>
      <c r="AA28" s="185" t="n"/>
      <c r="AB28" s="226">
        <f>1/2*(AB14-$B$10)*SUM(AD14:AD22)*(SUM(AD14:AD22)+(AB14-$B$10)*SUM(AD14:AD22)/('Deterministic LCCA'!$E$45*'Deterministic LCCA'!$C$32-AB19))+1/2*(AB23-$B$10)*SUM(AD23:AD27)*(SUM(AD23:AD27)+(AB23-$B$10)*SUM(AD23:AD27)/($B$10-AB4))</f>
        <v/>
      </c>
      <c r="AC28" s="226">
        <f>1/2*(AC14-$B$10)*SUM(AE14:AE22)*(SUM(AE14:AE22)+(AC14-$B$10)*SUM(AE14:AE22)/('Deterministic LCCA'!$E$45*'Deterministic LCCA'!$E$32-AC19))+1/2*(AC23-$B$10)*SUM(AE23:AE27)*(SUM(AE23:AE27)+(AC23-$B$10)*SUM(AE23:AE27)/($B$10-AC4))</f>
        <v/>
      </c>
      <c r="AD28" s="185" t="n"/>
      <c r="AE28" s="185" t="n"/>
      <c r="AF28" s="226">
        <f>1/2*(AF14-$B$10)*SUM(AH14:AH22)*(SUM(AH14:AH22)+(AF14-$B$10)*SUM(AH14:AH22)/('Deterministic LCCA'!$E$45*'Deterministic LCCA'!$C$32-AF19))+1/2*(AF23-$B$10)*SUM(AH23:AH27)*(SUM(AH23:AH27)+(AF23-$B$10)*SUM(AH23:AH27)/($B$10-AF4))</f>
        <v/>
      </c>
      <c r="AG28" s="226">
        <f>1/2*(AG14-$B$10)*SUM(AI14:AI22)*(SUM(AI14:AI22)+(AG14-$B$10)*SUM(AI14:AI22)/('Deterministic LCCA'!$E$45*'Deterministic LCCA'!$E$32-AG19))+1/2*(AG23-$B$10)*SUM(AI23:AI27)*(SUM(AI23:AI27)+(AG23-$B$10)*SUM(AI23:AI27)/($B$10-AG4))</f>
        <v/>
      </c>
      <c r="AH28" s="185" t="n"/>
      <c r="AI28" s="186" t="n"/>
    </row>
    <row r="29" spans="1:35">
      <c r="A29" s="229" t="s">
        <v>213</v>
      </c>
      <c r="B29" s="204">
        <f>'Deterministic LCCA'!C39</f>
        <v/>
      </c>
      <c r="C29" s="204">
        <f>'Deterministic LCCA'!E39</f>
        <v/>
      </c>
      <c r="D29" s="299" t="n"/>
      <c r="E29" s="228" t="n"/>
      <c r="F29" s="229" t="n"/>
      <c r="G29" s="196" t="n"/>
      <c r="H29" s="196" t="n"/>
      <c r="I29" s="196" t="n"/>
      <c r="J29" s="229" t="n"/>
      <c r="K29" s="229" t="s">
        <v>214</v>
      </c>
      <c r="L29" s="420">
        <f>(L28*(1-$B$14)*$B$8+L28*$B$14*$C$8)*$B$29/2</f>
        <v/>
      </c>
      <c r="M29" s="420">
        <f>(M28*(1-$B$14)*$B$8+M28*$B$14*$C$8)*$B$29/2</f>
        <v/>
      </c>
      <c r="N29" s="229" t="n"/>
      <c r="O29" s="229" t="n"/>
      <c r="P29" s="420">
        <f>(P28*(1-$B$14)*$B$8+P28*$B$14*$C$8)*$B$29/2</f>
        <v/>
      </c>
      <c r="Q29" s="420">
        <f>(Q28*(1-$B$14)*$B$8+Q28*$B$14*$C$8)*$B$29/2</f>
        <v/>
      </c>
      <c r="R29" s="197" t="n"/>
      <c r="S29" s="197" t="n"/>
      <c r="T29" s="420">
        <f>(T28*(1-$B$14)*$B$8+T28*$B$14*$C$8)*$B$29/2</f>
        <v/>
      </c>
      <c r="U29" s="420">
        <f>(U28*(1-$B$14)*$B$8+U28*$B$14*$C$8)*$B$29/2</f>
        <v/>
      </c>
      <c r="V29" s="197" t="n"/>
      <c r="W29" s="197" t="n"/>
      <c r="X29" s="420">
        <f>(X28*(1-$B$14)*$B$8+X28*$B$14*$C$8)*$C$29/2</f>
        <v/>
      </c>
      <c r="Y29" s="420">
        <f>(Y28*(1-$B$14)*$B$8+Y28*$B$14*$C$8)*$C$29/2</f>
        <v/>
      </c>
      <c r="Z29" s="197" t="n"/>
      <c r="AA29" s="197" t="n"/>
      <c r="AB29" s="420">
        <f>(AB28*(1-$B$14)*$B$8+AB28*$B$14*$C$8)*$C$29/2</f>
        <v/>
      </c>
      <c r="AC29" s="420">
        <f>(AC28*(1-$B$14)*$B$8+AC28*$B$14*$C$8)*$C$29/2</f>
        <v/>
      </c>
      <c r="AD29" s="197" t="n"/>
      <c r="AE29" s="197" t="n"/>
      <c r="AF29" s="420">
        <f>(AF28*(1-$B$14)*$B$8+AF28*$B$14*$C$8)*$C$29/2</f>
        <v/>
      </c>
      <c r="AG29" s="420">
        <f>(AG28*(1-$B$14)*$B$8+AG28*$B$14*$C$8)*$C$29/2</f>
        <v/>
      </c>
      <c r="AH29" s="197" t="n"/>
      <c r="AI29" s="198" t="n"/>
    </row>
    <row r="30" spans="1:35">
      <c r="E30" s="228" t="n"/>
      <c r="F30" s="229" t="n"/>
      <c r="G30" s="196" t="n"/>
      <c r="H30" s="196" t="n"/>
      <c r="I30" s="196" t="n"/>
      <c r="J30" s="231" t="n"/>
      <c r="K30" s="231" t="s">
        <v>215</v>
      </c>
      <c r="L30" s="420">
        <f>L29/(1+$B$15)^O$2</f>
        <v/>
      </c>
      <c r="M30" s="420">
        <f>M29/(1+$B$15)^O$2</f>
        <v/>
      </c>
      <c r="N30" s="232" t="n"/>
      <c r="O30" s="229" t="n"/>
      <c r="P30" s="420">
        <f>P29/(1+$B$15)^S$2</f>
        <v/>
      </c>
      <c r="Q30" s="420">
        <f>Q29/(1+$B$15)^S$2</f>
        <v/>
      </c>
      <c r="R30" s="197" t="n"/>
      <c r="S30" s="197" t="n"/>
      <c r="T30" s="420">
        <f>IFERROR(T29/(1+$B$15)^W$2,0)</f>
        <v/>
      </c>
      <c r="U30" s="420">
        <f>IFERROR(U29/(1+$B$15)^W$2,0)</f>
        <v/>
      </c>
      <c r="V30" s="197" t="n"/>
      <c r="W30" s="197" t="n"/>
      <c r="X30" s="420">
        <f>X29/(1+$B$15)^AA$2</f>
        <v/>
      </c>
      <c r="Y30" s="420">
        <f>Y29/(1+$B$15)^AA$2</f>
        <v/>
      </c>
      <c r="Z30" s="197" t="n"/>
      <c r="AA30" s="197" t="n"/>
      <c r="AB30" s="420">
        <f>IFERROR(AB29/(1+$B$15)^AE$2,0)</f>
        <v/>
      </c>
      <c r="AC30" s="420">
        <f>IFERROR(AC29/(1+$B$15)^AE$2,0)</f>
        <v/>
      </c>
      <c r="AD30" s="197" t="n"/>
      <c r="AE30" s="197" t="n"/>
      <c r="AF30" s="420">
        <f>IFERROR(AF29/(1+$B$15)^AI$2,0)</f>
        <v/>
      </c>
      <c r="AG30" s="420">
        <f>IFERROR(AG29/(1+$B$15)^AI$2,0)</f>
        <v/>
      </c>
      <c r="AH30" s="197" t="n"/>
      <c r="AI30" s="198" t="n"/>
    </row>
    <row r="31" spans="1:35">
      <c r="A31" t="s">
        <v>216</v>
      </c>
      <c r="E31" s="228" t="n"/>
      <c r="F31" s="229" t="n"/>
      <c r="G31" s="196" t="n"/>
      <c r="H31" s="196" t="n"/>
      <c r="I31" s="196" t="n"/>
      <c r="J31" s="229" t="n"/>
      <c r="K31" s="204" t="s">
        <v>217</v>
      </c>
      <c r="L31" s="233">
        <f>SUM(N14:N18)*L14+(L14-$B$10)*5/('Deterministic LCCA'!$C$32*'Deterministic LCCA'!$E$45-L19)*L19+SUM(N23:N27)*L23+(L23-$B$10)*5/($B$10-L4)*L4</f>
        <v/>
      </c>
      <c r="M31" s="233">
        <f>SUM(O14:O18)*M14+(M14-$B$10)*5/('Deterministic LCCA'!$E$32*'Deterministic LCCA'!$E$45-M19)*M19+SUM(O23:O27)*M23+(M23-$B$10)*5/($B$10-M4)*M4</f>
        <v/>
      </c>
      <c r="N31" s="229" t="n"/>
      <c r="O31" s="229" t="n"/>
      <c r="P31" s="233">
        <f>SUM(R14:R18)*P14+(P14-$B$10)*5/('Deterministic LCCA'!$C$32*'Deterministic LCCA'!$E$45-P19)*P19+SUM(R23:R27)*P23+(P23-$B$10)*5/($B$10-P4)*P4</f>
        <v/>
      </c>
      <c r="Q31" s="233">
        <f>SUM(S14:S18)*Q14+(Q14-$B$10)*5/('Deterministic LCCA'!$E$32*'Deterministic LCCA'!$E$45-Q19)*Q19+SUM(S23:S27)*Q23+(Q23-$B$10)*5/($B$10-Q4)*Q4</f>
        <v/>
      </c>
      <c r="R31" s="197" t="n"/>
      <c r="S31" s="197" t="n"/>
      <c r="T31" s="233">
        <f>SUM(V14:V18)*T14+(T14-$B$10)*5/('Deterministic LCCA'!$C$32*'Deterministic LCCA'!$E$45-T19)*T19+SUM(V23:V27)*T23+(T23-$B$10)*5/($B$10-T4)*T4</f>
        <v/>
      </c>
      <c r="U31" s="233">
        <f>SUM(W14:W18)*U14+(U14-$B$10)*5/('Deterministic LCCA'!$E$32*'Deterministic LCCA'!$E$45-U19)*U19+SUM(W23:W27)*U23+(U23-$B$10)*5/($B$10-U4)*U4</f>
        <v/>
      </c>
      <c r="V31" s="197" t="n"/>
      <c r="W31" s="197" t="n"/>
      <c r="X31" s="233">
        <f>SUM(Z14:Z18)*X14+(X14-$B$10)*5/('Deterministic LCCA'!$C$32*'Deterministic LCCA'!$E$45-X19)*X19+SUM(Z23:Z27)*X23+(X23-$B$10)*5/($B$10-X4)*X4</f>
        <v/>
      </c>
      <c r="Y31" s="233">
        <f>SUM(AA14:AA18)*Y14+(Y14-$B$10)*5/('Deterministic LCCA'!$E$32*'Deterministic LCCA'!$E$45-Y19)*Y19+SUM(AA23:AA27)*Y23+(Y23-$B$10)*5/($B$10-Y4)*Y4</f>
        <v/>
      </c>
      <c r="Z31" s="197" t="n"/>
      <c r="AA31" s="197" t="n"/>
      <c r="AB31" s="233">
        <f>SUM(AD14:AD18)*AB14+(AB14-$B$10)*5/('Deterministic LCCA'!$C$32*'Deterministic LCCA'!$E$45-AB19)*AB19+SUM(AD23:AD27)*AB23+(AB23-$B$10)*5/($B$10-AB4)*AB4</f>
        <v/>
      </c>
      <c r="AC31" s="233">
        <f>SUM(AE14:AE18)*AC14+(AC14-$B$10)*5/('Deterministic LCCA'!$E$32*'Deterministic LCCA'!$E$45-AC19)*AC19+SUM(AE23:AE27)*AC23+(AC23-$B$10)*5/($B$10-AC4)*AC4</f>
        <v/>
      </c>
      <c r="AD31" s="197" t="n"/>
      <c r="AE31" s="197" t="n"/>
      <c r="AF31" s="233">
        <f>SUM(AH14:AH18)*AF14+(AF14-$B$10)*5/('Deterministic LCCA'!$C$32*'Deterministic LCCA'!$E$45-AF19)*AF19+SUM(AH23:AH27)*AF23+(AF23-$B$10)*5/($B$10-AF4)*AF4</f>
        <v/>
      </c>
      <c r="AG31" s="233">
        <f>SUM(AI14:AI18)*AG14+(AG14-$B$10)*5/('Deterministic LCCA'!$E$32*'Deterministic LCCA'!$E$45-AG19)*AG19+SUM(AI23:AI27)*AG23+(AG23-$B$10)*5/($B$10-AG4)*AG4</f>
        <v/>
      </c>
      <c r="AH31" s="197" t="n"/>
      <c r="AI31" s="198" t="n"/>
    </row>
    <row r="32" spans="1:35">
      <c r="A32" t="s">
        <v>218</v>
      </c>
      <c r="E32" s="228" t="n"/>
      <c r="F32" s="229" t="n"/>
      <c r="G32" s="196" t="n"/>
      <c r="H32" s="196" t="n"/>
      <c r="I32" s="196" t="n"/>
      <c r="J32" s="231" t="n"/>
      <c r="K32" s="204" t="s">
        <v>219</v>
      </c>
      <c r="L32" s="420">
        <f>(L31*(1-$B$14)*109.02/1000+L31*$B$14*195.84/1000)*$B$29/2</f>
        <v/>
      </c>
      <c r="M32" s="420">
        <f>(M31*(1-$B$14)*109.02/1000+M31*$B$14*195.84/1000)*$B$29/2</f>
        <v/>
      </c>
      <c r="N32" s="229" t="n"/>
      <c r="O32" s="229" t="n"/>
      <c r="P32" s="420">
        <f>(P31*(1-$B$14)*109.02/1000+P31*$B$14*195.84/1000)*$B$29/2</f>
        <v/>
      </c>
      <c r="Q32" s="420">
        <f>(Q31*(1-$B$14)*109.02/1000+Q31*$B$14*195.84/1000)*$B$29/2</f>
        <v/>
      </c>
      <c r="R32" s="197" t="n"/>
      <c r="S32" s="197" t="n"/>
      <c r="T32" s="420">
        <f>(T31*(1-$B$14)*109.02/1000+T31*$B$14*195.84/1000)*$B$29/2</f>
        <v/>
      </c>
      <c r="U32" s="420">
        <f>(U31*(1-$B$14)*109.02/1000+U31*$B$14*195.84/1000)*$B$29/2</f>
        <v/>
      </c>
      <c r="V32" s="197" t="n"/>
      <c r="W32" s="197" t="n"/>
      <c r="X32" s="420">
        <f>(X31*(1-$B$14)*109.02/1000+X31*$B$14*195.84/1000)*$C$29/2</f>
        <v/>
      </c>
      <c r="Y32" s="420">
        <f>(Y31*(1-$B$14)*109.02/1000+Y31*$B$14*195.84/1000)*$C$29/2</f>
        <v/>
      </c>
      <c r="Z32" s="197" t="n"/>
      <c r="AA32" s="197" t="n"/>
      <c r="AB32" s="420">
        <f>(AB31*(1-$B$14)*109.02/1000+AB31*$B$14*195.84/1000)*$C$29/2</f>
        <v/>
      </c>
      <c r="AC32" s="420">
        <f>(AC31*(1-$B$14)*109.02/1000+AC31*$B$14*195.84/1000)*$C$29/2</f>
        <v/>
      </c>
      <c r="AD32" s="197" t="n"/>
      <c r="AE32" s="197" t="n"/>
      <c r="AF32" s="420">
        <f>(AF31*(1-$B$14)*109.02/1000+AF31*$B$14*195.84/1000)*$C$29/2</f>
        <v/>
      </c>
      <c r="AG32" s="420">
        <f>(AG31*(1-$B$14)*109.02/1000+AG31*$B$14*195.84/1000)*$C$29/2</f>
        <v/>
      </c>
      <c r="AH32" s="197" t="n"/>
      <c r="AI32" s="198" t="n"/>
    </row>
    <row r="33" spans="1:35">
      <c r="E33" s="228" t="n"/>
      <c r="F33" s="229" t="n"/>
      <c r="G33" s="196" t="n"/>
      <c r="H33" s="196" t="n"/>
      <c r="I33" s="196" t="n"/>
      <c r="J33" s="229" t="n"/>
      <c r="K33" s="229" t="s">
        <v>220</v>
      </c>
      <c r="L33" s="420">
        <f>(L28*(1-$B$14)*0.6927+L28*$B$14*0.7681)*$B$29/2</f>
        <v/>
      </c>
      <c r="M33" s="420">
        <f>(M28*(1-$B$14)*0.6927+M28*$B$14*0.7681)*$B$29/2</f>
        <v/>
      </c>
      <c r="N33" s="229" t="n"/>
      <c r="O33" s="229" t="n"/>
      <c r="P33" s="420">
        <f>(P28*(1-$B$14)*0.6927+P28*$B$14*0.7681)*$B$29/2</f>
        <v/>
      </c>
      <c r="Q33" s="420">
        <f>(Q28*(1-$B$14)*0.6927+Q28*$B$14*0.7681)*$B$29/2</f>
        <v/>
      </c>
      <c r="R33" s="197" t="n"/>
      <c r="S33" s="197" t="n"/>
      <c r="T33" s="420">
        <f>(T28*(1-$B$14)*0.6927+T28*$B$14*0.7681)*$B$29/2</f>
        <v/>
      </c>
      <c r="U33" s="420">
        <f>(U28*(1-$B$14)*0.6927+U28*$B$14*0.7681)*$B$29/2</f>
        <v/>
      </c>
      <c r="V33" s="197" t="n"/>
      <c r="W33" s="197" t="n"/>
      <c r="X33" s="420">
        <f>(X28*(1-$B$14)*0.6927+X28*$B$14*0.7681)*$C$29/2</f>
        <v/>
      </c>
      <c r="Y33" s="420">
        <f>(Y28*(1-$B$14)*0.6927+Y28*$B$14*0.7681)*$C$29/2</f>
        <v/>
      </c>
      <c r="Z33" s="197" t="n"/>
      <c r="AA33" s="197" t="n"/>
      <c r="AB33" s="420">
        <f>(AB28*(1-$B$14)*0.6927+AB28*$B$14*0.7681)*$C$29/2</f>
        <v/>
      </c>
      <c r="AC33" s="420">
        <f>(AC28*(1-$B$14)*0.6927+AC28*$B$14*0.7681)*$C$29/2</f>
        <v/>
      </c>
      <c r="AD33" s="197" t="n"/>
      <c r="AE33" s="197" t="n"/>
      <c r="AF33" s="420">
        <f>(AF28*(1-$B$14)*0.6927+AF28*$B$14*0.7681)*$C$29/2</f>
        <v/>
      </c>
      <c r="AG33" s="420">
        <f>(AG28*(1-$B$14)*0.6927+AG28*$B$14*0.7681)*$C$29/2</f>
        <v/>
      </c>
      <c r="AH33" s="197" t="n"/>
      <c r="AI33" s="198" t="n"/>
    </row>
    <row r="34" spans="1:35">
      <c r="A34" s="234" t="n"/>
      <c r="B34" s="235" t="s">
        <v>221</v>
      </c>
      <c r="C34" s="236" t="s">
        <v>222</v>
      </c>
      <c r="D34" s="85" t="n"/>
      <c r="E34" s="228" t="n"/>
      <c r="F34" s="229" t="n"/>
      <c r="G34" s="196" t="n"/>
      <c r="H34" s="196" t="n"/>
      <c r="I34" s="196" t="n"/>
      <c r="J34" s="229" t="n"/>
      <c r="K34" s="229" t="s">
        <v>223</v>
      </c>
      <c r="L34" s="420">
        <f>(L32+L33)/(1+$B$15)^O$2</f>
        <v/>
      </c>
      <c r="M34" s="420">
        <f>(M32+M33)/(1+$B$15)^O$2</f>
        <v/>
      </c>
      <c r="N34" s="229" t="n"/>
      <c r="O34" s="229" t="n"/>
      <c r="P34" s="420">
        <f>(P32+P33)/(1+$B$15)^S$2</f>
        <v/>
      </c>
      <c r="Q34" s="420">
        <f>(Q32+Q33)/(1+$B$15)^S$2</f>
        <v/>
      </c>
      <c r="R34" s="420" t="n"/>
      <c r="S34" s="420" t="n"/>
      <c r="T34" s="420">
        <f>IFERROR((T32+T33)/(1+$B$15)^W$2,0)</f>
        <v/>
      </c>
      <c r="U34" s="420">
        <f>IFERROR((U32+U33)/(1+$B$15)^W$2,0)</f>
        <v/>
      </c>
      <c r="V34" s="420" t="n"/>
      <c r="W34" s="420" t="n"/>
      <c r="X34" s="420">
        <f>(X32+X33)/(1+$B$15)^AA$2</f>
        <v/>
      </c>
      <c r="Y34" s="420">
        <f>(Y32+Y33)/(1+$B$15)^AA$2</f>
        <v/>
      </c>
      <c r="Z34" s="420" t="n"/>
      <c r="AA34" s="420" t="n"/>
      <c r="AB34" s="420">
        <f>IFERROR((AB32+AB33)/(1+$B$15)^AE$2,0)</f>
        <v/>
      </c>
      <c r="AC34" s="420">
        <f>IFERROR((AC32+AC33)/(1+$B$15)^AE$2,0)</f>
        <v/>
      </c>
      <c r="AD34" s="420" t="n"/>
      <c r="AE34" s="420" t="n"/>
      <c r="AF34" s="420">
        <f>IFERROR((AF32+AF33)/(1+$B$15)^AI$2,0)</f>
        <v/>
      </c>
      <c r="AG34" s="420">
        <f>IFERROR((AG32+AG33)/(1+$B$15)^AI$2,0)</f>
        <v/>
      </c>
      <c r="AH34" s="420" t="n"/>
      <c r="AI34" s="240" t="n"/>
    </row>
    <row r="35" spans="1:35">
      <c r="A35" s="238" t="s">
        <v>224</v>
      </c>
      <c r="B35" s="420">
        <f>SUM(L30,M30,P30,Q30,T30,U30)</f>
        <v/>
      </c>
      <c r="C35" s="240">
        <f>SUM(X30:Y30,AB30:AC30,AF30:AG30)</f>
        <v/>
      </c>
      <c r="D35" s="143" t="n"/>
      <c r="E35" s="228" t="n"/>
      <c r="F35" s="229" t="n"/>
      <c r="G35" s="196" t="n"/>
      <c r="H35" s="196" t="n"/>
      <c r="I35" s="196" t="n"/>
      <c r="J35" s="229" t="n"/>
      <c r="K35" s="229" t="s">
        <v>225</v>
      </c>
      <c r="L35" s="420">
        <f>IF(O2="No activity", 0, $B$5*$B$13*(1+$B$12)^O$2*$B$29*($B$16-$B$17)*$B$18/1000000)</f>
        <v/>
      </c>
      <c r="M35" s="420" t="n"/>
      <c r="N35" s="229" t="n"/>
      <c r="O35" s="229" t="n"/>
      <c r="P35" s="420">
        <f>IF(S2="No activity", 0, $B$5*$B$13*(1+$B$12)^S$2*$B$29*($B$16-$B$17)*$B$18/1000000)</f>
        <v/>
      </c>
      <c r="Q35" s="420" t="n"/>
      <c r="R35" s="420" t="n"/>
      <c r="S35" s="420" t="n"/>
      <c r="T35" s="420">
        <f>IF(W2="No activity", 0, $B$5*$B$13*(1+$B$12)^W$2*$B$29*($B$16-$B$17)*$B$18/1000000)</f>
        <v/>
      </c>
      <c r="U35" s="420" t="n"/>
      <c r="V35" s="420" t="n"/>
      <c r="W35" s="420" t="n"/>
      <c r="X35" s="420">
        <f>IF(AA2="No activity", 0, $B$5*$B$13*(1+$B$12)^AA$2*$C$29*($B$16-$B$17)*$B$18/1000000)</f>
        <v/>
      </c>
      <c r="Y35" s="420" t="n"/>
      <c r="Z35" s="420" t="n"/>
      <c r="AA35" s="420" t="n"/>
      <c r="AB35" s="420">
        <f>IF(AE2="No activity", 0, $B$5*$B$13*(1+$B$12)^AE$2*$C$29*($B$16-$B$17)*$B$18/1000000)</f>
        <v/>
      </c>
      <c r="AC35" s="420" t="n"/>
      <c r="AD35" s="420" t="n"/>
      <c r="AE35" s="420" t="n"/>
      <c r="AF35" s="420">
        <f>IF(AI2="No activity", 0, $B$5*$B$13*(1+$B$12)^AI$2*$C$29*($B$16-$B$17)*$B$18/1000000)</f>
        <v/>
      </c>
      <c r="AG35" s="420" t="n"/>
      <c r="AH35" s="420" t="n"/>
      <c r="AI35" s="240" t="n"/>
    </row>
    <row r="36" spans="1:35">
      <c r="A36" s="238" t="s">
        <v>226</v>
      </c>
      <c r="B36" s="420">
        <f>SUM(L34:M34,P34:Q34,T34:U34)</f>
        <v/>
      </c>
      <c r="C36" s="240">
        <f>SUM(X34:Y34,AB34:AC34,AF34:AG34)</f>
        <v/>
      </c>
      <c r="D36" s="143" t="n"/>
      <c r="E36" s="228" t="n"/>
      <c r="F36" s="229" t="n"/>
      <c r="G36" s="196" t="n"/>
      <c r="H36" s="196" t="n"/>
      <c r="I36" s="196" t="n"/>
      <c r="J36" s="196" t="n"/>
      <c r="K36" s="229" t="s">
        <v>227</v>
      </c>
      <c r="L36" s="420">
        <f>IF(O2="No activity", 0, L35/(1+$B$15)^O$2)</f>
        <v/>
      </c>
      <c r="M36" s="420" t="n"/>
      <c r="N36" s="229" t="n"/>
      <c r="O36" s="229" t="n"/>
      <c r="P36" s="420">
        <f>IF(S2="No activity", 0, P35/(1+$B$15)^S$2)</f>
        <v/>
      </c>
      <c r="Q36" s="420" t="n"/>
      <c r="R36" s="420" t="n"/>
      <c r="S36" s="420" t="n"/>
      <c r="T36" s="420">
        <f>IF(W2="No activity", 0, T35/(1+$B$15)^W$2)</f>
        <v/>
      </c>
      <c r="U36" s="420" t="n"/>
      <c r="V36" s="420" t="n"/>
      <c r="W36" s="420" t="n"/>
      <c r="X36" s="420">
        <f>IF(AA2="No activity", 0, X35/(1+$B$15)^AA$2)</f>
        <v/>
      </c>
      <c r="Y36" s="420" t="n"/>
      <c r="Z36" s="420" t="n"/>
      <c r="AA36" s="420" t="n"/>
      <c r="AB36" s="420">
        <f>IF(AE2="No activity", 0, AB35/(1+$B$15)^AE$2)</f>
        <v/>
      </c>
      <c r="AC36" s="420" t="n"/>
      <c r="AD36" s="420" t="n"/>
      <c r="AE36" s="420" t="n"/>
      <c r="AF36" s="420">
        <f>IF(AI2="No activity", 0, AF35/(1+$B$15)^AI$2)</f>
        <v/>
      </c>
      <c r="AG36" s="420" t="n"/>
      <c r="AH36" s="420" t="n"/>
      <c r="AI36" s="240" t="n"/>
    </row>
    <row r="37" spans="1:35">
      <c r="A37" s="238" t="s">
        <v>228</v>
      </c>
      <c r="B37" s="420">
        <f>SUM(L36,P36,T36)</f>
        <v/>
      </c>
      <c r="C37" s="240">
        <f>SUM(X36,AB36,AF36)</f>
        <v/>
      </c>
      <c r="D37" s="143" t="n"/>
      <c r="E37" s="228" t="n"/>
      <c r="F37" s="229" t="n"/>
      <c r="G37" s="196" t="n"/>
      <c r="H37" s="196" t="n"/>
      <c r="I37" s="196" t="n"/>
      <c r="J37" s="196" t="n"/>
      <c r="K37" s="229" t="s">
        <v>229</v>
      </c>
      <c r="L37" s="420">
        <f>IF(O2="No activity", 0, $B$13*$B$5*(1+$B$12)^O$2*(0.01094+0.2155*(0.0723-0.00312*($B$11)+5.403*10^(-5)*($B$11)^2))*$B$29)</f>
        <v/>
      </c>
      <c r="M37" s="420" t="n"/>
      <c r="N37" s="229" t="n"/>
      <c r="O37" s="229" t="n"/>
      <c r="P37" s="420">
        <f>IF(S2="No activity", 0, $B$13*$B$5*(1+$B$12)^S$2*(0.01094+0.2155*(0.0723-0.00312*($B$11)+5.403*10^(-5)*($B$11)^2))*$B$29)</f>
        <v/>
      </c>
      <c r="Q37" s="420" t="n"/>
      <c r="R37" s="420" t="n"/>
      <c r="S37" s="420" t="n"/>
      <c r="T37" s="420">
        <f>IF(W2="No activity", 0, $B$13*$B$5*(1+$B$12)^W$2*(0.01094+0.2155*(0.0723-0.00312*($B$11)+5.403*10^(-5)*($B$11)^2))*$B$29)</f>
        <v/>
      </c>
      <c r="U37" s="420" t="n"/>
      <c r="V37" s="420" t="n"/>
      <c r="W37" s="420" t="n"/>
      <c r="X37" s="420">
        <f>IF(AA2="No activity", 0, $B$13*$B$5*(1+$B$12)^AA$2*(0.01094+0.2155*(0.0723-0.00312*($B$11)+5.403*10^(-5)*($B$11)^2))*$C$29)</f>
        <v/>
      </c>
      <c r="Y37" s="420" t="n"/>
      <c r="Z37" s="420" t="n"/>
      <c r="AA37" s="420" t="n"/>
      <c r="AB37" s="420">
        <f>IF(AE2="No activity", 0, $B$13*$B$5*(1+$B$12)^AE$2*(0.01094+0.2155*(0.0723-0.00312*($B$11)+5.403*10^(-5)*($B$11)^2))*$C$29)</f>
        <v/>
      </c>
      <c r="AC37" s="420" t="n"/>
      <c r="AD37" s="420" t="n"/>
      <c r="AE37" s="420" t="n"/>
      <c r="AF37" s="420">
        <f>IF(AI2="No activity", 0, $B$13*$B$5*(1+$B$12)^AI$2*(0.01094+0.2155*(0.0723-0.00312*($B$11)+5.403*10^(-5)*($B$11)^2))*$C$29)</f>
        <v/>
      </c>
      <c r="AG37" s="420" t="n"/>
      <c r="AH37" s="420" t="n"/>
      <c r="AI37" s="240" t="n"/>
    </row>
    <row r="38" spans="1:35">
      <c r="A38" s="241" t="s">
        <v>230</v>
      </c>
      <c r="B38" s="426">
        <f>SUM(L38,P38,T38)</f>
        <v/>
      </c>
      <c r="C38" s="247">
        <f>SUM(X38,AB38,AF38)</f>
        <v/>
      </c>
      <c r="D38" s="143" t="n"/>
      <c r="E38" s="244" t="n"/>
      <c r="F38" s="245" t="n"/>
      <c r="G38" s="214" t="n"/>
      <c r="H38" s="214" t="n"/>
      <c r="I38" s="214" t="n"/>
      <c r="J38" s="214" t="n"/>
      <c r="K38" s="245" t="s">
        <v>231</v>
      </c>
      <c r="L38" s="426">
        <f>IF(O2="No activity", 0, L37/(1+$B$15)^O$2)</f>
        <v/>
      </c>
      <c r="M38" s="426" t="n"/>
      <c r="N38" s="245" t="n"/>
      <c r="O38" s="245" t="n"/>
      <c r="P38" s="426">
        <f>IF(S2="No activity", 0, P37/(1+$B$15)^S$2)</f>
        <v/>
      </c>
      <c r="Q38" s="426" t="n"/>
      <c r="R38" s="426" t="n"/>
      <c r="S38" s="426" t="n"/>
      <c r="T38" s="426">
        <f>IF(W2="No activity", 0, T37/(1+$B$15)^W$2)</f>
        <v/>
      </c>
      <c r="U38" s="426" t="n"/>
      <c r="V38" s="426" t="n"/>
      <c r="W38" s="426" t="n"/>
      <c r="X38" s="426">
        <f>IF(AA2="No activity", 0, X37/(1+$B$15)^AA$2)</f>
        <v/>
      </c>
      <c r="Y38" s="426" t="n"/>
      <c r="Z38" s="426" t="n"/>
      <c r="AA38" s="426" t="n"/>
      <c r="AB38" s="426">
        <f>IF(AE2="No activity", 0, AB37/(1+$B$15)^AE$2)</f>
        <v/>
      </c>
      <c r="AC38" s="426" t="n"/>
      <c r="AD38" s="426" t="n"/>
      <c r="AE38" s="426" t="n"/>
      <c r="AF38" s="426">
        <f>IF(AI2="No activity", 0, AF37/(1+$B$15)^AI$2)</f>
        <v/>
      </c>
      <c r="AG38" s="426" t="n"/>
      <c r="AH38" s="426" t="n"/>
      <c r="AI38" s="247" t="n"/>
    </row>
  </sheetData>
  <mergeCells count="38">
    <mergeCell ref="AF38:AG38"/>
    <mergeCell ref="L38:M38"/>
    <mergeCell ref="P38:Q38"/>
    <mergeCell ref="T38:U38"/>
    <mergeCell ref="X38:Y38"/>
    <mergeCell ref="AB38:AC38"/>
    <mergeCell ref="AF36:AG36"/>
    <mergeCell ref="L37:M37"/>
    <mergeCell ref="P37:Q37"/>
    <mergeCell ref="T37:U37"/>
    <mergeCell ref="X37:Y37"/>
    <mergeCell ref="AB37:AC37"/>
    <mergeCell ref="AF37:AG37"/>
    <mergeCell ref="L36:M36"/>
    <mergeCell ref="P36:Q36"/>
    <mergeCell ref="T36:U36"/>
    <mergeCell ref="X36:Y36"/>
    <mergeCell ref="AB36:AC36"/>
    <mergeCell ref="AF2:AG2"/>
    <mergeCell ref="A3:C3"/>
    <mergeCell ref="A19:A20"/>
    <mergeCell ref="L35:M35"/>
    <mergeCell ref="P35:Q35"/>
    <mergeCell ref="T35:U35"/>
    <mergeCell ref="X35:Y35"/>
    <mergeCell ref="AB35:AC35"/>
    <mergeCell ref="AF35:AG35"/>
    <mergeCell ref="J2:K2"/>
    <mergeCell ref="L2:M2"/>
    <mergeCell ref="P2:Q2"/>
    <mergeCell ref="T2:U2"/>
    <mergeCell ref="X2:Y2"/>
    <mergeCell ref="E2:E3"/>
    <mergeCell ref="F2:F3"/>
    <mergeCell ref="G2:G3"/>
    <mergeCell ref="H2:H3"/>
    <mergeCell ref="I2:I3"/>
    <mergeCell ref="AB2:AC2"/>
  </mergeCells>
  <pageMargins bottom="0.75" footer="0.511805555555555" header="0.511805555555555" left="0.7" right="0.7" top="0.75"/>
  <pageSetup copies="0" firstPageNumber="0" fitToWidth="0" horizontalDpi="0" orientation="portrait" paperSize="0" scale="0" usePrinterDefaults="0" verticalDpi="0"/>
</worksheet>
</file>

<file path=xl/worksheets/sheet4.xml><?xml version="1.0" encoding="utf-8"?>
<worksheet xmlns="http://schemas.openxmlformats.org/spreadsheetml/2006/main">
  <sheetPr>
    <outlinePr summaryBelow="1" summaryRight="1"/>
    <pageSetUpPr/>
  </sheetPr>
  <dimension ref="A1:AQ54"/>
  <sheetViews>
    <sheetView workbookViewId="0" zoomScale="70" zoomScaleNormal="70">
      <selection activeCell="N15" sqref="N15"/>
    </sheetView>
  </sheetViews>
  <sheetFormatPr baseColWidth="10" defaultRowHeight="15"/>
  <cols>
    <col customWidth="1" max="1" min="1" style="386" width="8.5703125"/>
    <col customWidth="1" max="2" min="2" style="386" width="17.85546875"/>
    <col customWidth="1" max="4" min="3" style="386" width="12.42578125"/>
    <col customWidth="1" max="5" min="5" style="386" width="10.140625"/>
    <col customWidth="1" max="6" min="6" style="386" width="10.7109375"/>
    <col customWidth="1" max="7" min="7" style="386" width="10.42578125"/>
    <col customWidth="1" max="8" min="8" style="316" width="14.42578125"/>
    <col customWidth="1" max="9" min="9" style="316" width="22.7109375"/>
    <col customWidth="1" max="10" min="10" style="85" width="13.85546875"/>
    <col customWidth="1" max="11" min="11" style="85" width="16"/>
    <col customWidth="1" max="12" min="12" style="85" width="13"/>
    <col customWidth="1" max="13" min="13" style="85" width="19.42578125"/>
    <col customWidth="1" max="14" min="14" style="85" width="11.140625"/>
    <col customWidth="1" max="15" min="15" style="85" width="23.85546875"/>
    <col customWidth="1" max="16" min="16" style="85" width="11.7109375"/>
    <col customWidth="1" max="17" min="17" style="85" width="15.42578125"/>
    <col customWidth="1" max="18" min="18" style="85" width="13.42578125"/>
    <col customWidth="1" max="19" min="19" style="386" width="13.42578125"/>
    <col customWidth="1" max="22" min="20" style="386" width="8.5703125"/>
    <col customWidth="1" max="23" min="23" style="386" width="9.85546875"/>
    <col customWidth="1" max="24" min="24" style="386" width="11"/>
    <col customWidth="1" max="25" min="25" style="386" width="12.85546875"/>
    <col customWidth="1" max="26" min="26" style="386" width="14"/>
    <col customWidth="1" max="27" min="27" style="386" width="8.5703125"/>
    <col customWidth="1" max="28" min="28" style="386" width="11.28515625"/>
    <col customWidth="1" max="29" min="29" style="386" width="13.85546875"/>
    <col customWidth="1" max="30" min="30" style="386" width="10.140625"/>
    <col customWidth="1" max="31" min="31" style="386" width="8.5703125"/>
    <col customWidth="1" max="32" min="32" style="386" width="14.85546875"/>
    <col customWidth="1" max="35" min="33" style="386" width="8.5703125"/>
    <col customWidth="1" max="36" min="36" style="386" width="10.140625"/>
    <col customWidth="1" max="1025" min="37" style="386" width="8.5703125"/>
  </cols>
  <sheetData>
    <row r="1" spans="1:43">
      <c r="A1" t="s">
        <v>232</v>
      </c>
      <c r="C1" s="85" t="n">
        <v>30</v>
      </c>
      <c r="F1" s="316">
        <f>SUM(H15:H19)/5</f>
        <v/>
      </c>
      <c r="H1" s="290">
        <f>SUM(H5:H28)/24</f>
        <v/>
      </c>
      <c r="Z1" t="s">
        <v>233</v>
      </c>
      <c r="AB1" s="85" t="n">
        <v>60</v>
      </c>
    </row>
    <row customHeight="1" ht="18" r="2" s="386" spans="1:43">
      <c r="A2" s="427" t="s">
        <v>147</v>
      </c>
      <c r="B2" s="416" t="s">
        <v>234</v>
      </c>
      <c r="C2" s="428" t="s">
        <v>235</v>
      </c>
      <c r="D2" s="416" t="s">
        <v>236</v>
      </c>
      <c r="E2" s="416" t="s">
        <v>237</v>
      </c>
      <c r="F2" s="438" t="s">
        <v>152</v>
      </c>
      <c r="G2" s="438" t="n"/>
      <c r="H2" s="439" t="s">
        <v>74</v>
      </c>
      <c r="I2" s="439" t="n"/>
      <c r="J2" s="439" t="n"/>
      <c r="K2" s="439" t="n"/>
      <c r="L2" s="439" t="n"/>
      <c r="M2" s="439" t="n"/>
      <c r="N2" s="439" t="n"/>
      <c r="O2" s="439" t="n"/>
      <c r="P2" s="439" t="n"/>
      <c r="Q2" s="429" t="s">
        <v>75</v>
      </c>
      <c r="R2" s="429" t="n"/>
      <c r="S2" s="429" t="n"/>
      <c r="T2" s="429" t="n"/>
      <c r="U2" s="429" t="n"/>
      <c r="V2" s="429" t="n"/>
      <c r="W2" s="429" t="n"/>
      <c r="X2" s="429" t="n"/>
      <c r="Y2" s="429" t="n"/>
      <c r="Z2" s="439" t="s">
        <v>74</v>
      </c>
      <c r="AA2" s="439" t="n"/>
      <c r="AB2" s="439" t="n"/>
      <c r="AC2" s="439" t="n"/>
      <c r="AD2" s="439" t="n"/>
      <c r="AE2" s="439" t="n"/>
      <c r="AF2" s="439" t="n"/>
      <c r="AG2" s="439" t="n"/>
      <c r="AH2" s="439" t="n"/>
      <c r="AI2" s="429" t="s">
        <v>75</v>
      </c>
      <c r="AJ2" s="429" t="n"/>
      <c r="AK2" s="429" t="n"/>
      <c r="AL2" s="429" t="n"/>
      <c r="AM2" s="429" t="n"/>
      <c r="AN2" s="429" t="n"/>
      <c r="AO2" s="429" t="n"/>
      <c r="AP2" s="429" t="n"/>
      <c r="AQ2" s="429" t="n"/>
    </row>
    <row customHeight="1" ht="16.5" r="3" s="386" spans="1:43">
      <c r="A3" s="427" t="n"/>
      <c r="B3" s="416" t="n"/>
      <c r="C3" s="428" t="n"/>
      <c r="D3" s="416" t="n"/>
      <c r="E3" s="416" t="n"/>
      <c r="F3" s="416" t="n"/>
      <c r="G3" s="438" t="n"/>
      <c r="H3" s="430" t="s">
        <v>238</v>
      </c>
      <c r="I3" s="431" t="s">
        <v>239</v>
      </c>
      <c r="J3" s="432" t="s">
        <v>240</v>
      </c>
      <c r="K3" s="432" t="s">
        <v>241</v>
      </c>
      <c r="L3" s="433" t="s">
        <v>242</v>
      </c>
      <c r="M3" s="433" t="n"/>
      <c r="N3" s="433" t="n"/>
      <c r="O3" s="433" t="n"/>
      <c r="P3" s="434" t="s">
        <v>243</v>
      </c>
      <c r="Q3" s="435" t="s">
        <v>238</v>
      </c>
      <c r="R3" s="436" t="s">
        <v>239</v>
      </c>
      <c r="S3" s="437" t="s">
        <v>240</v>
      </c>
      <c r="T3" s="437" t="s">
        <v>241</v>
      </c>
      <c r="U3" s="433" t="s">
        <v>242</v>
      </c>
      <c r="V3" s="433" t="n"/>
      <c r="W3" s="433" t="n"/>
      <c r="X3" s="433" t="n"/>
      <c r="Y3" s="436" t="s">
        <v>244</v>
      </c>
      <c r="Z3" s="430" t="s">
        <v>238</v>
      </c>
      <c r="AA3" s="431" t="s">
        <v>239</v>
      </c>
      <c r="AB3" s="432" t="s">
        <v>240</v>
      </c>
      <c r="AC3" s="432" t="s">
        <v>241</v>
      </c>
      <c r="AD3" s="433" t="s">
        <v>242</v>
      </c>
      <c r="AE3" s="433" t="n"/>
      <c r="AF3" s="433" t="n"/>
      <c r="AG3" s="433" t="n"/>
      <c r="AH3" s="434" t="s">
        <v>243</v>
      </c>
      <c r="AI3" s="435" t="s">
        <v>238</v>
      </c>
      <c r="AJ3" s="436" t="s">
        <v>239</v>
      </c>
      <c r="AK3" s="437" t="s">
        <v>240</v>
      </c>
      <c r="AL3" s="437" t="s">
        <v>241</v>
      </c>
      <c r="AM3" s="433" t="s">
        <v>242</v>
      </c>
      <c r="AN3" s="433" t="n"/>
      <c r="AO3" s="433" t="n"/>
      <c r="AP3" s="433" t="n"/>
      <c r="AQ3" s="436" t="s">
        <v>244</v>
      </c>
    </row>
    <row customHeight="1" ht="33.75" r="4" s="386" spans="1:43">
      <c r="A4" s="427" t="n"/>
      <c r="B4" s="416" t="n"/>
      <c r="C4" s="428" t="n"/>
      <c r="D4" s="416" t="n"/>
      <c r="E4" s="416" t="n"/>
      <c r="F4" s="172" t="s">
        <v>74</v>
      </c>
      <c r="G4" s="173" t="s">
        <v>75</v>
      </c>
      <c r="H4" s="430" t="n"/>
      <c r="I4" s="431" t="n"/>
      <c r="J4" s="432" t="n"/>
      <c r="K4" s="432" t="n"/>
      <c r="L4" s="431" t="s">
        <v>245</v>
      </c>
      <c r="M4" s="431" t="s">
        <v>246</v>
      </c>
      <c r="N4" s="172" t="s">
        <v>247</v>
      </c>
      <c r="O4" s="172" t="s">
        <v>248</v>
      </c>
      <c r="P4" s="434" t="n"/>
      <c r="Q4" s="435" t="n"/>
      <c r="R4" s="436" t="n"/>
      <c r="S4" s="437" t="n"/>
      <c r="T4" s="437" t="n"/>
      <c r="U4" s="436" t="s">
        <v>245</v>
      </c>
      <c r="V4" s="436" t="s">
        <v>246</v>
      </c>
      <c r="W4" s="436" t="s">
        <v>247</v>
      </c>
      <c r="X4" s="436" t="s">
        <v>248</v>
      </c>
      <c r="Y4" s="436" t="n"/>
      <c r="Z4" s="430" t="n"/>
      <c r="AA4" s="431" t="n"/>
      <c r="AB4" s="432" t="n"/>
      <c r="AC4" s="432" t="n"/>
      <c r="AD4" s="172" t="s">
        <v>245</v>
      </c>
      <c r="AE4" s="172" t="s">
        <v>246</v>
      </c>
      <c r="AF4" s="172" t="s">
        <v>247</v>
      </c>
      <c r="AG4" s="172" t="s">
        <v>248</v>
      </c>
      <c r="AH4" s="434" t="n"/>
      <c r="AI4" s="435" t="n"/>
      <c r="AJ4" s="436" t="n"/>
      <c r="AK4" s="437" t="n"/>
      <c r="AL4" s="437" t="n"/>
      <c r="AM4" s="436" t="s">
        <v>245</v>
      </c>
      <c r="AN4" s="436" t="s">
        <v>246</v>
      </c>
      <c r="AO4" s="436" t="s">
        <v>247</v>
      </c>
      <c r="AP4" s="436" t="s">
        <v>248</v>
      </c>
      <c r="AQ4" s="436" t="n"/>
    </row>
    <row r="5" spans="1:43">
      <c r="A5" s="252">
        <f>IF('Deterministic LCCA'!H26="Y", "WZ","Non-WZ")</f>
        <v/>
      </c>
      <c r="B5" s="253" t="s">
        <v>62</v>
      </c>
      <c r="C5" s="254" t="n">
        <v>1.2</v>
      </c>
      <c r="D5" s="184" t="n">
        <v>47</v>
      </c>
      <c r="E5" s="184">
        <f>100-D5</f>
        <v/>
      </c>
      <c r="F5" s="185">
        <f>'Deterministic LCCA'!$B$29*C5/100*D5/100</f>
        <v/>
      </c>
      <c r="G5" s="186">
        <f>'Deterministic LCCA'!$B$29*C5/100*E5/100</f>
        <v/>
      </c>
      <c r="H5" s="255">
        <f>IF(B$1="No activity",0,IF($F5*(1+'Deterministic LCCA'!$B$31)^C$1&gt;'Deterministic LCCA'!$E$45*'Deterministic LCCA'!$C$32,'Deterministic LCCA'!$E$45*'Deterministic LCCA'!$C$32, $F5*(1+'Deterministic LCCA'!$B$31)^C$1))</f>
        <v/>
      </c>
      <c r="I5" s="185">
        <f>IF($A5="WZ",'Deterministic LCCA'!$C$45*'Deterministic LCCA'!$C$44,1900*'Deterministic LCCA'!$C$32)</f>
        <v/>
      </c>
      <c r="J5" s="185">
        <f>H5-I5</f>
        <v/>
      </c>
      <c r="K5" s="256">
        <f>IF(J5&lt;0,0,J5+K3)</f>
        <v/>
      </c>
      <c r="L5" s="185">
        <f>IF($A5="WZ",IF(J5&lt;0,H5,I5),0)</f>
        <v/>
      </c>
      <c r="M5" s="184">
        <f>IF(K5&gt;0,I5,0)</f>
        <v/>
      </c>
      <c r="N5" s="185">
        <f>IF(K5=0,0,H5)</f>
        <v/>
      </c>
      <c r="O5" s="185">
        <f>H5</f>
        <v/>
      </c>
      <c r="P5" s="257" t="n">
        <v>0</v>
      </c>
      <c r="Q5" s="255">
        <f>IF(K$1="No activity",0,IF($G5*(1+'Deterministic LCCA'!$B$31)^L$1&gt;'Deterministic LCCA'!$E$45*'Deterministic LCCA'!$C$32,'Deterministic LCCA'!$E$45*'Deterministic LCCA'!$C$32, $G5*(1+'Deterministic LCCA'!$B$31)^L$1))</f>
        <v/>
      </c>
      <c r="R5" s="185">
        <f>IF($A5="WZ",'Deterministic LCCA'!$C$45*'Deterministic LCCA'!$C$44,1900*'Deterministic LCCA'!$E$32)</f>
        <v/>
      </c>
      <c r="S5" s="185">
        <f>Q5-R5</f>
        <v/>
      </c>
      <c r="T5" s="256">
        <f>IF(S5&lt;0,0,S5+T3)</f>
        <v/>
      </c>
      <c r="U5" s="185">
        <f>IF($A5="WZ",IF(S5&lt;0,Q5,R5),0)</f>
        <v/>
      </c>
      <c r="V5" s="184">
        <f>IF(T5&gt;0,R5,0)</f>
        <v/>
      </c>
      <c r="W5" s="185">
        <f>IF(T5=0,0,Q5)</f>
        <v/>
      </c>
      <c r="X5" s="185">
        <f>Q5</f>
        <v/>
      </c>
      <c r="Y5" s="258" t="n">
        <v>0</v>
      </c>
      <c r="Z5" s="255">
        <f>IF(Z$1="No activity",0,IF($F5*(1+'Deterministic LCCA'!$B$31)^AB$1&gt;'Deterministic LCCA'!$E$45*'Deterministic LCCA'!$C$32,'Deterministic LCCA'!$E$45*'Deterministic LCCA'!$C$32, $F5*(1+'Deterministic LCCA'!$B$31)^AB$1))</f>
        <v/>
      </c>
      <c r="AA5" s="185">
        <f>IF($A5="WZ",'Deterministic LCCA'!$C$45*'Deterministic LCCA'!$C$44,1900*'Deterministic LCCA'!$C$32)</f>
        <v/>
      </c>
      <c r="AB5" s="185">
        <f>Z5-AA5</f>
        <v/>
      </c>
      <c r="AC5" s="256">
        <f>IF(AB5&lt;0,0,AB5+AC3)</f>
        <v/>
      </c>
      <c r="AD5" s="185">
        <f>IF($A5="WZ",IF(AB5&lt;0,Z5,AA5),0)</f>
        <v/>
      </c>
      <c r="AE5" s="184">
        <f>IF(AC5&gt;0,AA5,0)</f>
        <v/>
      </c>
      <c r="AF5" s="185">
        <f>IF(AC5=0,0,Z5)</f>
        <v/>
      </c>
      <c r="AG5" s="185">
        <f>Z5</f>
        <v/>
      </c>
      <c r="AH5" s="257" t="n">
        <v>0</v>
      </c>
      <c r="AI5" s="255">
        <f>IF(Z$1="No activity",0,IF($G5*(1+'Deterministic LCCA'!$B$31)^AB$1&gt;'Deterministic LCCA'!$E$45*'Deterministic LCCA'!$C$32,'Deterministic LCCA'!$E$45*'Deterministic LCCA'!$C$32, $G5*(1+'Deterministic LCCA'!$B$31)^AB$1))</f>
        <v/>
      </c>
      <c r="AJ5" s="185">
        <f>IF($A5="WZ",'Deterministic LCCA'!$C$45*'Deterministic LCCA'!$C$44,1900*'Deterministic LCCA'!$E$32)</f>
        <v/>
      </c>
      <c r="AK5" s="185">
        <f>AI5-AJ5</f>
        <v/>
      </c>
      <c r="AL5" s="256">
        <f>IF(AK5&lt;0,0,AK5+AL3)</f>
        <v/>
      </c>
      <c r="AM5" s="185">
        <f>IF($A5="WZ",IF(AK5&lt;0,AI5,AJ5),0)</f>
        <v/>
      </c>
      <c r="AN5" s="184">
        <f>IF(AL5&gt;0,AJ5,0)</f>
        <v/>
      </c>
      <c r="AO5" s="185">
        <f>IF(AL5=0,0,AI5)</f>
        <v/>
      </c>
      <c r="AP5" s="185">
        <f>AI5</f>
        <v/>
      </c>
      <c r="AQ5" s="258" t="n">
        <v>0</v>
      </c>
    </row>
    <row r="6" spans="1:43">
      <c r="A6" s="228">
        <f>IF('Deterministic LCCA'!H27="Y", "WZ","Non-WZ")</f>
        <v/>
      </c>
      <c r="B6" s="259" t="s">
        <v>64</v>
      </c>
      <c r="C6" s="260" t="n">
        <v>0.8</v>
      </c>
      <c r="D6" s="196" t="n">
        <v>43</v>
      </c>
      <c r="E6" s="196">
        <f>100-D6</f>
        <v/>
      </c>
      <c r="F6" s="185">
        <f>'Deterministic LCCA'!$B$29*C6/100*D6/100</f>
        <v/>
      </c>
      <c r="G6" s="186">
        <f>'Deterministic LCCA'!$B$29*C6/100*E6/100</f>
        <v/>
      </c>
      <c r="H6" s="255">
        <f>IF(B$1="No activity",0,IF($F6*(1+'Deterministic LCCA'!$B$31)^C$1&gt;'Deterministic LCCA'!$E$45*'Deterministic LCCA'!$C$32,'Deterministic LCCA'!$E$45*'Deterministic LCCA'!$C$32, $F6*(1+'Deterministic LCCA'!$B$31)^C$1))</f>
        <v/>
      </c>
      <c r="I6" s="185">
        <f>IF($A6="WZ",'Deterministic LCCA'!$C$45*'Deterministic LCCA'!$C$44,1900*'Deterministic LCCA'!$C$32)</f>
        <v/>
      </c>
      <c r="J6" s="197">
        <f>H6-I6</f>
        <v/>
      </c>
      <c r="K6" s="261">
        <f>IF(K5=0, IF(J6&lt;0,0,J6+K5), IF((K5+J6)&lt;0,0,K5+J6))</f>
        <v/>
      </c>
      <c r="L6" s="185">
        <f>IF($A6="WZ",IF(J6&lt;0,H6,I6),0)</f>
        <v/>
      </c>
      <c r="M6" s="196">
        <f>IF(K6&gt;0,I6,0)</f>
        <v/>
      </c>
      <c r="N6" s="197">
        <f>IF(K6=0,0,H6)</f>
        <v/>
      </c>
      <c r="O6" s="197">
        <f>H6</f>
        <v/>
      </c>
      <c r="P6" s="262" t="n">
        <v>0</v>
      </c>
      <c r="Q6" s="255">
        <f>IF(K$1="No activity",0,IF($G6*(1+'Deterministic LCCA'!$B$31)^L$1&gt;'Deterministic LCCA'!$E$45*'Deterministic LCCA'!$C$32,'Deterministic LCCA'!$E$45*'Deterministic LCCA'!$C$32, $G6*(1+'Deterministic LCCA'!$B$31)^L$1))</f>
        <v/>
      </c>
      <c r="R6" s="185">
        <f>IF($A6="WZ",'Deterministic LCCA'!$C$45*'Deterministic LCCA'!$C$44,1900*'Deterministic LCCA'!$E$32)</f>
        <v/>
      </c>
      <c r="S6" s="197">
        <f>Q6-R6</f>
        <v/>
      </c>
      <c r="T6" s="261">
        <f>IF(T5=0, IF(S6&lt;0,0,S6+T5), IF((T5+S6)&lt;0,0,T5+S6))</f>
        <v/>
      </c>
      <c r="U6" s="185">
        <f>IF($A6="WZ",IF(S6&lt;0,Q6,R6),0)</f>
        <v/>
      </c>
      <c r="V6" s="196">
        <f>IF(T6&gt;0,R6,0)</f>
        <v/>
      </c>
      <c r="W6" s="197">
        <f>IF(T6=0,0,Q6)</f>
        <v/>
      </c>
      <c r="X6" s="197">
        <f>Q6</f>
        <v/>
      </c>
      <c r="Y6" s="263">
        <f>(T6+T5)/2</f>
        <v/>
      </c>
      <c r="Z6" s="255">
        <f>IF(Z$1="No activity",0,IF($F6*(1+'Deterministic LCCA'!$B$31)^AB$1&gt;'Deterministic LCCA'!$E$45*'Deterministic LCCA'!$C$32,'Deterministic LCCA'!$E$45*'Deterministic LCCA'!$C$32, $F6*(1+'Deterministic LCCA'!$B$31)^AB$1))</f>
        <v/>
      </c>
      <c r="AA6" s="185">
        <f>IF($A6="WZ",'Deterministic LCCA'!$C$45*'Deterministic LCCA'!$C$44,1900*'Deterministic LCCA'!$C$32)</f>
        <v/>
      </c>
      <c r="AB6" s="197">
        <f>Z6-AA6</f>
        <v/>
      </c>
      <c r="AC6" s="261">
        <f>IF(AC5=0, IF(AB6&lt;0,0,AB6+AC5), IF((AC5+AB6)&lt;0,0,AC5+AB6))</f>
        <v/>
      </c>
      <c r="AD6" s="185">
        <f>IF($A6="WZ",IF(AB6&lt;0,Z6,AA6),0)</f>
        <v/>
      </c>
      <c r="AE6" s="196">
        <f>IF(AC6&gt;0,AA6,0)</f>
        <v/>
      </c>
      <c r="AF6" s="197">
        <f>IF(AC6=0,0,Z6)</f>
        <v/>
      </c>
      <c r="AG6" s="197">
        <f>Z6</f>
        <v/>
      </c>
      <c r="AH6" s="262" t="n">
        <v>0</v>
      </c>
      <c r="AI6" s="255">
        <f>IF(Z$1="No activity",0,IF($G6*(1+'Deterministic LCCA'!$B$31)^AB$1&gt;'Deterministic LCCA'!$E$45*'Deterministic LCCA'!$C$32,'Deterministic LCCA'!$E$45*'Deterministic LCCA'!$C$32, $G6*(1+'Deterministic LCCA'!$B$31)^AB$1))</f>
        <v/>
      </c>
      <c r="AJ6" s="185">
        <f>IF($A6="WZ",'Deterministic LCCA'!$C$45*'Deterministic LCCA'!$C$44,1900*'Deterministic LCCA'!$E$32)</f>
        <v/>
      </c>
      <c r="AK6" s="197">
        <f>AI6-AJ6</f>
        <v/>
      </c>
      <c r="AL6" s="261">
        <f>IF(AL5=0, IF(AK6&lt;0,0,AK6+AL5), IF((AL5+AK6)&lt;0,0,AL5+AK6))</f>
        <v/>
      </c>
      <c r="AM6" s="185">
        <f>IF($A6="WZ",IF(AK6&lt;0,AI6,AJ6),0)</f>
        <v/>
      </c>
      <c r="AN6" s="196">
        <f>IF(AL6&gt;0,AJ6,0)</f>
        <v/>
      </c>
      <c r="AO6" s="197">
        <f>IF(AL6=0,0,AI6)</f>
        <v/>
      </c>
      <c r="AP6" s="197">
        <f>AI6</f>
        <v/>
      </c>
      <c r="AQ6" s="263">
        <f>(AL6+AL5)/2</f>
        <v/>
      </c>
    </row>
    <row r="7" spans="1:43">
      <c r="A7" s="228">
        <f>IF('Deterministic LCCA'!H28="Y", "WZ","Non-WZ")</f>
        <v/>
      </c>
      <c r="B7" s="259" t="s">
        <v>66</v>
      </c>
      <c r="C7" s="260" t="n">
        <v>0.7</v>
      </c>
      <c r="D7" s="196" t="n">
        <v>46</v>
      </c>
      <c r="E7" s="196">
        <f>100-D7</f>
        <v/>
      </c>
      <c r="F7" s="185">
        <f>'Deterministic LCCA'!$B$29*C7/100*D7/100</f>
        <v/>
      </c>
      <c r="G7" s="186">
        <f>'Deterministic LCCA'!$B$29*C7/100*E7/100</f>
        <v/>
      </c>
      <c r="H7" s="255">
        <f>IF(B$1="No activity",0,IF($F7*(1+'Deterministic LCCA'!$B$31)^C$1&gt;'Deterministic LCCA'!$E$45*'Deterministic LCCA'!$C$32,'Deterministic LCCA'!$E$45*'Deterministic LCCA'!$C$32, $F7*(1+'Deterministic LCCA'!$B$31)^C$1))</f>
        <v/>
      </c>
      <c r="I7" s="185">
        <f>IF($A7="WZ",'Deterministic LCCA'!$C$45*'Deterministic LCCA'!$C$44,1900*'Deterministic LCCA'!$C$32)</f>
        <v/>
      </c>
      <c r="J7" s="197">
        <f>H7-I7</f>
        <v/>
      </c>
      <c r="K7" s="261">
        <f>IF(K6=0, IF(J7&lt;0,0,J7+K6), IF((K6+J7)&lt;0,0,K6+J7))</f>
        <v/>
      </c>
      <c r="L7" s="185">
        <f>IF($A7="WZ",IF(J7&lt;0,H7,I7),0)</f>
        <v/>
      </c>
      <c r="M7" s="196">
        <f>IF(K7&gt;0,I7,0)</f>
        <v/>
      </c>
      <c r="N7" s="197">
        <f>IF(K7=0,0,H7)</f>
        <v/>
      </c>
      <c r="O7" s="197">
        <f>H7</f>
        <v/>
      </c>
      <c r="P7" s="262" t="n">
        <v>0</v>
      </c>
      <c r="Q7" s="255">
        <f>IF(K$1="No activity",0,IF($G7*(1+'Deterministic LCCA'!$B$31)^L$1&gt;'Deterministic LCCA'!$E$45*'Deterministic LCCA'!$C$32,'Deterministic LCCA'!$E$45*'Deterministic LCCA'!$C$32, $G7*(1+'Deterministic LCCA'!$B$31)^L$1))</f>
        <v/>
      </c>
      <c r="R7" s="185">
        <f>IF($A7="WZ",'Deterministic LCCA'!$C$45*'Deterministic LCCA'!$C$44,1900*'Deterministic LCCA'!$E$32)</f>
        <v/>
      </c>
      <c r="S7" s="197">
        <f>Q7-R7</f>
        <v/>
      </c>
      <c r="T7" s="261">
        <f>IF(T6=0, IF(S7&lt;0,0,S7+T6), IF((T6+S7)&lt;0,0,T6+S7))</f>
        <v/>
      </c>
      <c r="U7" s="185">
        <f>IF($A7="WZ",IF(S7&lt;0,Q7,R7),0)</f>
        <v/>
      </c>
      <c r="V7" s="196">
        <f>IF(T7&gt;0,R7,0)</f>
        <v/>
      </c>
      <c r="W7" s="197">
        <f>IF(T7=0,0,Q7)</f>
        <v/>
      </c>
      <c r="X7" s="197">
        <f>Q7</f>
        <v/>
      </c>
      <c r="Y7" s="263">
        <f>(T7+T6)/2</f>
        <v/>
      </c>
      <c r="Z7" s="255">
        <f>IF(Z$1="No activity",0,IF($F7*(1+'Deterministic LCCA'!$B$31)^AB$1&gt;'Deterministic LCCA'!$E$45*'Deterministic LCCA'!$C$32,'Deterministic LCCA'!$E$45*'Deterministic LCCA'!$C$32, $F7*(1+'Deterministic LCCA'!$B$31)^AB$1))</f>
        <v/>
      </c>
      <c r="AA7" s="185">
        <f>IF($A7="WZ",'Deterministic LCCA'!$C$45*'Deterministic LCCA'!$C$44,1900*'Deterministic LCCA'!$C$32)</f>
        <v/>
      </c>
      <c r="AB7" s="197">
        <f>Z7-AA7</f>
        <v/>
      </c>
      <c r="AC7" s="261">
        <f>IF(AC6=0, IF(AB7&lt;0,0,AB7+AC6), IF((AC6+AB7)&lt;0,0,AC6+AB7))</f>
        <v/>
      </c>
      <c r="AD7" s="185">
        <f>IF($A7="WZ",IF(AB7&lt;0,Z7,AA7),0)</f>
        <v/>
      </c>
      <c r="AE7" s="196">
        <f>IF(AC7&gt;0,AA7,0)</f>
        <v/>
      </c>
      <c r="AF7" s="197">
        <f>IF(AC7=0,0,Z7)</f>
        <v/>
      </c>
      <c r="AG7" s="197">
        <f>Z7</f>
        <v/>
      </c>
      <c r="AH7" s="262" t="n">
        <v>0</v>
      </c>
      <c r="AI7" s="255">
        <f>IF(Z$1="No activity",0,IF($G7*(1+'Deterministic LCCA'!$B$31)^AB$1&gt;'Deterministic LCCA'!$E$45*'Deterministic LCCA'!$C$32,'Deterministic LCCA'!$E$45*'Deterministic LCCA'!$C$32, $G7*(1+'Deterministic LCCA'!$B$31)^AB$1))</f>
        <v/>
      </c>
      <c r="AJ7" s="185">
        <f>IF($A7="WZ",'Deterministic LCCA'!$C$45*'Deterministic LCCA'!$C$44,1900*'Deterministic LCCA'!$E$32)</f>
        <v/>
      </c>
      <c r="AK7" s="197">
        <f>AI7-AJ7</f>
        <v/>
      </c>
      <c r="AL7" s="261">
        <f>IF(AL6=0, IF(AK7&lt;0,0,AK7+AL6), IF((AL6+AK7)&lt;0,0,AL6+AK7))</f>
        <v/>
      </c>
      <c r="AM7" s="185">
        <f>IF($A7="WZ",IF(AK7&lt;0,AI7,AJ7),0)</f>
        <v/>
      </c>
      <c r="AN7" s="196">
        <f>IF(AL7&gt;0,AJ7,0)</f>
        <v/>
      </c>
      <c r="AO7" s="197">
        <f>IF(AL7=0,0,AI7)</f>
        <v/>
      </c>
      <c r="AP7" s="197">
        <f>AI7</f>
        <v/>
      </c>
      <c r="AQ7" s="263">
        <f>(AL7+AL6)/2</f>
        <v/>
      </c>
    </row>
    <row r="8" spans="1:43">
      <c r="A8" s="228">
        <f>IF('Deterministic LCCA'!H29="Y", "WZ","Non-WZ")</f>
        <v/>
      </c>
      <c r="B8" s="259" t="s">
        <v>68</v>
      </c>
      <c r="C8" s="260" t="n">
        <v>0.5</v>
      </c>
      <c r="D8" s="196" t="n">
        <v>48</v>
      </c>
      <c r="E8" s="196">
        <f>100-D8</f>
        <v/>
      </c>
      <c r="F8" s="185">
        <f>'Deterministic LCCA'!$B$29*C8/100*D8/100</f>
        <v/>
      </c>
      <c r="G8" s="186">
        <f>'Deterministic LCCA'!$B$29*C8/100*E8/100</f>
        <v/>
      </c>
      <c r="H8" s="255">
        <f>IF(B$1="No activity",0,IF($F8*(1+'Deterministic LCCA'!$B$31)^C$1&gt;'Deterministic LCCA'!$E$45*'Deterministic LCCA'!$C$32,'Deterministic LCCA'!$E$45*'Deterministic LCCA'!$C$32, $F8*(1+'Deterministic LCCA'!$B$31)^C$1))</f>
        <v/>
      </c>
      <c r="I8" s="185">
        <f>IF($A8="WZ",'Deterministic LCCA'!$C$45*'Deterministic LCCA'!$C$44,1900*'Deterministic LCCA'!$C$32)</f>
        <v/>
      </c>
      <c r="J8" s="197">
        <f>H8-I8</f>
        <v/>
      </c>
      <c r="K8" s="261">
        <f>IF(K7=0, IF(J8&lt;0,0,J8+K7), IF((K7+J8)&lt;0,0,K7+J8))</f>
        <v/>
      </c>
      <c r="L8" s="185">
        <f>IF($A8="WZ",IF(J8&lt;0,H8,I8),0)</f>
        <v/>
      </c>
      <c r="M8" s="196">
        <f>IF(K8&gt;0,I8,0)</f>
        <v/>
      </c>
      <c r="N8" s="197">
        <f>IF(K8=0,0,H8)</f>
        <v/>
      </c>
      <c r="O8" s="197">
        <f>H8</f>
        <v/>
      </c>
      <c r="P8" s="262" t="n">
        <v>0</v>
      </c>
      <c r="Q8" s="255">
        <f>IF(K$1="No activity",0,IF($G8*(1+'Deterministic LCCA'!$B$31)^L$1&gt;'Deterministic LCCA'!$E$45*'Deterministic LCCA'!$C$32,'Deterministic LCCA'!$E$45*'Deterministic LCCA'!$C$32, $G8*(1+'Deterministic LCCA'!$B$31)^L$1))</f>
        <v/>
      </c>
      <c r="R8" s="185">
        <f>IF($A8="WZ",'Deterministic LCCA'!$C$45*'Deterministic LCCA'!$C$44,1900*'Deterministic LCCA'!$E$32)</f>
        <v/>
      </c>
      <c r="S8" s="197">
        <f>Q8-R8</f>
        <v/>
      </c>
      <c r="T8" s="261">
        <f>IF(T7=0, IF(S8&lt;0,0,S8+T7), IF((T7+S8)&lt;0,0,T7+S8))</f>
        <v/>
      </c>
      <c r="U8" s="185">
        <f>IF($A8="WZ",IF(S8&lt;0,Q8,R8),0)</f>
        <v/>
      </c>
      <c r="V8" s="196">
        <f>IF(T8&gt;0,R8,0)</f>
        <v/>
      </c>
      <c r="W8" s="197">
        <f>IF(T8=0,0,Q8)</f>
        <v/>
      </c>
      <c r="X8" s="197">
        <f>Q8</f>
        <v/>
      </c>
      <c r="Y8" s="263">
        <f>(T8+T7)/2</f>
        <v/>
      </c>
      <c r="Z8" s="255">
        <f>IF(Z$1="No activity",0,IF($F8*(1+'Deterministic LCCA'!$B$31)^AB$1&gt;'Deterministic LCCA'!$E$45*'Deterministic LCCA'!$C$32,'Deterministic LCCA'!$E$45*'Deterministic LCCA'!$C$32, $F8*(1+'Deterministic LCCA'!$B$31)^AB$1))</f>
        <v/>
      </c>
      <c r="AA8" s="185">
        <f>IF($A8="WZ",'Deterministic LCCA'!$C$45*'Deterministic LCCA'!$C$44,1900*'Deterministic LCCA'!$C$32)</f>
        <v/>
      </c>
      <c r="AB8" s="197">
        <f>Z8-AA8</f>
        <v/>
      </c>
      <c r="AC8" s="261">
        <f>IF(AC7=0, IF(AB8&lt;0,0,AB8+AC7), IF((AC7+AB8)&lt;0,0,AC7+AB8))</f>
        <v/>
      </c>
      <c r="AD8" s="185">
        <f>IF($A8="WZ",IF(AB8&lt;0,Z8,AA8),0)</f>
        <v/>
      </c>
      <c r="AE8" s="196">
        <f>IF(AC8&gt;0,AA8,0)</f>
        <v/>
      </c>
      <c r="AF8" s="197">
        <f>IF(AC8=0,0,Z8)</f>
        <v/>
      </c>
      <c r="AG8" s="197">
        <f>Z8</f>
        <v/>
      </c>
      <c r="AH8" s="262" t="n">
        <v>0</v>
      </c>
      <c r="AI8" s="255">
        <f>IF(Z$1="No activity",0,IF($G8*(1+'Deterministic LCCA'!$B$31)^AB$1&gt;'Deterministic LCCA'!$E$45*'Deterministic LCCA'!$C$32,'Deterministic LCCA'!$E$45*'Deterministic LCCA'!$C$32, $G8*(1+'Deterministic LCCA'!$B$31)^AB$1))</f>
        <v/>
      </c>
      <c r="AJ8" s="185">
        <f>IF($A8="WZ",'Deterministic LCCA'!$C$45*'Deterministic LCCA'!$C$44,1900*'Deterministic LCCA'!$E$32)</f>
        <v/>
      </c>
      <c r="AK8" s="197">
        <f>AI8-AJ8</f>
        <v/>
      </c>
      <c r="AL8" s="261">
        <f>IF(AL7=0, IF(AK8&lt;0,0,AK8+AL7), IF((AL7+AK8)&lt;0,0,AL7+AK8))</f>
        <v/>
      </c>
      <c r="AM8" s="185">
        <f>IF($A8="WZ",IF(AK8&lt;0,AI8,AJ8),0)</f>
        <v/>
      </c>
      <c r="AN8" s="196">
        <f>IF(AL8&gt;0,AJ8,0)</f>
        <v/>
      </c>
      <c r="AO8" s="197">
        <f>IF(AL8=0,0,AI8)</f>
        <v/>
      </c>
      <c r="AP8" s="197">
        <f>AI8</f>
        <v/>
      </c>
      <c r="AQ8" s="263">
        <f>(AL8+AL7)/2</f>
        <v/>
      </c>
    </row>
    <row r="9" spans="1:43">
      <c r="A9" s="228">
        <f>IF('Deterministic LCCA'!H30="Y", "WZ","Non-WZ")</f>
        <v/>
      </c>
      <c r="B9" s="259" t="s">
        <v>70</v>
      </c>
      <c r="C9" s="260" t="n">
        <v>0.7</v>
      </c>
      <c r="D9" s="196" t="n">
        <v>57</v>
      </c>
      <c r="E9" s="196">
        <f>100-D9</f>
        <v/>
      </c>
      <c r="F9" s="185">
        <f>'Deterministic LCCA'!$B$29*C9/100*D9/100</f>
        <v/>
      </c>
      <c r="G9" s="186">
        <f>'Deterministic LCCA'!$B$29*C9/100*E9/100</f>
        <v/>
      </c>
      <c r="H9" s="255">
        <f>IF(B$1="No activity",0,IF($F9*(1+'Deterministic LCCA'!$B$31)^C$1&gt;'Deterministic LCCA'!$E$45*'Deterministic LCCA'!$C$32,'Deterministic LCCA'!$E$45*'Deterministic LCCA'!$C$32, $F9*(1+'Deterministic LCCA'!$B$31)^C$1))</f>
        <v/>
      </c>
      <c r="I9" s="185">
        <f>IF($A9="WZ",'Deterministic LCCA'!$C$45*'Deterministic LCCA'!$C$44,1900*'Deterministic LCCA'!$C$32)</f>
        <v/>
      </c>
      <c r="J9" s="197">
        <f>H9-I9</f>
        <v/>
      </c>
      <c r="K9" s="261">
        <f>IF(K8=0, IF(J9&lt;0,0,J9+K8), IF((K8+J9)&lt;0,0,K8+J9))</f>
        <v/>
      </c>
      <c r="L9" s="185">
        <f>IF($A9="WZ",IF(J9&lt;0,H9,I9),0)</f>
        <v/>
      </c>
      <c r="M9" s="196">
        <f>IF(K9&gt;0,I9,0)</f>
        <v/>
      </c>
      <c r="N9" s="197">
        <f>IF(K9=0,0,H9)</f>
        <v/>
      </c>
      <c r="O9" s="197">
        <f>H9</f>
        <v/>
      </c>
      <c r="P9" s="262" t="n">
        <v>0</v>
      </c>
      <c r="Q9" s="255">
        <f>IF(K$1="No activity",0,IF($G9*(1+'Deterministic LCCA'!$B$31)^L$1&gt;'Deterministic LCCA'!$E$45*'Deterministic LCCA'!$C$32,'Deterministic LCCA'!$E$45*'Deterministic LCCA'!$C$32, $G9*(1+'Deterministic LCCA'!$B$31)^L$1))</f>
        <v/>
      </c>
      <c r="R9" s="185">
        <f>IF($A9="WZ",'Deterministic LCCA'!$C$45*'Deterministic LCCA'!$C$44,1900*'Deterministic LCCA'!$E$32)</f>
        <v/>
      </c>
      <c r="S9" s="197">
        <f>Q9-R9</f>
        <v/>
      </c>
      <c r="T9" s="261">
        <f>IF(T8=0, IF(S9&lt;0,0,S9+T8), IF((T8+S9)&lt;0,0,T8+S9))</f>
        <v/>
      </c>
      <c r="U9" s="185">
        <f>IF($A9="WZ",IF(S9&lt;0,Q9,R9),0)</f>
        <v/>
      </c>
      <c r="V9" s="196">
        <f>IF(T9&gt;0,R9,0)</f>
        <v/>
      </c>
      <c r="W9" s="197">
        <f>IF(T9=0,0,Q9)</f>
        <v/>
      </c>
      <c r="X9" s="197">
        <f>Q9</f>
        <v/>
      </c>
      <c r="Y9" s="263">
        <f>(T9+T8)/2</f>
        <v/>
      </c>
      <c r="Z9" s="255">
        <f>IF(Z$1="No activity",0,IF($F9*(1+'Deterministic LCCA'!$B$31)^AB$1&gt;'Deterministic LCCA'!$E$45*'Deterministic LCCA'!$C$32,'Deterministic LCCA'!$E$45*'Deterministic LCCA'!$C$32, $F9*(1+'Deterministic LCCA'!$B$31)^AB$1))</f>
        <v/>
      </c>
      <c r="AA9" s="185">
        <f>IF($A9="WZ",'Deterministic LCCA'!$C$45*'Deterministic LCCA'!$C$44,1900*'Deterministic LCCA'!$C$32)</f>
        <v/>
      </c>
      <c r="AB9" s="197">
        <f>Z9-AA9</f>
        <v/>
      </c>
      <c r="AC9" s="261">
        <f>IF(AC8=0, IF(AB9&lt;0,0,AB9+AC8), IF((AC8+AB9)&lt;0,0,AC8+AB9))</f>
        <v/>
      </c>
      <c r="AD9" s="185">
        <f>IF($A9="WZ",IF(AB9&lt;0,Z9,AA9),0)</f>
        <v/>
      </c>
      <c r="AE9" s="196">
        <f>IF(AC9&gt;0,AA9,0)</f>
        <v/>
      </c>
      <c r="AF9" s="197">
        <f>IF(AC9=0,0,Z9)</f>
        <v/>
      </c>
      <c r="AG9" s="197">
        <f>Z9</f>
        <v/>
      </c>
      <c r="AH9" s="262" t="n">
        <v>0</v>
      </c>
      <c r="AI9" s="255">
        <f>IF(Z$1="No activity",0,IF($G9*(1+'Deterministic LCCA'!$B$31)^AB$1&gt;'Deterministic LCCA'!$E$45*'Deterministic LCCA'!$C$32,'Deterministic LCCA'!$E$45*'Deterministic LCCA'!$C$32, $G9*(1+'Deterministic LCCA'!$B$31)^AB$1))</f>
        <v/>
      </c>
      <c r="AJ9" s="185">
        <f>IF($A9="WZ",'Deterministic LCCA'!$C$45*'Deterministic LCCA'!$C$44,1900*'Deterministic LCCA'!$E$32)</f>
        <v/>
      </c>
      <c r="AK9" s="197">
        <f>AI9-AJ9</f>
        <v/>
      </c>
      <c r="AL9" s="261">
        <f>IF(AL8=0, IF(AK9&lt;0,0,AK9+AL8), IF((AL8+AK9)&lt;0,0,AL8+AK9))</f>
        <v/>
      </c>
      <c r="AM9" s="185">
        <f>IF($A9="WZ",IF(AK9&lt;0,AI9,AJ9),0)</f>
        <v/>
      </c>
      <c r="AN9" s="196">
        <f>IF(AL9&gt;0,AJ9,0)</f>
        <v/>
      </c>
      <c r="AO9" s="197">
        <f>IF(AL9=0,0,AI9)</f>
        <v/>
      </c>
      <c r="AP9" s="197">
        <f>AI9</f>
        <v/>
      </c>
      <c r="AQ9" s="263">
        <f>(AL9+AL8)/2</f>
        <v/>
      </c>
    </row>
    <row r="10" spans="1:43">
      <c r="A10" s="228">
        <f>IF('Deterministic LCCA'!H31="Y", "WZ","Non-WZ")</f>
        <v/>
      </c>
      <c r="B10" s="259" t="s">
        <v>72</v>
      </c>
      <c r="C10" s="260" t="n">
        <v>1.7</v>
      </c>
      <c r="D10" s="196" t="n">
        <v>58</v>
      </c>
      <c r="E10" s="196">
        <f>100-D10</f>
        <v/>
      </c>
      <c r="F10" s="185">
        <f>'Deterministic LCCA'!$B$29*C10/100*D10/100</f>
        <v/>
      </c>
      <c r="G10" s="186">
        <f>'Deterministic LCCA'!$B$29*C10/100*E10/100</f>
        <v/>
      </c>
      <c r="H10" s="255">
        <f>IF(B$1="No activity",0,IF($F10*(1+'Deterministic LCCA'!$B$31)^C$1&gt;'Deterministic LCCA'!$E$45*'Deterministic LCCA'!$C$32,'Deterministic LCCA'!$E$45*'Deterministic LCCA'!$C$32, $F10*(1+'Deterministic LCCA'!$B$31)^C$1))</f>
        <v/>
      </c>
      <c r="I10" s="185">
        <f>IF($A10="WZ",'Deterministic LCCA'!$C$45*'Deterministic LCCA'!$C$44,1900*'Deterministic LCCA'!$C$32)</f>
        <v/>
      </c>
      <c r="J10" s="197">
        <f>H10-I10</f>
        <v/>
      </c>
      <c r="K10" s="261">
        <f>IF(K9=0, IF(J10&lt;0,0,J10+K9), IF((K9+J10)&lt;0,0,K9+J10))</f>
        <v/>
      </c>
      <c r="L10" s="185">
        <f>IF($A10="WZ",IF(J10&lt;0,H10,I10),0)</f>
        <v/>
      </c>
      <c r="M10" s="196">
        <f>IF(K10&gt;0,I10,0)</f>
        <v/>
      </c>
      <c r="N10" s="197">
        <f>IF(K10=0,0,H10)</f>
        <v/>
      </c>
      <c r="O10" s="197">
        <f>H10</f>
        <v/>
      </c>
      <c r="P10" s="262" t="n">
        <v>0</v>
      </c>
      <c r="Q10" s="255">
        <f>IF(K$1="No activity",0,IF($G10*(1+'Deterministic LCCA'!$B$31)^L$1&gt;'Deterministic LCCA'!$E$45*'Deterministic LCCA'!$C$32,'Deterministic LCCA'!$E$45*'Deterministic LCCA'!$C$32, $G10*(1+'Deterministic LCCA'!$B$31)^L$1))</f>
        <v/>
      </c>
      <c r="R10" s="185">
        <f>IF($A10="WZ",'Deterministic LCCA'!$C$45*'Deterministic LCCA'!$C$44,1900*'Deterministic LCCA'!$E$32)</f>
        <v/>
      </c>
      <c r="S10" s="197">
        <f>Q10-R10</f>
        <v/>
      </c>
      <c r="T10" s="261">
        <f>IF(T9=0, IF(S10&lt;0,0,S10+T9), IF((T9+S10)&lt;0,0,T9+S10))</f>
        <v/>
      </c>
      <c r="U10" s="185">
        <f>IF($A10="WZ",IF(S10&lt;0,Q10,R10),0)</f>
        <v/>
      </c>
      <c r="V10" s="196">
        <f>IF(T10&gt;0,R10,0)</f>
        <v/>
      </c>
      <c r="W10" s="197">
        <f>IF(T10=0,0,Q10)</f>
        <v/>
      </c>
      <c r="X10" s="197">
        <f>Q10</f>
        <v/>
      </c>
      <c r="Y10" s="263">
        <f>(T10+T9)/2</f>
        <v/>
      </c>
      <c r="Z10" s="255">
        <f>IF(Z$1="No activity",0,IF($F10*(1+'Deterministic LCCA'!$B$31)^AB$1&gt;'Deterministic LCCA'!$E$45*'Deterministic LCCA'!$C$32,'Deterministic LCCA'!$E$45*'Deterministic LCCA'!$C$32, $F10*(1+'Deterministic LCCA'!$B$31)^AB$1))</f>
        <v/>
      </c>
      <c r="AA10" s="185">
        <f>IF($A10="WZ",'Deterministic LCCA'!$C$45*'Deterministic LCCA'!$C$44,1900*'Deterministic LCCA'!$C$32)</f>
        <v/>
      </c>
      <c r="AB10" s="197">
        <f>Z10-AA10</f>
        <v/>
      </c>
      <c r="AC10" s="261">
        <f>IF(AC9=0, IF(AB10&lt;0,0,AB10+AC9), IF((AC9+AB10)&lt;0,0,AC9+AB10))</f>
        <v/>
      </c>
      <c r="AD10" s="185">
        <f>IF($A10="WZ",IF(AB10&lt;0,Z10,AA10),0)</f>
        <v/>
      </c>
      <c r="AE10" s="196">
        <f>IF(AC10&gt;0,AA10,0)</f>
        <v/>
      </c>
      <c r="AF10" s="197">
        <f>IF(AC10=0,0,Z10)</f>
        <v/>
      </c>
      <c r="AG10" s="197">
        <f>Z10</f>
        <v/>
      </c>
      <c r="AH10" s="262" t="n">
        <v>0</v>
      </c>
      <c r="AI10" s="255">
        <f>IF(Z$1="No activity",0,IF($G10*(1+'Deterministic LCCA'!$B$31)^AB$1&gt;'Deterministic LCCA'!$E$45*'Deterministic LCCA'!$C$32,'Deterministic LCCA'!$E$45*'Deterministic LCCA'!$C$32, $G10*(1+'Deterministic LCCA'!$B$31)^AB$1))</f>
        <v/>
      </c>
      <c r="AJ10" s="185">
        <f>IF($A10="WZ",'Deterministic LCCA'!$C$45*'Deterministic LCCA'!$C$44,1900*'Deterministic LCCA'!$E$32)</f>
        <v/>
      </c>
      <c r="AK10" s="197">
        <f>AI10-AJ10</f>
        <v/>
      </c>
      <c r="AL10" s="261">
        <f>IF(AL9=0, IF(AK10&lt;0,0,AK10+AL9), IF((AL9+AK10)&lt;0,0,AL9+AK10))</f>
        <v/>
      </c>
      <c r="AM10" s="185">
        <f>IF($A10="WZ",IF(AK10&lt;0,AI10,AJ10),0)</f>
        <v/>
      </c>
      <c r="AN10" s="196">
        <f>IF(AL10&gt;0,AJ10,0)</f>
        <v/>
      </c>
      <c r="AO10" s="197">
        <f>IF(AL10=0,0,AI10)</f>
        <v/>
      </c>
      <c r="AP10" s="197">
        <f>AI10</f>
        <v/>
      </c>
      <c r="AQ10" s="263">
        <f>(AL10+AL9)/2</f>
        <v/>
      </c>
    </row>
    <row r="11" spans="1:43">
      <c r="A11" s="228">
        <f>IF('Deterministic LCCA'!H32="Y", "WZ","Non-WZ")</f>
        <v/>
      </c>
      <c r="B11" s="259" t="s">
        <v>76</v>
      </c>
      <c r="C11" s="260" t="n">
        <v>5.1</v>
      </c>
      <c r="D11" s="196" t="n">
        <v>63</v>
      </c>
      <c r="E11" s="196">
        <f>100-D11</f>
        <v/>
      </c>
      <c r="F11" s="185">
        <f>'Deterministic LCCA'!$B$29*C11/100*D11/100</f>
        <v/>
      </c>
      <c r="G11" s="186">
        <f>'Deterministic LCCA'!$B$29*C11/100*E11/100</f>
        <v/>
      </c>
      <c r="H11" s="255">
        <f>IF(B$1="No activity",0,IF($F11*(1+'Deterministic LCCA'!$B$31)^C$1&gt;'Deterministic LCCA'!$E$45*'Deterministic LCCA'!$C$32,'Deterministic LCCA'!$E$45*'Deterministic LCCA'!$C$32, $F11*(1+'Deterministic LCCA'!$B$31)^C$1))</f>
        <v/>
      </c>
      <c r="I11" s="185">
        <f>IF($A11="WZ",'Deterministic LCCA'!$C$45*'Deterministic LCCA'!$C$44,1900*'Deterministic LCCA'!$C$32)</f>
        <v/>
      </c>
      <c r="J11" s="197">
        <f>H11-I11</f>
        <v/>
      </c>
      <c r="K11" s="261">
        <f>IF(K10=0, IF(J11&lt;0,0,J11+K10), IF((K10+J11)&lt;0,0,K10+J11))</f>
        <v/>
      </c>
      <c r="L11" s="185">
        <f>IF($A11="WZ",IF(J11&lt;0,H11,I11),0)</f>
        <v/>
      </c>
      <c r="M11" s="196">
        <f>IF(K11&gt;0,I11,0)</f>
        <v/>
      </c>
      <c r="N11" s="197">
        <f>IF(K11=0,0,H11)</f>
        <v/>
      </c>
      <c r="O11" s="197" t="n">
        <v>0</v>
      </c>
      <c r="P11" s="262" t="n">
        <v>0</v>
      </c>
      <c r="Q11" s="255">
        <f>IF(K$1="No activity",0,IF($G11*(1+'Deterministic LCCA'!$B$31)^L$1&gt;'Deterministic LCCA'!$E$45*'Deterministic LCCA'!$C$32,'Deterministic LCCA'!$E$45*'Deterministic LCCA'!$C$32, $G11*(1+'Deterministic LCCA'!$B$31)^L$1))</f>
        <v/>
      </c>
      <c r="R11" s="185">
        <f>IF($A11="WZ",'Deterministic LCCA'!$C$45*'Deterministic LCCA'!$C$44,1900*'Deterministic LCCA'!$E$32)</f>
        <v/>
      </c>
      <c r="S11" s="197">
        <f>Q11-R11</f>
        <v/>
      </c>
      <c r="T11" s="261">
        <f>IF(T10=0, IF(S11&lt;0,0,S11+T10), IF((T10+S11)&lt;0,0,T10+S11))</f>
        <v/>
      </c>
      <c r="U11" s="185">
        <f>IF($A11="WZ",IF(S11&lt;0,Q11,R11),0)</f>
        <v/>
      </c>
      <c r="V11" s="196">
        <f>IF(T11&gt;0,R11,0)</f>
        <v/>
      </c>
      <c r="W11" s="197">
        <f>IF(T11=0,0,Q11)</f>
        <v/>
      </c>
      <c r="X11" s="197" t="n">
        <v>0</v>
      </c>
      <c r="Y11" s="263">
        <f>(T11+T10)/2</f>
        <v/>
      </c>
      <c r="Z11" s="255">
        <f>IF(Z$1="No activity",0,IF($F11*(1+'Deterministic LCCA'!$B$31)^AB$1&gt;'Deterministic LCCA'!$E$45*'Deterministic LCCA'!$C$32,'Deterministic LCCA'!$E$45*'Deterministic LCCA'!$C$32, $F11*(1+'Deterministic LCCA'!$B$31)^AB$1))</f>
        <v/>
      </c>
      <c r="AA11" s="185">
        <f>IF($A11="WZ",'Deterministic LCCA'!$C$45*'Deterministic LCCA'!$C$44,1900*'Deterministic LCCA'!$C$32)</f>
        <v/>
      </c>
      <c r="AB11" s="197">
        <f>Z11-AA11</f>
        <v/>
      </c>
      <c r="AC11" s="261">
        <f>IF(AC10=0, IF(AB11&lt;0,0,AB11+AC10), IF((AC10+AB11)&lt;0,0,AC10+AB11))</f>
        <v/>
      </c>
      <c r="AD11" s="185">
        <f>IF($A11="WZ",IF(AB11&lt;0,Z11,AA11),0)</f>
        <v/>
      </c>
      <c r="AE11" s="196">
        <f>IF(AC11&gt;0,AA11,0)</f>
        <v/>
      </c>
      <c r="AF11" s="197">
        <f>IF(AC11=0,0,Z11)</f>
        <v/>
      </c>
      <c r="AG11" s="197" t="n">
        <v>0</v>
      </c>
      <c r="AH11" s="262" t="n">
        <v>0</v>
      </c>
      <c r="AI11" s="255">
        <f>IF(Z$1="No activity",0,IF($G11*(1+'Deterministic LCCA'!$B$31)^AB$1&gt;'Deterministic LCCA'!$E$45*'Deterministic LCCA'!$C$32,'Deterministic LCCA'!$E$45*'Deterministic LCCA'!$C$32, $G11*(1+'Deterministic LCCA'!$B$31)^AB$1))</f>
        <v/>
      </c>
      <c r="AJ11" s="185">
        <f>IF($A11="WZ",'Deterministic LCCA'!$C$45*'Deterministic LCCA'!$C$44,1900*'Deterministic LCCA'!$E$32)</f>
        <v/>
      </c>
      <c r="AK11" s="197">
        <f>AI11-AJ11</f>
        <v/>
      </c>
      <c r="AL11" s="261">
        <f>IF(AL10=0, IF(AK11&lt;0,0,AK11+AL10), IF((AL10+AK11)&lt;0,0,AL10+AK11))</f>
        <v/>
      </c>
      <c r="AM11" s="185">
        <f>IF($A11="WZ",IF(AK11&lt;0,AI11,AJ11),0)</f>
        <v/>
      </c>
      <c r="AN11" s="196">
        <f>IF(AL11&gt;0,AJ11,0)</f>
        <v/>
      </c>
      <c r="AO11" s="197">
        <f>IF(AL11=0,0,AI11)</f>
        <v/>
      </c>
      <c r="AP11" s="197" t="n">
        <v>0</v>
      </c>
      <c r="AQ11" s="263">
        <f>(AL11+AL10)/2</f>
        <v/>
      </c>
    </row>
    <row r="12" spans="1:43">
      <c r="A12" s="228">
        <f>IF('Deterministic LCCA'!H33="Y", "WZ","Non-WZ")</f>
        <v/>
      </c>
      <c r="B12" s="259" t="s">
        <v>81</v>
      </c>
      <c r="C12" s="260" t="n">
        <v>7.8</v>
      </c>
      <c r="D12" s="196" t="n">
        <v>60</v>
      </c>
      <c r="E12" s="196">
        <f>100-D12</f>
        <v/>
      </c>
      <c r="F12" s="185">
        <f>'Deterministic LCCA'!$B$29*C12/100*D12/100</f>
        <v/>
      </c>
      <c r="G12" s="186">
        <f>'Deterministic LCCA'!$B$29*C12/100*E12/100</f>
        <v/>
      </c>
      <c r="H12" s="255">
        <f>IF(B$1="No activity",0,IF($F12*(1+'Deterministic LCCA'!$B$31)^C$1&gt;'Deterministic LCCA'!$E$45*'Deterministic LCCA'!$C$32,'Deterministic LCCA'!$E$45*'Deterministic LCCA'!$C$32, $F12*(1+'Deterministic LCCA'!$B$31)^C$1))</f>
        <v/>
      </c>
      <c r="I12" s="185">
        <f>IF($A12="WZ",'Deterministic LCCA'!$C$45*'Deterministic LCCA'!$C$44,1900*'Deterministic LCCA'!$C$32)</f>
        <v/>
      </c>
      <c r="J12" s="197">
        <f>H12-I12</f>
        <v/>
      </c>
      <c r="K12" s="261">
        <f>IF(K11=0, IF(J12&lt;0,0,J12+K11), IF((K11+J12)&lt;0,0,K11+J12))</f>
        <v/>
      </c>
      <c r="L12" s="185">
        <f>IF($A12="WZ",IF(J12&lt;0,H12,I12),0)</f>
        <v/>
      </c>
      <c r="M12" s="196">
        <f>IF(K12&gt;0,I12,0)</f>
        <v/>
      </c>
      <c r="N12" s="197">
        <f>IF(K12=0,0,H12)</f>
        <v/>
      </c>
      <c r="O12" s="197" t="n">
        <v>0</v>
      </c>
      <c r="P12" s="262" t="n">
        <v>0</v>
      </c>
      <c r="Q12" s="255">
        <f>IF(K$1="No activity",0,IF($G12*(1+'Deterministic LCCA'!$B$31)^L$1&gt;'Deterministic LCCA'!$E$45*'Deterministic LCCA'!$C$32,'Deterministic LCCA'!$E$45*'Deterministic LCCA'!$C$32, $G12*(1+'Deterministic LCCA'!$B$31)^L$1))</f>
        <v/>
      </c>
      <c r="R12" s="185">
        <f>IF($A12="WZ",'Deterministic LCCA'!$C$45*'Deterministic LCCA'!$C$44,1900*'Deterministic LCCA'!$E$32)</f>
        <v/>
      </c>
      <c r="S12" s="197">
        <f>Q12-R12</f>
        <v/>
      </c>
      <c r="T12" s="261">
        <f>IF(T11=0, IF(S12&lt;0,0,S12+T11), IF((T11+S12)&lt;0,0,T11+S12))</f>
        <v/>
      </c>
      <c r="U12" s="185">
        <f>IF($A12="WZ",IF(S12&lt;0,Q12,R12),0)</f>
        <v/>
      </c>
      <c r="V12" s="196">
        <f>IF(T12&gt;0,R12,0)</f>
        <v/>
      </c>
      <c r="W12" s="197">
        <f>IF(T12=0,0,Q12)</f>
        <v/>
      </c>
      <c r="X12" s="197" t="n">
        <v>0</v>
      </c>
      <c r="Y12" s="263">
        <f>(T12+T11)/2</f>
        <v/>
      </c>
      <c r="Z12" s="255">
        <f>IF(Z$1="No activity",0,IF($F12*(1+'Deterministic LCCA'!$B$31)^AB$1&gt;'Deterministic LCCA'!$E$45*'Deterministic LCCA'!$C$32,'Deterministic LCCA'!$E$45*'Deterministic LCCA'!$C$32, $F12*(1+'Deterministic LCCA'!$B$31)^AB$1))</f>
        <v/>
      </c>
      <c r="AA12" s="185">
        <f>IF($A12="WZ",'Deterministic LCCA'!$C$45*'Deterministic LCCA'!$C$44,1900*'Deterministic LCCA'!$C$32)</f>
        <v/>
      </c>
      <c r="AB12" s="197">
        <f>Z12-AA12</f>
        <v/>
      </c>
      <c r="AC12" s="261">
        <f>IF(AC11=0, IF(AB12&lt;0,0,AB12+AC11), IF((AC11+AB12)&lt;0,0,AC11+AB12))</f>
        <v/>
      </c>
      <c r="AD12" s="185">
        <f>IF($A12="WZ",IF(AB12&lt;0,Z12,AA12),0)</f>
        <v/>
      </c>
      <c r="AE12" s="196">
        <f>IF(AC12&gt;0,AA12,0)</f>
        <v/>
      </c>
      <c r="AF12" s="197">
        <f>IF(AC12=0,0,Z12)</f>
        <v/>
      </c>
      <c r="AG12" s="197" t="n">
        <v>0</v>
      </c>
      <c r="AH12" s="262" t="n">
        <v>0</v>
      </c>
      <c r="AI12" s="255">
        <f>IF(Z$1="No activity",0,IF($G12*(1+'Deterministic LCCA'!$B$31)^AB$1&gt;'Deterministic LCCA'!$E$45*'Deterministic LCCA'!$C$32,'Deterministic LCCA'!$E$45*'Deterministic LCCA'!$C$32, $G12*(1+'Deterministic LCCA'!$B$31)^AB$1))</f>
        <v/>
      </c>
      <c r="AJ12" s="185">
        <f>IF($A12="WZ",'Deterministic LCCA'!$C$45*'Deterministic LCCA'!$C$44,1900*'Deterministic LCCA'!$E$32)</f>
        <v/>
      </c>
      <c r="AK12" s="197">
        <f>AI12-AJ12</f>
        <v/>
      </c>
      <c r="AL12" s="261">
        <f>IF(AL11=0, IF(AK12&lt;0,0,AK12+AL11), IF((AL11+AK12)&lt;0,0,AL11+AK12))</f>
        <v/>
      </c>
      <c r="AM12" s="185">
        <f>IF($A12="WZ",IF(AK12&lt;0,AI12,AJ12),0)</f>
        <v/>
      </c>
      <c r="AN12" s="196">
        <f>IF(AL12&gt;0,AJ12,0)</f>
        <v/>
      </c>
      <c r="AO12" s="197">
        <f>IF(AL12=0,0,AI12)</f>
        <v/>
      </c>
      <c r="AP12" s="197" t="n">
        <v>0</v>
      </c>
      <c r="AQ12" s="263">
        <f>(AL12+AL11)/2</f>
        <v/>
      </c>
    </row>
    <row r="13" spans="1:43">
      <c r="A13" s="228">
        <f>IF('Deterministic LCCA'!H34="Y", "WZ","Non-WZ")</f>
        <v/>
      </c>
      <c r="B13" s="259" t="s">
        <v>82</v>
      </c>
      <c r="C13" s="260" t="n">
        <v>6.3</v>
      </c>
      <c r="D13" s="196" t="n">
        <v>59</v>
      </c>
      <c r="E13" s="196">
        <f>100-D13</f>
        <v/>
      </c>
      <c r="F13" s="185">
        <f>'Deterministic LCCA'!$B$29*C13/100*D13/100</f>
        <v/>
      </c>
      <c r="G13" s="186">
        <f>'Deterministic LCCA'!$B$29*C13/100*E13/100</f>
        <v/>
      </c>
      <c r="H13" s="255">
        <f>IF(B$1="No activity",0,IF($F13*(1+'Deterministic LCCA'!$B$31)^C$1&gt;'Deterministic LCCA'!$E$45*'Deterministic LCCA'!$C$32,'Deterministic LCCA'!$E$45*'Deterministic LCCA'!$C$32, $F13*(1+'Deterministic LCCA'!$B$31)^C$1))</f>
        <v/>
      </c>
      <c r="I13" s="185">
        <f>IF($A13="WZ",'Deterministic LCCA'!$C$45*'Deterministic LCCA'!$C$44,1900*'Deterministic LCCA'!$C$32)</f>
        <v/>
      </c>
      <c r="J13" s="197">
        <f>H13-I13</f>
        <v/>
      </c>
      <c r="K13" s="261">
        <f>IF(K12=0, IF(J13&lt;0,0,J13+K12), IF((K12+J13)&lt;0,0,K12+J13))</f>
        <v/>
      </c>
      <c r="L13" s="185">
        <f>IF($A13="WZ",IF(J13&lt;0,H13,I13),0)</f>
        <v/>
      </c>
      <c r="M13" s="196">
        <f>IF(K13&gt;0,I13,0)</f>
        <v/>
      </c>
      <c r="N13" s="197">
        <f>IF(K13=0,0,H13)</f>
        <v/>
      </c>
      <c r="O13" s="197" t="n">
        <v>0</v>
      </c>
      <c r="P13" s="262" t="n">
        <v>0</v>
      </c>
      <c r="Q13" s="255">
        <f>IF(K$1="No activity",0,IF($G13*(1+'Deterministic LCCA'!$B$31)^L$1&gt;'Deterministic LCCA'!$E$45*'Deterministic LCCA'!$C$32,'Deterministic LCCA'!$E$45*'Deterministic LCCA'!$C$32, $G13*(1+'Deterministic LCCA'!$B$31)^L$1))</f>
        <v/>
      </c>
      <c r="R13" s="185">
        <f>IF($A13="WZ",'Deterministic LCCA'!$C$45*'Deterministic LCCA'!$C$44,1900*'Deterministic LCCA'!$E$32)</f>
        <v/>
      </c>
      <c r="S13" s="197">
        <f>Q13-R13</f>
        <v/>
      </c>
      <c r="T13" s="261">
        <f>IF(T12=0, IF(S13&lt;0,0,S13+T12), IF((T12+S13)&lt;0,0,T12+S13))</f>
        <v/>
      </c>
      <c r="U13" s="185">
        <f>IF($A13="WZ",IF(S13&lt;0,Q13,R13),0)</f>
        <v/>
      </c>
      <c r="V13" s="196">
        <f>IF(T13&gt;0,R13,0)</f>
        <v/>
      </c>
      <c r="W13" s="197">
        <f>IF(T13=0,0,Q13)</f>
        <v/>
      </c>
      <c r="X13" s="197" t="n">
        <v>0</v>
      </c>
      <c r="Y13" s="263">
        <f>(T13+T12)/2</f>
        <v/>
      </c>
      <c r="Z13" s="255">
        <f>IF(Z$1="No activity",0,IF($F13*(1+'Deterministic LCCA'!$B$31)^AB$1&gt;'Deterministic LCCA'!$E$45*'Deterministic LCCA'!$C$32,'Deterministic LCCA'!$E$45*'Deterministic LCCA'!$C$32, $F13*(1+'Deterministic LCCA'!$B$31)^AB$1))</f>
        <v/>
      </c>
      <c r="AA13" s="185">
        <f>IF($A13="WZ",'Deterministic LCCA'!$C$45*'Deterministic LCCA'!$C$44,1900*'Deterministic LCCA'!$C$32)</f>
        <v/>
      </c>
      <c r="AB13" s="197">
        <f>Z13-AA13</f>
        <v/>
      </c>
      <c r="AC13" s="261">
        <f>IF(AC12=0, IF(AB13&lt;0,0,AB13+AC12), IF((AC12+AB13)&lt;0,0,AC12+AB13))</f>
        <v/>
      </c>
      <c r="AD13" s="185">
        <f>IF($A13="WZ",IF(AB13&lt;0,Z13,AA13),0)</f>
        <v/>
      </c>
      <c r="AE13" s="196">
        <f>IF(AC13&gt;0,AA13,0)</f>
        <v/>
      </c>
      <c r="AF13" s="197">
        <f>IF(AC13=0,0,Z13)</f>
        <v/>
      </c>
      <c r="AG13" s="197" t="n">
        <v>0</v>
      </c>
      <c r="AH13" s="262" t="n">
        <v>0</v>
      </c>
      <c r="AI13" s="255">
        <f>IF(Z$1="No activity",0,IF($G13*(1+'Deterministic LCCA'!$B$31)^AB$1&gt;'Deterministic LCCA'!$E$45*'Deterministic LCCA'!$C$32,'Deterministic LCCA'!$E$45*'Deterministic LCCA'!$C$32, $G13*(1+'Deterministic LCCA'!$B$31)^AB$1))</f>
        <v/>
      </c>
      <c r="AJ13" s="185">
        <f>IF($A13="WZ",'Deterministic LCCA'!$C$45*'Deterministic LCCA'!$C$44,1900*'Deterministic LCCA'!$E$32)</f>
        <v/>
      </c>
      <c r="AK13" s="197">
        <f>AI13-AJ13</f>
        <v/>
      </c>
      <c r="AL13" s="261">
        <f>IF(AL12=0, IF(AK13&lt;0,0,AK13+AL12), IF((AL12+AK13)&lt;0,0,AL12+AK13))</f>
        <v/>
      </c>
      <c r="AM13" s="185">
        <f>IF($A13="WZ",IF(AK13&lt;0,AI13,AJ13),0)</f>
        <v/>
      </c>
      <c r="AN13" s="196">
        <f>IF(AL13&gt;0,AJ13,0)</f>
        <v/>
      </c>
      <c r="AO13" s="197">
        <f>IF(AL13=0,0,AI13)</f>
        <v/>
      </c>
      <c r="AP13" s="197" t="n">
        <v>0</v>
      </c>
      <c r="AQ13" s="263">
        <f>(AL13+AL12)/2</f>
        <v/>
      </c>
    </row>
    <row r="14" spans="1:43">
      <c r="A14" s="228">
        <f>IF('Deterministic LCCA'!H35="Y", "WZ","Non-WZ")</f>
        <v/>
      </c>
      <c r="B14" s="259" t="s">
        <v>84</v>
      </c>
      <c r="C14" s="260" t="n">
        <v>5.2</v>
      </c>
      <c r="D14" s="196" t="n">
        <v>55</v>
      </c>
      <c r="E14" s="196">
        <f>100-D14</f>
        <v/>
      </c>
      <c r="F14" s="185">
        <f>'Deterministic LCCA'!$B$29*C14/100*D14/100</f>
        <v/>
      </c>
      <c r="G14" s="186">
        <f>'Deterministic LCCA'!$B$29*C14/100*E14/100</f>
        <v/>
      </c>
      <c r="H14" s="255">
        <f>IF(B$1="No activity",0,IF($F14*(1+'Deterministic LCCA'!$B$31)^C$1&gt;'Deterministic LCCA'!$E$45*'Deterministic LCCA'!$C$32,'Deterministic LCCA'!$E$45*'Deterministic LCCA'!$C$32, $F14*(1+'Deterministic LCCA'!$B$31)^C$1))</f>
        <v/>
      </c>
      <c r="I14" s="185">
        <f>IF($A14="WZ",'Deterministic LCCA'!$C$45*'Deterministic LCCA'!$C$44,1900*'Deterministic LCCA'!$C$32)</f>
        <v/>
      </c>
      <c r="J14" s="197">
        <f>H14-I14</f>
        <v/>
      </c>
      <c r="K14" s="261">
        <f>IF(K13=0, IF(J14&lt;0,0,J14+K13), IF((K13+J14)&lt;0,0,K13+J14))</f>
        <v/>
      </c>
      <c r="L14" s="185">
        <f>IF($A14="WZ",IF(J14&lt;0,H14,I14),0)</f>
        <v/>
      </c>
      <c r="M14" s="196">
        <f>IF(K14&gt;0,I14,0)</f>
        <v/>
      </c>
      <c r="N14" s="197">
        <f>IF(K14=0,0,H14)</f>
        <v/>
      </c>
      <c r="O14" s="197" t="n">
        <v>0</v>
      </c>
      <c r="P14" s="262" t="n">
        <v>0</v>
      </c>
      <c r="Q14" s="255">
        <f>IF(K$1="No activity",0,IF($G14*(1+'Deterministic LCCA'!$B$31)^L$1&gt;'Deterministic LCCA'!$E$45*'Deterministic LCCA'!$C$32,'Deterministic LCCA'!$E$45*'Deterministic LCCA'!$C$32, $G14*(1+'Deterministic LCCA'!$B$31)^L$1))</f>
        <v/>
      </c>
      <c r="R14" s="185">
        <f>IF($A14="WZ",'Deterministic LCCA'!$C$45*'Deterministic LCCA'!$C$44,1900*'Deterministic LCCA'!$E$32)</f>
        <v/>
      </c>
      <c r="S14" s="197">
        <f>Q14-R14</f>
        <v/>
      </c>
      <c r="T14" s="261">
        <f>IF(T13=0, IF(S14&lt;0,0,S14+T13), IF((T13+S14)&lt;0,0,T13+S14))</f>
        <v/>
      </c>
      <c r="U14" s="185">
        <f>IF($A14="WZ",IF(S14&lt;0,Q14,R14),0)</f>
        <v/>
      </c>
      <c r="V14" s="196">
        <f>IF(T14&gt;0,R14,0)</f>
        <v/>
      </c>
      <c r="W14" s="197">
        <f>IF(T14=0,0,Q14)</f>
        <v/>
      </c>
      <c r="X14" s="197" t="n">
        <v>0</v>
      </c>
      <c r="Y14" s="263">
        <f>(T14+T13)/2</f>
        <v/>
      </c>
      <c r="Z14" s="255">
        <f>IF(Z$1="No activity",0,IF($F14*(1+'Deterministic LCCA'!$B$31)^AB$1&gt;'Deterministic LCCA'!$E$45*'Deterministic LCCA'!$C$32,'Deterministic LCCA'!$E$45*'Deterministic LCCA'!$C$32, $F14*(1+'Deterministic LCCA'!$B$31)^AB$1))</f>
        <v/>
      </c>
      <c r="AA14" s="185">
        <f>IF($A14="WZ",'Deterministic LCCA'!$C$45*'Deterministic LCCA'!$C$44,1900*'Deterministic LCCA'!$C$32)</f>
        <v/>
      </c>
      <c r="AB14" s="197">
        <f>Z14-AA14</f>
        <v/>
      </c>
      <c r="AC14" s="261">
        <f>IF(AC13=0, IF(AB14&lt;0,0,AB14+AC13), IF((AC13+AB14)&lt;0,0,AC13+AB14))</f>
        <v/>
      </c>
      <c r="AD14" s="185">
        <f>IF($A14="WZ",IF(AB14&lt;0,Z14,AA14),0)</f>
        <v/>
      </c>
      <c r="AE14" s="196">
        <f>IF(AC14&gt;0,AA14,0)</f>
        <v/>
      </c>
      <c r="AF14" s="197">
        <f>IF(AC14=0,0,Z14)</f>
        <v/>
      </c>
      <c r="AG14" s="197" t="n">
        <v>0</v>
      </c>
      <c r="AH14" s="262" t="n">
        <v>0</v>
      </c>
      <c r="AI14" s="255">
        <f>IF(Z$1="No activity",0,IF($G14*(1+'Deterministic LCCA'!$B$31)^AB$1&gt;'Deterministic LCCA'!$E$45*'Deterministic LCCA'!$C$32,'Deterministic LCCA'!$E$45*'Deterministic LCCA'!$C$32, $G14*(1+'Deterministic LCCA'!$B$31)^AB$1))</f>
        <v/>
      </c>
      <c r="AJ14" s="185">
        <f>IF($A14="WZ",'Deterministic LCCA'!$C$45*'Deterministic LCCA'!$C$44,1900*'Deterministic LCCA'!$E$32)</f>
        <v/>
      </c>
      <c r="AK14" s="197">
        <f>AI14-AJ14</f>
        <v/>
      </c>
      <c r="AL14" s="261">
        <f>IF(AL13=0, IF(AK14&lt;0,0,AK14+AL13), IF((AL13+AK14)&lt;0,0,AL13+AK14))</f>
        <v/>
      </c>
      <c r="AM14" s="185">
        <f>IF($A14="WZ",IF(AK14&lt;0,AI14,AJ14),0)</f>
        <v/>
      </c>
      <c r="AN14" s="196">
        <f>IF(AL14&gt;0,AJ14,0)</f>
        <v/>
      </c>
      <c r="AO14" s="197">
        <f>IF(AL14=0,0,AI14)</f>
        <v/>
      </c>
      <c r="AP14" s="197" t="n">
        <v>0</v>
      </c>
      <c r="AQ14" s="263">
        <f>(AL14+AL13)/2</f>
        <v/>
      </c>
    </row>
    <row r="15" spans="1:43">
      <c r="A15" s="228">
        <f>IF('Deterministic LCCA'!H36="Y", "WZ","Non-WZ")</f>
        <v/>
      </c>
      <c r="B15" s="259" t="s">
        <v>86</v>
      </c>
      <c r="C15" s="260" t="n">
        <v>4.7</v>
      </c>
      <c r="D15" s="196" t="n">
        <v>46</v>
      </c>
      <c r="E15" s="196">
        <f>100-D15</f>
        <v/>
      </c>
      <c r="F15" s="185">
        <f>'Deterministic LCCA'!$B$29*C15/100*D15/100</f>
        <v/>
      </c>
      <c r="G15" s="186">
        <f>'Deterministic LCCA'!$B$29*C15/100*E15/100</f>
        <v/>
      </c>
      <c r="H15" s="255">
        <f>IF(B$1="No activity",0,IF($F15*(1+'Deterministic LCCA'!$B$31)^C$1&gt;'Deterministic LCCA'!$E$45*'Deterministic LCCA'!$C$32,'Deterministic LCCA'!$E$45*'Deterministic LCCA'!$C$32, $F15*(1+'Deterministic LCCA'!$B$31)^C$1))</f>
        <v/>
      </c>
      <c r="I15" s="185">
        <f>IF($A15="WZ",'Deterministic LCCA'!$C$45*'Deterministic LCCA'!$C$44,1900*'Deterministic LCCA'!$C$32)</f>
        <v/>
      </c>
      <c r="J15" s="197">
        <f>H15-I15</f>
        <v/>
      </c>
      <c r="K15" s="261">
        <f>IF(K14=0, IF(J15&lt;0,0,J15+K14), IF((K14+J15)&lt;0,0,K14+J15))</f>
        <v/>
      </c>
      <c r="L15" s="185">
        <f>IF($A15="WZ",IF(J15&lt;0,H15,I15),0)</f>
        <v/>
      </c>
      <c r="M15" s="196">
        <f>IF(K15&gt;0,I15,0)</f>
        <v/>
      </c>
      <c r="N15" s="197">
        <f>IF(K15=0,0,H15)</f>
        <v/>
      </c>
      <c r="O15" s="197" t="n">
        <v>0</v>
      </c>
      <c r="P15" s="198">
        <f>(K15+K14)/2</f>
        <v/>
      </c>
      <c r="Q15" s="255">
        <f>IF(K$1="No activity",0,IF($G15*(1+'Deterministic LCCA'!$B$31)^L$1&gt;'Deterministic LCCA'!$E$45*'Deterministic LCCA'!$C$32,'Deterministic LCCA'!$E$45*'Deterministic LCCA'!$C$32, $G15*(1+'Deterministic LCCA'!$B$31)^L$1))</f>
        <v/>
      </c>
      <c r="R15" s="185">
        <f>IF($A15="WZ",'Deterministic LCCA'!$C$45*'Deterministic LCCA'!$C$44,1900*'Deterministic LCCA'!$E$32)</f>
        <v/>
      </c>
      <c r="S15" s="197">
        <f>Q15-R15</f>
        <v/>
      </c>
      <c r="T15" s="261">
        <f>IF(T14=0, IF(S15&lt;0,0,S15+T14), IF((T14+S15)&lt;0,0,T14+S15))</f>
        <v/>
      </c>
      <c r="U15" s="185">
        <f>IF($A15="WZ",IF(S15&lt;0,Q15,R15),0)</f>
        <v/>
      </c>
      <c r="V15" s="196">
        <f>IF(T15&gt;0,R15,0)</f>
        <v/>
      </c>
      <c r="W15" s="197">
        <f>IF(T15=0,0,Q15)</f>
        <v/>
      </c>
      <c r="X15" s="197" t="n">
        <v>0</v>
      </c>
      <c r="Y15" s="263">
        <f>(T15+T14)/2</f>
        <v/>
      </c>
      <c r="Z15" s="255">
        <f>IF(Z$1="No activity",0,IF($F15*(1+'Deterministic LCCA'!$B$31)^AB$1&gt;'Deterministic LCCA'!$E$45*'Deterministic LCCA'!$C$32,'Deterministic LCCA'!$E$45*'Deterministic LCCA'!$C$32, $F15*(1+'Deterministic LCCA'!$B$31)^AB$1))</f>
        <v/>
      </c>
      <c r="AA15" s="185">
        <f>IF($A15="WZ",'Deterministic LCCA'!$C$45*'Deterministic LCCA'!$C$44,1900*'Deterministic LCCA'!$C$32)</f>
        <v/>
      </c>
      <c r="AB15" s="197">
        <f>Z15-AA15</f>
        <v/>
      </c>
      <c r="AC15" s="261">
        <f>IF(AC14=0, IF(AB15&lt;0,0,AB15+AC14), IF((AC14+AB15)&lt;0,0,AC14+AB15))</f>
        <v/>
      </c>
      <c r="AD15" s="185">
        <f>IF($A15="WZ",IF(AB15&lt;0,Z15,AA15),0)</f>
        <v/>
      </c>
      <c r="AE15" s="196">
        <f>IF(AC15&gt;0,AA15,0)</f>
        <v/>
      </c>
      <c r="AF15" s="197">
        <f>IF(AC15=0,0,Z15)</f>
        <v/>
      </c>
      <c r="AG15" s="197" t="n">
        <v>0</v>
      </c>
      <c r="AH15" s="198">
        <f>(AC15+AC14)/2</f>
        <v/>
      </c>
      <c r="AI15" s="255">
        <f>IF(Z$1="No activity",0,IF($G15*(1+'Deterministic LCCA'!$B$31)^AB$1&gt;'Deterministic LCCA'!$E$45*'Deterministic LCCA'!$C$32,'Deterministic LCCA'!$E$45*'Deterministic LCCA'!$C$32, $G15*(1+'Deterministic LCCA'!$B$31)^AB$1))</f>
        <v/>
      </c>
      <c r="AJ15" s="185">
        <f>IF($A15="WZ",'Deterministic LCCA'!$C$45*'Deterministic LCCA'!$C$44,1900*'Deterministic LCCA'!$E$32)</f>
        <v/>
      </c>
      <c r="AK15" s="197">
        <f>AI15-AJ15</f>
        <v/>
      </c>
      <c r="AL15" s="261">
        <f>IF(AL14=0, IF(AK15&lt;0,0,AK15+AL14), IF((AL14+AK15)&lt;0,0,AL14+AK15))</f>
        <v/>
      </c>
      <c r="AM15" s="185">
        <f>IF($A15="WZ",IF(AK15&lt;0,AI15,AJ15),0)</f>
        <v/>
      </c>
      <c r="AN15" s="196">
        <f>IF(AL15&gt;0,AJ15,0)</f>
        <v/>
      </c>
      <c r="AO15" s="197">
        <f>IF(AL15=0,0,AI15)</f>
        <v/>
      </c>
      <c r="AP15" s="197" t="n">
        <v>0</v>
      </c>
      <c r="AQ15" s="263">
        <f>(AL15+AL14)/2</f>
        <v/>
      </c>
    </row>
    <row r="16" spans="1:43">
      <c r="A16" s="228">
        <f>IF('Deterministic LCCA'!H37="Y", "WZ","Non-WZ")</f>
        <v/>
      </c>
      <c r="B16" s="259" t="s">
        <v>88</v>
      </c>
      <c r="C16" s="260" t="n">
        <v>5.3</v>
      </c>
      <c r="D16" s="196" t="n">
        <v>49</v>
      </c>
      <c r="E16" s="196">
        <f>100-D16</f>
        <v/>
      </c>
      <c r="F16" s="185">
        <f>'Deterministic LCCA'!$B$29*C16/100*D16/100</f>
        <v/>
      </c>
      <c r="G16" s="186">
        <f>'Deterministic LCCA'!$B$29*C16/100*E16/100</f>
        <v/>
      </c>
      <c r="H16" s="255">
        <f>IF(B$1="No activity",0,IF($F16*(1+'Deterministic LCCA'!$B$31)^C$1&gt;'Deterministic LCCA'!$E$45*'Deterministic LCCA'!$C$32,'Deterministic LCCA'!$E$45*'Deterministic LCCA'!$C$32, $F16*(1+'Deterministic LCCA'!$B$31)^C$1))</f>
        <v/>
      </c>
      <c r="I16" s="185">
        <f>IF($A16="WZ",'Deterministic LCCA'!$C$45*'Deterministic LCCA'!$C$44,1900*'Deterministic LCCA'!$C$32)</f>
        <v/>
      </c>
      <c r="J16" s="197">
        <f>H16-I16</f>
        <v/>
      </c>
      <c r="K16" s="261">
        <f>IF(K15=0, IF(J16&lt;0,0,J16+K15), IF((K15+J16)&lt;0,0,K15+J16))</f>
        <v/>
      </c>
      <c r="L16" s="185">
        <f>IF($A16="WZ",IF(J16&lt;0,H16,I16),0)</f>
        <v/>
      </c>
      <c r="M16" s="196">
        <f>IF(K16&gt;0,I16,0)</f>
        <v/>
      </c>
      <c r="N16" s="197">
        <f>IF(K16=0,0,H16)</f>
        <v/>
      </c>
      <c r="O16" s="197" t="n">
        <v>0</v>
      </c>
      <c r="P16" s="198">
        <f>(K16+K15)/2</f>
        <v/>
      </c>
      <c r="Q16" s="255">
        <f>IF(K$1="No activity",0,IF($G16*(1+'Deterministic LCCA'!$B$31)^L$1&gt;'Deterministic LCCA'!$E$45*'Deterministic LCCA'!$C$32,'Deterministic LCCA'!$E$45*'Deterministic LCCA'!$C$32, $G16*(1+'Deterministic LCCA'!$B$31)^L$1))</f>
        <v/>
      </c>
      <c r="R16" s="185">
        <f>IF($A16="WZ",'Deterministic LCCA'!$C$45*'Deterministic LCCA'!$C$44,1900*'Deterministic LCCA'!$E$32)</f>
        <v/>
      </c>
      <c r="S16" s="197">
        <f>Q16-R16</f>
        <v/>
      </c>
      <c r="T16" s="261">
        <f>IF(T15=0, IF(S16&lt;0,0,S16+T15), IF((T15+S16)&lt;0,0,T15+S16))</f>
        <v/>
      </c>
      <c r="U16" s="185">
        <f>IF($A16="WZ",IF(S16&lt;0,Q16,R16),0)</f>
        <v/>
      </c>
      <c r="V16" s="196">
        <f>IF(T16&gt;0,R16,0)</f>
        <v/>
      </c>
      <c r="W16" s="197">
        <f>IF(T16=0,0,Q16)</f>
        <v/>
      </c>
      <c r="X16" s="197" t="n">
        <v>0</v>
      </c>
      <c r="Y16" s="263">
        <f>(T16+T15)/2</f>
        <v/>
      </c>
      <c r="Z16" s="255">
        <f>IF(Z$1="No activity",0,IF($F16*(1+'Deterministic LCCA'!$B$31)^AB$1&gt;'Deterministic LCCA'!$E$45*'Deterministic LCCA'!$C$32,'Deterministic LCCA'!$E$45*'Deterministic LCCA'!$C$32, $F16*(1+'Deterministic LCCA'!$B$31)^AB$1))</f>
        <v/>
      </c>
      <c r="AA16" s="185">
        <f>IF($A16="WZ",'Deterministic LCCA'!$C$45*'Deterministic LCCA'!$C$44,1900*'Deterministic LCCA'!$C$32)</f>
        <v/>
      </c>
      <c r="AB16" s="197">
        <f>Z16-AA16</f>
        <v/>
      </c>
      <c r="AC16" s="261">
        <f>IF(AC15=0, IF(AB16&lt;0,0,AB16+AC15), IF((AC15+AB16)&lt;0,0,AC15+AB16))</f>
        <v/>
      </c>
      <c r="AD16" s="185">
        <f>IF($A16="WZ",IF(AB16&lt;0,Z16,AA16),0)</f>
        <v/>
      </c>
      <c r="AE16" s="196">
        <f>IF(AC16&gt;0,AA16,0)</f>
        <v/>
      </c>
      <c r="AF16" s="197">
        <f>IF(AC16=0,0,Z16)</f>
        <v/>
      </c>
      <c r="AG16" s="197" t="n">
        <v>0</v>
      </c>
      <c r="AH16" s="198">
        <f>(AC16+AC15)/2</f>
        <v/>
      </c>
      <c r="AI16" s="255">
        <f>IF(Z$1="No activity",0,IF($G16*(1+'Deterministic LCCA'!$B$31)^AB$1&gt;'Deterministic LCCA'!$E$45*'Deterministic LCCA'!$C$32,'Deterministic LCCA'!$E$45*'Deterministic LCCA'!$C$32, $G16*(1+'Deterministic LCCA'!$B$31)^AB$1))</f>
        <v/>
      </c>
      <c r="AJ16" s="185">
        <f>IF($A16="WZ",'Deterministic LCCA'!$C$45*'Deterministic LCCA'!$C$44,1900*'Deterministic LCCA'!$E$32)</f>
        <v/>
      </c>
      <c r="AK16" s="197">
        <f>AI16-AJ16</f>
        <v/>
      </c>
      <c r="AL16" s="261">
        <f>IF(AL15=0, IF(AK16&lt;0,0,AK16+AL15), IF((AL15+AK16)&lt;0,0,AL15+AK16))</f>
        <v/>
      </c>
      <c r="AM16" s="185">
        <f>IF($A16="WZ",IF(AK16&lt;0,AI16,AJ16),0)</f>
        <v/>
      </c>
      <c r="AN16" s="196">
        <f>IF(AL16&gt;0,AJ16,0)</f>
        <v/>
      </c>
      <c r="AO16" s="197">
        <f>IF(AL16=0,0,AI16)</f>
        <v/>
      </c>
      <c r="AP16" s="197" t="n">
        <v>0</v>
      </c>
      <c r="AQ16" s="263">
        <f>(AL16+AL15)/2</f>
        <v/>
      </c>
    </row>
    <row r="17" spans="1:43">
      <c r="A17" s="228">
        <f>IF('Deterministic LCCA'!H38="Y", "WZ","Non-WZ")</f>
        <v/>
      </c>
      <c r="B17" s="259" t="s">
        <v>90</v>
      </c>
      <c r="C17" s="260" t="n">
        <v>5.6</v>
      </c>
      <c r="D17" s="196" t="n">
        <v>50</v>
      </c>
      <c r="E17" s="196">
        <f>100-D17</f>
        <v/>
      </c>
      <c r="F17" s="185">
        <f>'Deterministic LCCA'!$B$29*C17/100*D17/100</f>
        <v/>
      </c>
      <c r="G17" s="186">
        <f>'Deterministic LCCA'!$B$29*C17/100*E17/100</f>
        <v/>
      </c>
      <c r="H17" s="255">
        <f>IF(B$1="No activity",0,IF($F17*(1+'Deterministic LCCA'!$B$31)^C$1&gt;'Deterministic LCCA'!$E$45*'Deterministic LCCA'!$C$32,'Deterministic LCCA'!$E$45*'Deterministic LCCA'!$C$32, $F17*(1+'Deterministic LCCA'!$B$31)^C$1))</f>
        <v/>
      </c>
      <c r="I17" s="185">
        <f>IF($A17="WZ",'Deterministic LCCA'!$C$45*'Deterministic LCCA'!$C$44,1900*'Deterministic LCCA'!$C$32)</f>
        <v/>
      </c>
      <c r="J17" s="197">
        <f>H17-I17</f>
        <v/>
      </c>
      <c r="K17" s="261">
        <f>IF(K16=0, IF(J17&lt;0,0,J17+K16), IF((K16+J17)&lt;0,0,K16+J17))</f>
        <v/>
      </c>
      <c r="L17" s="185">
        <f>IF($A17="WZ",IF(J17&lt;0,H17,I17),0)</f>
        <v/>
      </c>
      <c r="M17" s="196">
        <f>IF(K17&gt;0,I17,0)</f>
        <v/>
      </c>
      <c r="N17" s="197">
        <f>IF(K17=0,0,H17)</f>
        <v/>
      </c>
      <c r="O17" s="197" t="n">
        <v>0</v>
      </c>
      <c r="P17" s="198">
        <f>(K17+K16)/2</f>
        <v/>
      </c>
      <c r="Q17" s="255">
        <f>IF(K$1="No activity",0,IF($G17*(1+'Deterministic LCCA'!$B$31)^L$1&gt;'Deterministic LCCA'!$E$45*'Deterministic LCCA'!$C$32,'Deterministic LCCA'!$E$45*'Deterministic LCCA'!$C$32, $G17*(1+'Deterministic LCCA'!$B$31)^L$1))</f>
        <v/>
      </c>
      <c r="R17" s="185">
        <f>IF($A17="WZ",'Deterministic LCCA'!$C$45*'Deterministic LCCA'!$C$44,1900*'Deterministic LCCA'!$E$32)</f>
        <v/>
      </c>
      <c r="S17" s="197">
        <f>Q17-R17</f>
        <v/>
      </c>
      <c r="T17" s="261">
        <f>IF(T16=0, IF(S17&lt;0,0,S17+T16), IF((T16+S17)&lt;0,0,T16+S17))</f>
        <v/>
      </c>
      <c r="U17" s="185">
        <f>IF($A17="WZ",IF(S17&lt;0,Q17,R17),0)</f>
        <v/>
      </c>
      <c r="V17" s="196">
        <f>IF(T17&gt;0,R17,0)</f>
        <v/>
      </c>
      <c r="W17" s="197">
        <f>IF(T17=0,0,Q17)</f>
        <v/>
      </c>
      <c r="X17" s="197" t="n">
        <v>0</v>
      </c>
      <c r="Y17" s="263">
        <f>(T17+T16)/2</f>
        <v/>
      </c>
      <c r="Z17" s="255">
        <f>IF(Z$1="No activity",0,IF($F17*(1+'Deterministic LCCA'!$B$31)^AB$1&gt;'Deterministic LCCA'!$E$45*'Deterministic LCCA'!$C$32,'Deterministic LCCA'!$E$45*'Deterministic LCCA'!$C$32, $F17*(1+'Deterministic LCCA'!$B$31)^AB$1))</f>
        <v/>
      </c>
      <c r="AA17" s="185">
        <f>IF($A17="WZ",'Deterministic LCCA'!$C$45*'Deterministic LCCA'!$C$44,1900*'Deterministic LCCA'!$C$32)</f>
        <v/>
      </c>
      <c r="AB17" s="197">
        <f>Z17-AA17</f>
        <v/>
      </c>
      <c r="AC17" s="261">
        <f>IF(AC16=0, IF(AB17&lt;0,0,AB17+AC16), IF((AC16+AB17)&lt;0,0,AC16+AB17))</f>
        <v/>
      </c>
      <c r="AD17" s="185">
        <f>IF($A17="WZ",IF(AB17&lt;0,Z17,AA17),0)</f>
        <v/>
      </c>
      <c r="AE17" s="196">
        <f>IF(AC17&gt;0,AA17,0)</f>
        <v/>
      </c>
      <c r="AF17" s="197">
        <f>IF(AC17=0,0,Z17)</f>
        <v/>
      </c>
      <c r="AG17" s="197" t="n">
        <v>0</v>
      </c>
      <c r="AH17" s="198">
        <f>(AC17+AC16)/2</f>
        <v/>
      </c>
      <c r="AI17" s="255">
        <f>IF(Z$1="No activity",0,IF($G17*(1+'Deterministic LCCA'!$B$31)^AB$1&gt;'Deterministic LCCA'!$E$45*'Deterministic LCCA'!$C$32,'Deterministic LCCA'!$E$45*'Deterministic LCCA'!$C$32, $G17*(1+'Deterministic LCCA'!$B$31)^AB$1))</f>
        <v/>
      </c>
      <c r="AJ17" s="185">
        <f>IF($A17="WZ",'Deterministic LCCA'!$C$45*'Deterministic LCCA'!$C$44,1900*'Deterministic LCCA'!$E$32)</f>
        <v/>
      </c>
      <c r="AK17" s="197">
        <f>AI17-AJ17</f>
        <v/>
      </c>
      <c r="AL17" s="261">
        <f>IF(AL16=0, IF(AK17&lt;0,0,AK17+AL16), IF((AL16+AK17)&lt;0,0,AL16+AK17))</f>
        <v/>
      </c>
      <c r="AM17" s="185">
        <f>IF($A17="WZ",IF(AK17&lt;0,AI17,AJ17),0)</f>
        <v/>
      </c>
      <c r="AN17" s="196">
        <f>IF(AL17&gt;0,AJ17,0)</f>
        <v/>
      </c>
      <c r="AO17" s="197">
        <f>IF(AL17=0,0,AI17)</f>
        <v/>
      </c>
      <c r="AP17" s="197" t="n">
        <v>0</v>
      </c>
      <c r="AQ17" s="263">
        <f>(AL17+AL16)/2</f>
        <v/>
      </c>
    </row>
    <row r="18" spans="1:43">
      <c r="A18" s="228">
        <f>IF('Deterministic LCCA'!H39="Y", "WZ","Non-WZ")</f>
        <v/>
      </c>
      <c r="B18" s="259" t="s">
        <v>92</v>
      </c>
      <c r="C18" s="260" t="n">
        <v>5.7</v>
      </c>
      <c r="D18" s="196" t="n">
        <v>50</v>
      </c>
      <c r="E18" s="196">
        <f>100-D18</f>
        <v/>
      </c>
      <c r="F18" s="185">
        <f>'Deterministic LCCA'!$B$29*C18/100*D18/100</f>
        <v/>
      </c>
      <c r="G18" s="186">
        <f>'Deterministic LCCA'!$B$29*C18/100*E18/100</f>
        <v/>
      </c>
      <c r="H18" s="255">
        <f>IF(B$1="No activity",0,IF($F18*(1+'Deterministic LCCA'!$B$31)^C$1&gt;'Deterministic LCCA'!$E$45*'Deterministic LCCA'!$C$32,'Deterministic LCCA'!$E$45*'Deterministic LCCA'!$C$32, $F18*(1+'Deterministic LCCA'!$B$31)^C$1))</f>
        <v/>
      </c>
      <c r="I18" s="185">
        <f>IF($A18="WZ",'Deterministic LCCA'!$C$45*'Deterministic LCCA'!$C$44,1900*'Deterministic LCCA'!$C$32)</f>
        <v/>
      </c>
      <c r="J18" s="197">
        <f>H18-I18</f>
        <v/>
      </c>
      <c r="K18" s="261">
        <f>IF(K17=0, IF(J18&lt;0,0,J18+K17), IF((K17+J18)&lt;0,0,K17+J18))</f>
        <v/>
      </c>
      <c r="L18" s="185">
        <f>IF($A18="WZ",IF(J18&lt;0,H18,I18),0)</f>
        <v/>
      </c>
      <c r="M18" s="196">
        <f>IF(K18&gt;0,I18,0)</f>
        <v/>
      </c>
      <c r="N18" s="197">
        <f>IF(K18=0,0,H18)</f>
        <v/>
      </c>
      <c r="O18" s="197" t="n">
        <v>0</v>
      </c>
      <c r="P18" s="198">
        <f>(K18+K17)/2</f>
        <v/>
      </c>
      <c r="Q18" s="255">
        <f>IF(K$1="No activity",0,IF($G18*(1+'Deterministic LCCA'!$B$31)^L$1&gt;'Deterministic LCCA'!$E$45*'Deterministic LCCA'!$C$32,'Deterministic LCCA'!$E$45*'Deterministic LCCA'!$C$32, $G18*(1+'Deterministic LCCA'!$B$31)^L$1))</f>
        <v/>
      </c>
      <c r="R18" s="185">
        <f>IF($A18="WZ",'Deterministic LCCA'!$C$45*'Deterministic LCCA'!$C$44,1900*'Deterministic LCCA'!$E$32)</f>
        <v/>
      </c>
      <c r="S18" s="197">
        <f>Q18-R18</f>
        <v/>
      </c>
      <c r="T18" s="261">
        <f>IF(T17=0, IF(S18&lt;0,0,S18+T17), IF((T17+S18)&lt;0,0,T17+S18))</f>
        <v/>
      </c>
      <c r="U18" s="185">
        <f>IF($A18="WZ",IF(S18&lt;0,Q18,R18),0)</f>
        <v/>
      </c>
      <c r="V18" s="196">
        <f>IF(T18&gt;0,R18,0)</f>
        <v/>
      </c>
      <c r="W18" s="197">
        <f>IF(T18=0,0,Q18)</f>
        <v/>
      </c>
      <c r="X18" s="197" t="n">
        <v>0</v>
      </c>
      <c r="Y18" s="263">
        <f>(T18+T17)/2</f>
        <v/>
      </c>
      <c r="Z18" s="255">
        <f>IF(Z$1="No activity",0,IF($F18*(1+'Deterministic LCCA'!$B$31)^AB$1&gt;'Deterministic LCCA'!$E$45*'Deterministic LCCA'!$C$32,'Deterministic LCCA'!$E$45*'Deterministic LCCA'!$C$32, $F18*(1+'Deterministic LCCA'!$B$31)^AB$1))</f>
        <v/>
      </c>
      <c r="AA18" s="185">
        <f>IF($A18="WZ",'Deterministic LCCA'!$C$45*'Deterministic LCCA'!$C$44,1900*'Deterministic LCCA'!$C$32)</f>
        <v/>
      </c>
      <c r="AB18" s="197">
        <f>Z18-AA18</f>
        <v/>
      </c>
      <c r="AC18" s="261">
        <f>IF(AC17=0, IF(AB18&lt;0,0,AB18+AC17), IF((AC17+AB18)&lt;0,0,AC17+AB18))</f>
        <v/>
      </c>
      <c r="AD18" s="185">
        <f>IF($A18="WZ",IF(AB18&lt;0,Z18,AA18),0)</f>
        <v/>
      </c>
      <c r="AE18" s="196">
        <f>IF(AC18&gt;0,AA18,0)</f>
        <v/>
      </c>
      <c r="AF18" s="197">
        <f>IF(AC18=0,0,Z18)</f>
        <v/>
      </c>
      <c r="AG18" s="197" t="n">
        <v>0</v>
      </c>
      <c r="AH18" s="198">
        <f>(AC18+AC17)/2</f>
        <v/>
      </c>
      <c r="AI18" s="255">
        <f>IF(Z$1="No activity",0,IF($G18*(1+'Deterministic LCCA'!$B$31)^AB$1&gt;'Deterministic LCCA'!$E$45*'Deterministic LCCA'!$C$32,'Deterministic LCCA'!$E$45*'Deterministic LCCA'!$C$32, $G18*(1+'Deterministic LCCA'!$B$31)^AB$1))</f>
        <v/>
      </c>
      <c r="AJ18" s="185">
        <f>IF($A18="WZ",'Deterministic LCCA'!$C$45*'Deterministic LCCA'!$C$44,1900*'Deterministic LCCA'!$E$32)</f>
        <v/>
      </c>
      <c r="AK18" s="197">
        <f>AI18-AJ18</f>
        <v/>
      </c>
      <c r="AL18" s="261">
        <f>IF(AL17=0, IF(AK18&lt;0,0,AK18+AL17), IF((AL17+AK18)&lt;0,0,AL17+AK18))</f>
        <v/>
      </c>
      <c r="AM18" s="185">
        <f>IF($A18="WZ",IF(AK18&lt;0,AI18,AJ18),0)</f>
        <v/>
      </c>
      <c r="AN18" s="196">
        <f>IF(AL18&gt;0,AJ18,0)</f>
        <v/>
      </c>
      <c r="AO18" s="197">
        <f>IF(AL18=0,0,AI18)</f>
        <v/>
      </c>
      <c r="AP18" s="197" t="n">
        <v>0</v>
      </c>
      <c r="AQ18" s="263">
        <f>(AL18+AL17)/2</f>
        <v/>
      </c>
    </row>
    <row r="19" spans="1:43">
      <c r="A19" s="228">
        <f>IF('Deterministic LCCA'!H40="Y", "WZ","Non-WZ")</f>
        <v/>
      </c>
      <c r="B19" s="259" t="s">
        <v>94</v>
      </c>
      <c r="C19" s="260" t="n">
        <v>5.9</v>
      </c>
      <c r="D19" s="196" t="n">
        <v>49</v>
      </c>
      <c r="E19" s="196">
        <f>100-D19</f>
        <v/>
      </c>
      <c r="F19" s="185">
        <f>'Deterministic LCCA'!$B$29*C19/100*D19/100</f>
        <v/>
      </c>
      <c r="G19" s="186">
        <f>'Deterministic LCCA'!$B$29*C19/100*E19/100</f>
        <v/>
      </c>
      <c r="H19" s="255">
        <f>IF(B$1="No activity",0,IF($F19*(1+'Deterministic LCCA'!$B$31)^C$1&gt;'Deterministic LCCA'!$E$45*'Deterministic LCCA'!$C$32,'Deterministic LCCA'!$E$45*'Deterministic LCCA'!$C$32, $F19*(1+'Deterministic LCCA'!$B$31)^C$1))</f>
        <v/>
      </c>
      <c r="I19" s="185">
        <f>IF($A19="WZ",'Deterministic LCCA'!$C$45*'Deterministic LCCA'!$C$44,1900*'Deterministic LCCA'!$C$32)</f>
        <v/>
      </c>
      <c r="J19" s="197">
        <f>H19-I19</f>
        <v/>
      </c>
      <c r="K19" s="261">
        <f>IF(K18=0, IF(J19&lt;0,0,J19+K18), IF((K18+J19)&lt;0,0,K18+J19))</f>
        <v/>
      </c>
      <c r="L19" s="185">
        <f>IF($A19="WZ",IF(J19&lt;0,H19,I19),0)</f>
        <v/>
      </c>
      <c r="M19" s="196">
        <f>IF(K19&gt;0,I19,0)</f>
        <v/>
      </c>
      <c r="N19" s="197">
        <f>IF(K19=0,0,H19)</f>
        <v/>
      </c>
      <c r="O19" s="197" t="n">
        <v>0</v>
      </c>
      <c r="P19" s="198">
        <f>(K19+K18)/2</f>
        <v/>
      </c>
      <c r="Q19" s="255">
        <f>IF(K$1="No activity",0,IF($G19*(1+'Deterministic LCCA'!$B$31)^L$1&gt;'Deterministic LCCA'!$E$45*'Deterministic LCCA'!$C$32,'Deterministic LCCA'!$E$45*'Deterministic LCCA'!$C$32, $G19*(1+'Deterministic LCCA'!$B$31)^L$1))</f>
        <v/>
      </c>
      <c r="R19" s="185">
        <f>IF($A19="WZ",'Deterministic LCCA'!$C$45*'Deterministic LCCA'!$C$44,1900*'Deterministic LCCA'!$E$32)</f>
        <v/>
      </c>
      <c r="S19" s="197">
        <f>Q19-R19</f>
        <v/>
      </c>
      <c r="T19" s="261">
        <f>IF(T18=0, IF(S19&lt;0,0,S19+T18), IF((T18+S19)&lt;0,0,T18+S19))</f>
        <v/>
      </c>
      <c r="U19" s="185">
        <f>IF($A19="WZ",IF(S19&lt;0,Q19,R19),0)</f>
        <v/>
      </c>
      <c r="V19" s="196">
        <f>IF(T19&gt;0,R19,0)</f>
        <v/>
      </c>
      <c r="W19" s="197">
        <f>IF(T19=0,0,Q19)</f>
        <v/>
      </c>
      <c r="X19" s="197" t="n">
        <v>0</v>
      </c>
      <c r="Y19" s="263">
        <f>(T19+T18)/2</f>
        <v/>
      </c>
      <c r="Z19" s="255">
        <f>IF(Z$1="No activity",0,IF($F19*(1+'Deterministic LCCA'!$B$31)^AB$1&gt;'Deterministic LCCA'!$E$45*'Deterministic LCCA'!$C$32,'Deterministic LCCA'!$E$45*'Deterministic LCCA'!$C$32, $F19*(1+'Deterministic LCCA'!$B$31)^AB$1))</f>
        <v/>
      </c>
      <c r="AA19" s="185">
        <f>IF($A19="WZ",'Deterministic LCCA'!$C$45*'Deterministic LCCA'!$C$44,1900*'Deterministic LCCA'!$C$32)</f>
        <v/>
      </c>
      <c r="AB19" s="197">
        <f>Z19-AA19</f>
        <v/>
      </c>
      <c r="AC19" s="261">
        <f>IF(AC18=0, IF(AB19&lt;0,0,AB19+AC18), IF((AC18+AB19)&lt;0,0,AC18+AB19))</f>
        <v/>
      </c>
      <c r="AD19" s="185">
        <f>IF($A19="WZ",IF(AB19&lt;0,Z19,AA19),0)</f>
        <v/>
      </c>
      <c r="AE19" s="196">
        <f>IF(AC19&gt;0,AA19,0)</f>
        <v/>
      </c>
      <c r="AF19" s="197">
        <f>IF(AC19=0,0,Z19)</f>
        <v/>
      </c>
      <c r="AG19" s="197" t="n">
        <v>0</v>
      </c>
      <c r="AH19" s="198">
        <f>(AC19+AC18)/2</f>
        <v/>
      </c>
      <c r="AI19" s="255">
        <f>IF(Z$1="No activity",0,IF($G19*(1+'Deterministic LCCA'!$B$31)^AB$1&gt;'Deterministic LCCA'!$E$45*'Deterministic LCCA'!$C$32,'Deterministic LCCA'!$E$45*'Deterministic LCCA'!$C$32, $G19*(1+'Deterministic LCCA'!$B$31)^AB$1))</f>
        <v/>
      </c>
      <c r="AJ19" s="185">
        <f>IF($A19="WZ",'Deterministic LCCA'!$C$45*'Deterministic LCCA'!$C$44,1900*'Deterministic LCCA'!$E$32)</f>
        <v/>
      </c>
      <c r="AK19" s="197">
        <f>AI19-AJ19</f>
        <v/>
      </c>
      <c r="AL19" s="261">
        <f>IF(AL18=0, IF(AK19&lt;0,0,AK19+AL18), IF((AL18+AK19)&lt;0,0,AL18+AK19))</f>
        <v/>
      </c>
      <c r="AM19" s="185">
        <f>IF($A19="WZ",IF(AK19&lt;0,AI19,AJ19),0)</f>
        <v/>
      </c>
      <c r="AN19" s="196">
        <f>IF(AL19&gt;0,AJ19,0)</f>
        <v/>
      </c>
      <c r="AO19" s="197">
        <f>IF(AL19=0,0,AI19)</f>
        <v/>
      </c>
      <c r="AP19" s="197" t="n">
        <v>0</v>
      </c>
      <c r="AQ19" s="263">
        <f>(AL19+AL18)/2</f>
        <v/>
      </c>
    </row>
    <row r="20" spans="1:43">
      <c r="A20" s="228">
        <f>IF('Deterministic LCCA'!H41="Y", "WZ","Non-WZ")</f>
        <v/>
      </c>
      <c r="B20" s="259" t="s">
        <v>96</v>
      </c>
      <c r="C20" s="260" t="n">
        <v>6.5</v>
      </c>
      <c r="D20" s="196" t="n">
        <v>46</v>
      </c>
      <c r="E20" s="196">
        <f>100-D20</f>
        <v/>
      </c>
      <c r="F20" s="185">
        <f>'Deterministic LCCA'!$B$29*C20/100*D20/100</f>
        <v/>
      </c>
      <c r="G20" s="186">
        <f>'Deterministic LCCA'!$B$29*C20/100*E20/100</f>
        <v/>
      </c>
      <c r="H20" s="255">
        <f>IF(B$1="No activity",0,IF($F20*(1+'Deterministic LCCA'!$B$31)^C$1&gt;'Deterministic LCCA'!$E$45*'Deterministic LCCA'!$C$32,'Deterministic LCCA'!$E$45*'Deterministic LCCA'!$C$32, $F20*(1+'Deterministic LCCA'!$B$31)^C$1))</f>
        <v/>
      </c>
      <c r="I20" s="185">
        <f>IF($A20="WZ",'Deterministic LCCA'!$C$45*'Deterministic LCCA'!$C$44,1900*'Deterministic LCCA'!$C$32)</f>
        <v/>
      </c>
      <c r="J20" s="197">
        <f>H20-I20</f>
        <v/>
      </c>
      <c r="K20" s="261">
        <f>IF(K19=0, IF(J20&lt;0,0,J20+K19), IF((K19+J20)&lt;0,0,K19+J20))</f>
        <v/>
      </c>
      <c r="L20" s="185">
        <f>IF($A20="WZ",IF(J20&lt;0,H20,I20),0)</f>
        <v/>
      </c>
      <c r="M20" s="196">
        <f>IF(K20&gt;0,I20,0)</f>
        <v/>
      </c>
      <c r="N20" s="197">
        <f>IF(K20=0,0,H20)</f>
        <v/>
      </c>
      <c r="O20" s="197" t="n">
        <v>0</v>
      </c>
      <c r="P20" s="198">
        <f>(K20+K19)/2</f>
        <v/>
      </c>
      <c r="Q20" s="255">
        <f>IF(K$1="No activity",0,IF($G20*(1+'Deterministic LCCA'!$B$31)^L$1&gt;'Deterministic LCCA'!$E$45*'Deterministic LCCA'!$C$32,'Deterministic LCCA'!$E$45*'Deterministic LCCA'!$C$32, $G20*(1+'Deterministic LCCA'!$B$31)^L$1))</f>
        <v/>
      </c>
      <c r="R20" s="185">
        <f>IF($A20="WZ",'Deterministic LCCA'!$C$45*'Deterministic LCCA'!$C$44,1900*'Deterministic LCCA'!$E$32)</f>
        <v/>
      </c>
      <c r="S20" s="197">
        <f>Q20-R20</f>
        <v/>
      </c>
      <c r="T20" s="261">
        <f>IF(T19=0, IF(S20&lt;0,0,S20+T19), IF((T19+S20)&lt;0,0,T19+S20))</f>
        <v/>
      </c>
      <c r="U20" s="185">
        <f>IF($A20="WZ",IF(S20&lt;0,Q20,R20),0)</f>
        <v/>
      </c>
      <c r="V20" s="196">
        <f>IF(T20&gt;0,R20,0)</f>
        <v/>
      </c>
      <c r="W20" s="197">
        <f>IF(T20=0,0,Q20)</f>
        <v/>
      </c>
      <c r="X20" s="197" t="n">
        <v>0</v>
      </c>
      <c r="Y20" s="263">
        <f>(T20+T19)/2</f>
        <v/>
      </c>
      <c r="Z20" s="255">
        <f>IF(Z$1="No activity",0,IF($F20*(1+'Deterministic LCCA'!$B$31)^AB$1&gt;'Deterministic LCCA'!$E$45*'Deterministic LCCA'!$C$32,'Deterministic LCCA'!$E$45*'Deterministic LCCA'!$C$32, $F20*(1+'Deterministic LCCA'!$B$31)^AB$1))</f>
        <v/>
      </c>
      <c r="AA20" s="185">
        <f>IF($A20="WZ",'Deterministic LCCA'!$C$45*'Deterministic LCCA'!$C$44,1900*'Deterministic LCCA'!$C$32)</f>
        <v/>
      </c>
      <c r="AB20" s="197">
        <f>Z20-AA20</f>
        <v/>
      </c>
      <c r="AC20" s="261">
        <f>IF(AC19=0, IF(AB20&lt;0,0,AB20+AC19), IF((AC19+AB20)&lt;0,0,AC19+AB20))</f>
        <v/>
      </c>
      <c r="AD20" s="185">
        <f>IF($A20="WZ",IF(AB20&lt;0,Z20,AA20),0)</f>
        <v/>
      </c>
      <c r="AE20" s="196">
        <f>IF(AC20&gt;0,AA20,0)</f>
        <v/>
      </c>
      <c r="AF20" s="197">
        <f>IF(AC20=0,0,Z20)</f>
        <v/>
      </c>
      <c r="AG20" s="197" t="n">
        <v>0</v>
      </c>
      <c r="AH20" s="198">
        <f>(AC20+AC19)/2</f>
        <v/>
      </c>
      <c r="AI20" s="255">
        <f>IF(Z$1="No activity",0,IF($G20*(1+'Deterministic LCCA'!$B$31)^AB$1&gt;'Deterministic LCCA'!$E$45*'Deterministic LCCA'!$C$32,'Deterministic LCCA'!$E$45*'Deterministic LCCA'!$C$32, $G20*(1+'Deterministic LCCA'!$B$31)^AB$1))</f>
        <v/>
      </c>
      <c r="AJ20" s="185">
        <f>IF($A20="WZ",'Deterministic LCCA'!$C$45*'Deterministic LCCA'!$C$44,1900*'Deterministic LCCA'!$E$32)</f>
        <v/>
      </c>
      <c r="AK20" s="197">
        <f>AI20-AJ20</f>
        <v/>
      </c>
      <c r="AL20" s="261">
        <f>IF(AL19=0, IF(AK20&lt;0,0,AK20+AL19), IF((AL19+AK20)&lt;0,0,AL19+AK20))</f>
        <v/>
      </c>
      <c r="AM20" s="185">
        <f>IF($A20="WZ",IF(AK20&lt;0,AI20,AJ20),0)</f>
        <v/>
      </c>
      <c r="AN20" s="196">
        <f>IF(AL20&gt;0,AJ20,0)</f>
        <v/>
      </c>
      <c r="AO20" s="197">
        <f>IF(AL20=0,0,AI20)</f>
        <v/>
      </c>
      <c r="AP20" s="197" t="n">
        <v>0</v>
      </c>
      <c r="AQ20" s="263">
        <f>(AL20+AL19)/2</f>
        <v/>
      </c>
    </row>
    <row r="21" spans="1:43">
      <c r="A21" s="228">
        <f>IF('Deterministic LCCA'!H42="Y", "WZ","Non-WZ")</f>
        <v/>
      </c>
      <c r="B21" s="259" t="s">
        <v>98</v>
      </c>
      <c r="C21" s="260" t="n">
        <v>7.9</v>
      </c>
      <c r="D21" s="196" t="n">
        <v>45</v>
      </c>
      <c r="E21" s="196">
        <f>100-D21</f>
        <v/>
      </c>
      <c r="F21" s="185">
        <f>'Deterministic LCCA'!$B$29*C21/100*D21/100</f>
        <v/>
      </c>
      <c r="G21" s="186">
        <f>'Deterministic LCCA'!$B$29*C21/100*E21/100</f>
        <v/>
      </c>
      <c r="H21" s="255">
        <f>IF(B$1="No activity",0,IF($F21*(1+'Deterministic LCCA'!$B$31)^C$1&gt;'Deterministic LCCA'!$E$45*'Deterministic LCCA'!$C$32,'Deterministic LCCA'!$E$45*'Deterministic LCCA'!$C$32, $F21*(1+'Deterministic LCCA'!$B$31)^C$1))</f>
        <v/>
      </c>
      <c r="I21" s="185">
        <f>IF($A21="WZ",'Deterministic LCCA'!$C$45*'Deterministic LCCA'!$C$44,1900*'Deterministic LCCA'!$C$32)</f>
        <v/>
      </c>
      <c r="J21" s="197">
        <f>H21-I21</f>
        <v/>
      </c>
      <c r="K21" s="261">
        <f>IF(K20=0, IF(J21&lt;0,0,J21+K20), IF((K20+J21)&lt;0,0,K20+J21))</f>
        <v/>
      </c>
      <c r="L21" s="185">
        <f>IF($A21="WZ",IF(J21&lt;0,H21,I21),0)</f>
        <v/>
      </c>
      <c r="M21" s="196">
        <f>IF(K21&gt;0,I21,0)</f>
        <v/>
      </c>
      <c r="N21" s="197">
        <f>IF(K21=0,0,H21)</f>
        <v/>
      </c>
      <c r="O21" s="197" t="n">
        <v>0</v>
      </c>
      <c r="P21" s="198">
        <f>(K21+K20)/2</f>
        <v/>
      </c>
      <c r="Q21" s="255">
        <f>IF(K$1="No activity",0,IF($G21*(1+'Deterministic LCCA'!$B$31)^L$1&gt;'Deterministic LCCA'!$E$45*'Deterministic LCCA'!$C$32,'Deterministic LCCA'!$E$45*'Deterministic LCCA'!$C$32, $G21*(1+'Deterministic LCCA'!$B$31)^L$1))</f>
        <v/>
      </c>
      <c r="R21" s="185">
        <f>IF($A21="WZ",'Deterministic LCCA'!$C$45*'Deterministic LCCA'!$C$44,1900*'Deterministic LCCA'!$E$32)</f>
        <v/>
      </c>
      <c r="S21" s="197">
        <f>Q21-R21</f>
        <v/>
      </c>
      <c r="T21" s="261">
        <f>IF(T20=0, IF(S21&lt;0,0,S21+T20), IF((T20+S21)&lt;0,0,T20+S21))</f>
        <v/>
      </c>
      <c r="U21" s="185">
        <f>IF($A21="WZ",IF(S21&lt;0,Q21,R21),0)</f>
        <v/>
      </c>
      <c r="V21" s="196">
        <f>IF(T21&gt;0,R21,0)</f>
        <v/>
      </c>
      <c r="W21" s="197">
        <f>IF(T21=0,0,Q21)</f>
        <v/>
      </c>
      <c r="X21" s="197" t="n">
        <v>0</v>
      </c>
      <c r="Y21" s="263">
        <f>(T21+T20)/2</f>
        <v/>
      </c>
      <c r="Z21" s="255">
        <f>IF(Z$1="No activity",0,IF($F21*(1+'Deterministic LCCA'!$B$31)^AB$1&gt;'Deterministic LCCA'!$E$45*'Deterministic LCCA'!$C$32,'Deterministic LCCA'!$E$45*'Deterministic LCCA'!$C$32, $F21*(1+'Deterministic LCCA'!$B$31)^AB$1))</f>
        <v/>
      </c>
      <c r="AA21" s="185">
        <f>IF($A21="WZ",'Deterministic LCCA'!$C$45*'Deterministic LCCA'!$C$44,1900*'Deterministic LCCA'!$C$32)</f>
        <v/>
      </c>
      <c r="AB21" s="197">
        <f>Z21-AA21</f>
        <v/>
      </c>
      <c r="AC21" s="261">
        <f>IF(AC20=0, IF(AB21&lt;0,0,AB21+AC20), IF((AC20+AB21)&lt;0,0,AC20+AB21))</f>
        <v/>
      </c>
      <c r="AD21" s="185">
        <f>IF($A21="WZ",IF(AB21&lt;0,Z21,AA21),0)</f>
        <v/>
      </c>
      <c r="AE21" s="196">
        <f>IF(AC21&gt;0,AA21,0)</f>
        <v/>
      </c>
      <c r="AF21" s="197">
        <f>IF(AC21=0,0,Z21)</f>
        <v/>
      </c>
      <c r="AG21" s="197" t="n">
        <v>0</v>
      </c>
      <c r="AH21" s="198">
        <f>(AC21+AC20)/2</f>
        <v/>
      </c>
      <c r="AI21" s="255">
        <f>IF(Z$1="No activity",0,IF($G21*(1+'Deterministic LCCA'!$B$31)^AB$1&gt;'Deterministic LCCA'!$E$45*'Deterministic LCCA'!$C$32,'Deterministic LCCA'!$E$45*'Deterministic LCCA'!$C$32, $G21*(1+'Deterministic LCCA'!$B$31)^AB$1))</f>
        <v/>
      </c>
      <c r="AJ21" s="185">
        <f>IF($A21="WZ",'Deterministic LCCA'!$C$45*'Deterministic LCCA'!$C$44,1900*'Deterministic LCCA'!$E$32)</f>
        <v/>
      </c>
      <c r="AK21" s="197">
        <f>AI21-AJ21</f>
        <v/>
      </c>
      <c r="AL21" s="261">
        <f>IF(AL20=0, IF(AK21&lt;0,0,AK21+AL20), IF((AL20+AK21)&lt;0,0,AL20+AK21))</f>
        <v/>
      </c>
      <c r="AM21" s="185">
        <f>IF($A21="WZ",IF(AK21&lt;0,AI21,AJ21),0)</f>
        <v/>
      </c>
      <c r="AN21" s="196">
        <f>IF(AL21&gt;0,AJ21,0)</f>
        <v/>
      </c>
      <c r="AO21" s="197">
        <f>IF(AL21=0,0,AI21)</f>
        <v/>
      </c>
      <c r="AP21" s="197" t="n">
        <v>0</v>
      </c>
      <c r="AQ21" s="263">
        <f>(AL21+AL20)/2</f>
        <v/>
      </c>
    </row>
    <row r="22" spans="1:43">
      <c r="A22" s="228">
        <f>IF('Deterministic LCCA'!H43="Y", "WZ","Non-WZ")</f>
        <v/>
      </c>
      <c r="B22" s="259" t="s">
        <v>100</v>
      </c>
      <c r="C22" s="260" t="n">
        <v>8.5</v>
      </c>
      <c r="D22" s="196" t="n">
        <v>40</v>
      </c>
      <c r="E22" s="196">
        <f>100-D22</f>
        <v/>
      </c>
      <c r="F22" s="185">
        <f>'Deterministic LCCA'!$B$29*C22/100*D22/100</f>
        <v/>
      </c>
      <c r="G22" s="186">
        <f>'Deterministic LCCA'!$B$29*C22/100*E22/100</f>
        <v/>
      </c>
      <c r="H22" s="255">
        <f>IF(B$1="No activity",0,IF($F22*(1+'Deterministic LCCA'!$B$31)^C$1&gt;'Deterministic LCCA'!$E$45*'Deterministic LCCA'!$C$32,'Deterministic LCCA'!$E$45*'Deterministic LCCA'!$C$32, $F22*(1+'Deterministic LCCA'!$B$31)^C$1))</f>
        <v/>
      </c>
      <c r="I22" s="185">
        <f>IF($A22="WZ",'Deterministic LCCA'!$C$45*'Deterministic LCCA'!$C$44,1900*'Deterministic LCCA'!$C$32)</f>
        <v/>
      </c>
      <c r="J22" s="197">
        <f>H22-I22</f>
        <v/>
      </c>
      <c r="K22" s="261">
        <f>IF(K21=0, IF(J22&lt;0,0,J22+K21), IF((K21+J22)&lt;0,0,K21+J22))</f>
        <v/>
      </c>
      <c r="L22" s="185">
        <f>IF($A22="WZ",IF(J22&lt;0,H22,I22),0)</f>
        <v/>
      </c>
      <c r="M22" s="196">
        <f>IF(K22&gt;0,I22,0)</f>
        <v/>
      </c>
      <c r="N22" s="197">
        <f>IF(K22=0,0,H22)</f>
        <v/>
      </c>
      <c r="O22" s="197" t="n">
        <v>0</v>
      </c>
      <c r="P22" s="198">
        <f>(K22+K21)/2</f>
        <v/>
      </c>
      <c r="Q22" s="255">
        <f>IF(K$1="No activity",0,IF($G22*(1+'Deterministic LCCA'!$B$31)^L$1&gt;'Deterministic LCCA'!$E$45*'Deterministic LCCA'!$C$32,'Deterministic LCCA'!$E$45*'Deterministic LCCA'!$C$32, $G22*(1+'Deterministic LCCA'!$B$31)^L$1))</f>
        <v/>
      </c>
      <c r="R22" s="185">
        <f>IF($A22="WZ",'Deterministic LCCA'!$C$45*'Deterministic LCCA'!$C$44,1900*'Deterministic LCCA'!$E$32)</f>
        <v/>
      </c>
      <c r="S22" s="197">
        <f>Q22-R22</f>
        <v/>
      </c>
      <c r="T22" s="261">
        <f>IF(T21=0, IF(S22&lt;0,0,S22+T21), IF((T21+S22)&lt;0,0,T21+S22))</f>
        <v/>
      </c>
      <c r="U22" s="185">
        <f>IF($A22="WZ",IF(S22&lt;0,Q22,R22),0)</f>
        <v/>
      </c>
      <c r="V22" s="196">
        <f>IF(T22&gt;0,R22,0)</f>
        <v/>
      </c>
      <c r="W22" s="197">
        <f>IF(T22=0,0,Q22)</f>
        <v/>
      </c>
      <c r="X22" s="197" t="n">
        <v>0</v>
      </c>
      <c r="Y22" s="263">
        <f>(T22+T21)/2</f>
        <v/>
      </c>
      <c r="Z22" s="255">
        <f>IF(Z$1="No activity",0,IF($F22*(1+'Deterministic LCCA'!$B$31)^AB$1&gt;'Deterministic LCCA'!$E$45*'Deterministic LCCA'!$C$32,'Deterministic LCCA'!$E$45*'Deterministic LCCA'!$C$32, $F22*(1+'Deterministic LCCA'!$B$31)^AB$1))</f>
        <v/>
      </c>
      <c r="AA22" s="185">
        <f>IF($A22="WZ",'Deterministic LCCA'!$C$45*'Deterministic LCCA'!$C$44,1900*'Deterministic LCCA'!$C$32)</f>
        <v/>
      </c>
      <c r="AB22" s="197">
        <f>Z22-AA22</f>
        <v/>
      </c>
      <c r="AC22" s="261">
        <f>IF(AC21=0, IF(AB22&lt;0,0,AB22+AC21), IF((AC21+AB22)&lt;0,0,AC21+AB22))</f>
        <v/>
      </c>
      <c r="AD22" s="185">
        <f>IF($A22="WZ",IF(AB22&lt;0,Z22,AA22),0)</f>
        <v/>
      </c>
      <c r="AE22" s="196">
        <f>IF(AC22&gt;0,AA22,0)</f>
        <v/>
      </c>
      <c r="AF22" s="197">
        <f>IF(AC22=0,0,Z22)</f>
        <v/>
      </c>
      <c r="AG22" s="197" t="n">
        <v>0</v>
      </c>
      <c r="AH22" s="198">
        <f>(AC22+AC21)/2</f>
        <v/>
      </c>
      <c r="AI22" s="255">
        <f>IF(Z$1="No activity",0,IF($G22*(1+'Deterministic LCCA'!$B$31)^AB$1&gt;'Deterministic LCCA'!$E$45*'Deterministic LCCA'!$C$32,'Deterministic LCCA'!$E$45*'Deterministic LCCA'!$C$32, $G22*(1+'Deterministic LCCA'!$B$31)^AB$1))</f>
        <v/>
      </c>
      <c r="AJ22" s="185">
        <f>IF($A22="WZ",'Deterministic LCCA'!$C$45*'Deterministic LCCA'!$C$44,1900*'Deterministic LCCA'!$E$32)</f>
        <v/>
      </c>
      <c r="AK22" s="197">
        <f>AI22-AJ22</f>
        <v/>
      </c>
      <c r="AL22" s="261">
        <f>IF(AL21=0, IF(AK22&lt;0,0,AK22+AL21), IF((AL21+AK22)&lt;0,0,AL21+AK22))</f>
        <v/>
      </c>
      <c r="AM22" s="185">
        <f>IF($A22="WZ",IF(AK22&lt;0,AI22,AJ22),0)</f>
        <v/>
      </c>
      <c r="AN22" s="196">
        <f>IF(AL22&gt;0,AJ22,0)</f>
        <v/>
      </c>
      <c r="AO22" s="197">
        <f>IF(AL22=0,0,AI22)</f>
        <v/>
      </c>
      <c r="AP22" s="197" t="n">
        <v>0</v>
      </c>
      <c r="AQ22" s="263">
        <f>(AL22+AL21)/2</f>
        <v/>
      </c>
    </row>
    <row r="23" spans="1:43">
      <c r="A23" s="228">
        <f>IF('Deterministic LCCA'!H44="Y", "WZ","Non-WZ")</f>
        <v/>
      </c>
      <c r="B23" s="259" t="s">
        <v>102</v>
      </c>
      <c r="C23" s="260" t="n">
        <v>5.9</v>
      </c>
      <c r="D23" s="196" t="n">
        <v>46</v>
      </c>
      <c r="E23" s="196">
        <f>100-D23</f>
        <v/>
      </c>
      <c r="F23" s="185">
        <f>'Deterministic LCCA'!$B$29*C23/100*D23/100</f>
        <v/>
      </c>
      <c r="G23" s="186">
        <f>'Deterministic LCCA'!$B$29*C23/100*E23/100</f>
        <v/>
      </c>
      <c r="H23" s="255">
        <f>IF(B$1="No activity",0,IF($F23*(1+'Deterministic LCCA'!$B$31)^C$1&gt;'Deterministic LCCA'!$E$45*'Deterministic LCCA'!$C$32,'Deterministic LCCA'!$E$45*'Deterministic LCCA'!$C$32, $F23*(1+'Deterministic LCCA'!$B$31)^C$1))</f>
        <v/>
      </c>
      <c r="I23" s="185">
        <f>IF($A23="WZ",'Deterministic LCCA'!$C$45*'Deterministic LCCA'!$C$44,1900*'Deterministic LCCA'!$C$32)</f>
        <v/>
      </c>
      <c r="J23" s="197">
        <f>H23-I23</f>
        <v/>
      </c>
      <c r="K23" s="261">
        <f>IF(K22=0, IF(J23&lt;0,0,J23+K22), IF((K22+J23)&lt;0,0,K22+J23))</f>
        <v/>
      </c>
      <c r="L23" s="185">
        <f>IF($A23="WZ",IF(J23&lt;0,H23,I23),0)</f>
        <v/>
      </c>
      <c r="M23" s="196">
        <f>IF(K23&gt;0,I23,0)</f>
        <v/>
      </c>
      <c r="N23" s="197">
        <f>IF(K23=0,0,H23)</f>
        <v/>
      </c>
      <c r="O23" s="197" t="n">
        <v>0</v>
      </c>
      <c r="P23" s="198">
        <f>(K23+K22)/2</f>
        <v/>
      </c>
      <c r="Q23" s="255">
        <f>IF(K$1="No activity",0,IF($G23*(1+'Deterministic LCCA'!$B$31)^L$1&gt;'Deterministic LCCA'!$E$45*'Deterministic LCCA'!$C$32,'Deterministic LCCA'!$E$45*'Deterministic LCCA'!$C$32, $G23*(1+'Deterministic LCCA'!$B$31)^L$1))</f>
        <v/>
      </c>
      <c r="R23" s="185">
        <f>IF($A23="WZ",'Deterministic LCCA'!$C$45*'Deterministic LCCA'!$C$44,1900*'Deterministic LCCA'!$E$32)</f>
        <v/>
      </c>
      <c r="S23" s="197">
        <f>Q23-R23</f>
        <v/>
      </c>
      <c r="T23" s="261">
        <f>IF(T22=0, IF(S23&lt;0,0,S23+T22), IF((T22+S23)&lt;0,0,T22+S23))</f>
        <v/>
      </c>
      <c r="U23" s="185">
        <f>IF($A23="WZ",IF(S23&lt;0,Q23,R23),0)</f>
        <v/>
      </c>
      <c r="V23" s="196">
        <f>IF(T23&gt;0,R23,0)</f>
        <v/>
      </c>
      <c r="W23" s="197">
        <f>IF(T23=0,0,Q23)</f>
        <v/>
      </c>
      <c r="X23" s="197" t="n">
        <v>0</v>
      </c>
      <c r="Y23" s="263">
        <f>(T23+T22)/2</f>
        <v/>
      </c>
      <c r="Z23" s="255">
        <f>IF(Z$1="No activity",0,IF($F23*(1+'Deterministic LCCA'!$B$31)^AB$1&gt;'Deterministic LCCA'!$E$45*'Deterministic LCCA'!$C$32,'Deterministic LCCA'!$E$45*'Deterministic LCCA'!$C$32, $F23*(1+'Deterministic LCCA'!$B$31)^AB$1))</f>
        <v/>
      </c>
      <c r="AA23" s="185">
        <f>IF($A23="WZ",'Deterministic LCCA'!$C$45*'Deterministic LCCA'!$C$44,1900*'Deterministic LCCA'!$C$32)</f>
        <v/>
      </c>
      <c r="AB23" s="197">
        <f>Z23-AA23</f>
        <v/>
      </c>
      <c r="AC23" s="261">
        <f>IF(AC22=0, IF(AB23&lt;0,0,AB23+AC22), IF((AC22+AB23)&lt;0,0,AC22+AB23))</f>
        <v/>
      </c>
      <c r="AD23" s="185">
        <f>IF($A23="WZ",IF(AB23&lt;0,Z23,AA23),0)</f>
        <v/>
      </c>
      <c r="AE23" s="196">
        <f>IF(AC23&gt;0,AA23,0)</f>
        <v/>
      </c>
      <c r="AF23" s="197">
        <f>IF(AC23=0,0,Z23)</f>
        <v/>
      </c>
      <c r="AG23" s="197" t="n">
        <v>0</v>
      </c>
      <c r="AH23" s="198">
        <f>(AC23+AC22)/2</f>
        <v/>
      </c>
      <c r="AI23" s="255">
        <f>IF(Z$1="No activity",0,IF($G23*(1+'Deterministic LCCA'!$B$31)^AB$1&gt;'Deterministic LCCA'!$E$45*'Deterministic LCCA'!$C$32,'Deterministic LCCA'!$E$45*'Deterministic LCCA'!$C$32, $G23*(1+'Deterministic LCCA'!$B$31)^AB$1))</f>
        <v/>
      </c>
      <c r="AJ23" s="185">
        <f>IF($A23="WZ",'Deterministic LCCA'!$C$45*'Deterministic LCCA'!$C$44,1900*'Deterministic LCCA'!$E$32)</f>
        <v/>
      </c>
      <c r="AK23" s="197">
        <f>AI23-AJ23</f>
        <v/>
      </c>
      <c r="AL23" s="261">
        <f>IF(AL22=0, IF(AK23&lt;0,0,AK23+AL22), IF((AL22+AK23)&lt;0,0,AL22+AK23))</f>
        <v/>
      </c>
      <c r="AM23" s="185">
        <f>IF($A23="WZ",IF(AK23&lt;0,AI23,AJ23),0)</f>
        <v/>
      </c>
      <c r="AN23" s="196">
        <f>IF(AL23&gt;0,AJ23,0)</f>
        <v/>
      </c>
      <c r="AO23" s="197">
        <f>IF(AL23=0,0,AI23)</f>
        <v/>
      </c>
      <c r="AP23" s="197" t="n">
        <v>0</v>
      </c>
      <c r="AQ23" s="263">
        <f>(AL23+AL22)/2</f>
        <v/>
      </c>
    </row>
    <row r="24" spans="1:43">
      <c r="A24" s="228">
        <f>IF('Deterministic LCCA'!H45="Y", "WZ","Non-WZ")</f>
        <v/>
      </c>
      <c r="B24" s="259" t="s">
        <v>106</v>
      </c>
      <c r="C24" s="260" t="n">
        <v>3.9</v>
      </c>
      <c r="D24" s="196" t="n">
        <v>48</v>
      </c>
      <c r="E24" s="196">
        <f>100-D24</f>
        <v/>
      </c>
      <c r="F24" s="185">
        <f>'Deterministic LCCA'!$B$29*C24/100*D24/100</f>
        <v/>
      </c>
      <c r="G24" s="186">
        <f>'Deterministic LCCA'!$B$29*C24/100*E24/100</f>
        <v/>
      </c>
      <c r="H24" s="255">
        <f>IF(B$1="No activity",0,IF($F24*(1+'Deterministic LCCA'!$B$31)^C$1&gt;'Deterministic LCCA'!$E$45*'Deterministic LCCA'!$C$32,'Deterministic LCCA'!$E$45*'Deterministic LCCA'!$C$32, $F24*(1+'Deterministic LCCA'!$B$31)^C$1))</f>
        <v/>
      </c>
      <c r="I24" s="185">
        <f>IF($A24="WZ",'Deterministic LCCA'!$C$45*'Deterministic LCCA'!$C$44,1900*'Deterministic LCCA'!$C$32)</f>
        <v/>
      </c>
      <c r="J24" s="197">
        <f>H24-I24</f>
        <v/>
      </c>
      <c r="K24" s="261">
        <f>IF(K23=0, IF(J24&lt;0,0,J24+K23), IF((K23+J24)&lt;0,0,K23+J24))</f>
        <v/>
      </c>
      <c r="L24" s="185">
        <f>IF($A24="WZ",IF(J24&lt;0,H24,I24),0)</f>
        <v/>
      </c>
      <c r="M24" s="196">
        <f>IF(K24&gt;0,I24,0)</f>
        <v/>
      </c>
      <c r="N24" s="197">
        <f>IF(K24=0,0,H24)</f>
        <v/>
      </c>
      <c r="O24" s="197" t="n">
        <v>0</v>
      </c>
      <c r="P24" s="198">
        <f>(K24+K23)/2</f>
        <v/>
      </c>
      <c r="Q24" s="255">
        <f>IF(K$1="No activity",0,IF($G24*(1+'Deterministic LCCA'!$B$31)^L$1&gt;'Deterministic LCCA'!$E$45*'Deterministic LCCA'!$C$32,'Deterministic LCCA'!$E$45*'Deterministic LCCA'!$C$32, $G24*(1+'Deterministic LCCA'!$B$31)^L$1))</f>
        <v/>
      </c>
      <c r="R24" s="185">
        <f>IF($A24="WZ",'Deterministic LCCA'!$C$45*'Deterministic LCCA'!$C$44,1900*'Deterministic LCCA'!$E$32)</f>
        <v/>
      </c>
      <c r="S24" s="197">
        <f>Q24-R24</f>
        <v/>
      </c>
      <c r="T24" s="261">
        <f>IF(T23=0, IF(S24&lt;0,0,S24+T23), IF((T23+S24)&lt;0,0,T23+S24))</f>
        <v/>
      </c>
      <c r="U24" s="185">
        <f>IF($A24="WZ",IF(S24&lt;0,Q24,R24),0)</f>
        <v/>
      </c>
      <c r="V24" s="196">
        <f>IF(T24&gt;0,R24,0)</f>
        <v/>
      </c>
      <c r="W24" s="197">
        <f>IF(T24=0,0,Q24)</f>
        <v/>
      </c>
      <c r="X24" s="197" t="n">
        <v>0</v>
      </c>
      <c r="Y24" s="263">
        <f>(T24+T23)/2</f>
        <v/>
      </c>
      <c r="Z24" s="255">
        <f>IF(Z$1="No activity",0,IF($F24*(1+'Deterministic LCCA'!$B$31)^AB$1&gt;'Deterministic LCCA'!$E$45*'Deterministic LCCA'!$C$32,'Deterministic LCCA'!$E$45*'Deterministic LCCA'!$C$32, $F24*(1+'Deterministic LCCA'!$B$31)^AB$1))</f>
        <v/>
      </c>
      <c r="AA24" s="185">
        <f>IF($A24="WZ",'Deterministic LCCA'!$C$45*'Deterministic LCCA'!$C$44,1900*'Deterministic LCCA'!$C$32)</f>
        <v/>
      </c>
      <c r="AB24" s="197">
        <f>Z24-AA24</f>
        <v/>
      </c>
      <c r="AC24" s="261">
        <f>IF(AC23=0, IF(AB24&lt;0,0,AB24+AC23), IF((AC23+AB24)&lt;0,0,AC23+AB24))</f>
        <v/>
      </c>
      <c r="AD24" s="185">
        <f>IF($A24="WZ",IF(AB24&lt;0,Z24,AA24),0)</f>
        <v/>
      </c>
      <c r="AE24" s="196">
        <f>IF(AC24&gt;0,AA24,0)</f>
        <v/>
      </c>
      <c r="AF24" s="197">
        <f>IF(AC24=0,0,Z24)</f>
        <v/>
      </c>
      <c r="AG24" s="197" t="n">
        <v>0</v>
      </c>
      <c r="AH24" s="198">
        <f>(AC24+AC23)/2</f>
        <v/>
      </c>
      <c r="AI24" s="255">
        <f>IF(Z$1="No activity",0,IF($G24*(1+'Deterministic LCCA'!$B$31)^AB$1&gt;'Deterministic LCCA'!$E$45*'Deterministic LCCA'!$C$32,'Deterministic LCCA'!$E$45*'Deterministic LCCA'!$C$32, $G24*(1+'Deterministic LCCA'!$B$31)^AB$1))</f>
        <v/>
      </c>
      <c r="AJ24" s="185">
        <f>IF($A24="WZ",'Deterministic LCCA'!$C$45*'Deterministic LCCA'!$C$44,1900*'Deterministic LCCA'!$E$32)</f>
        <v/>
      </c>
      <c r="AK24" s="197">
        <f>AI24-AJ24</f>
        <v/>
      </c>
      <c r="AL24" s="261">
        <f>IF(AL23=0, IF(AK24&lt;0,0,AK24+AL23), IF((AL23+AK24)&lt;0,0,AL23+AK24))</f>
        <v/>
      </c>
      <c r="AM24" s="185">
        <f>IF($A24="WZ",IF(AK24&lt;0,AI24,AJ24),0)</f>
        <v/>
      </c>
      <c r="AN24" s="196">
        <f>IF(AL24&gt;0,AJ24,0)</f>
        <v/>
      </c>
      <c r="AO24" s="197">
        <f>IF(AL24=0,0,AI24)</f>
        <v/>
      </c>
      <c r="AP24" s="197" t="n">
        <v>0</v>
      </c>
      <c r="AQ24" s="263">
        <f>(AL24+AL23)/2</f>
        <v/>
      </c>
    </row>
    <row r="25" spans="1:43">
      <c r="A25" s="228">
        <f>IF('Deterministic LCCA'!H46="Y", "WZ","Non-WZ")</f>
        <v/>
      </c>
      <c r="B25" s="259" t="s">
        <v>109</v>
      </c>
      <c r="C25" s="260" t="n">
        <v>3.3</v>
      </c>
      <c r="D25" s="196" t="n">
        <v>47</v>
      </c>
      <c r="E25" s="196">
        <f>100-D25</f>
        <v/>
      </c>
      <c r="F25" s="185">
        <f>'Deterministic LCCA'!$B$29*C25/100*D25/100</f>
        <v/>
      </c>
      <c r="G25" s="186">
        <f>'Deterministic LCCA'!$B$29*C25/100*E25/100</f>
        <v/>
      </c>
      <c r="H25" s="255">
        <f>IF(B$1="No activity",0,IF($F25*(1+'Deterministic LCCA'!$B$31)^C$1&gt;'Deterministic LCCA'!$E$45*'Deterministic LCCA'!$C$32,'Deterministic LCCA'!$E$45*'Deterministic LCCA'!$C$32, $F25*(1+'Deterministic LCCA'!$B$31)^C$1))</f>
        <v/>
      </c>
      <c r="I25" s="185">
        <f>IF($A25="WZ",'Deterministic LCCA'!$C$45*'Deterministic LCCA'!$C$44,1900*'Deterministic LCCA'!$C$32)</f>
        <v/>
      </c>
      <c r="J25" s="197">
        <f>H25-I25</f>
        <v/>
      </c>
      <c r="K25" s="261">
        <f>IF(K24=0, IF(J25&lt;0,0,J25+K24), IF((K24+J25)&lt;0,0,K24+J25))</f>
        <v/>
      </c>
      <c r="L25" s="185">
        <f>IF($A25="WZ",IF(J25&lt;0,H25,I25),0)</f>
        <v/>
      </c>
      <c r="M25" s="196">
        <f>IF(K25&gt;0,I25,0)</f>
        <v/>
      </c>
      <c r="N25" s="197">
        <f>IF(K25=0,0,H25)</f>
        <v/>
      </c>
      <c r="O25" s="197" t="n">
        <v>0</v>
      </c>
      <c r="P25" s="198">
        <f>(K25+K24)/2</f>
        <v/>
      </c>
      <c r="Q25" s="255">
        <f>IF(K$1="No activity",0,IF($G25*(1+'Deterministic LCCA'!$B$31)^L$1&gt;'Deterministic LCCA'!$E$45*'Deterministic LCCA'!$C$32,'Deterministic LCCA'!$E$45*'Deterministic LCCA'!$C$32, $G25*(1+'Deterministic LCCA'!$B$31)^L$1))</f>
        <v/>
      </c>
      <c r="R25" s="185">
        <f>IF($A25="WZ",'Deterministic LCCA'!$C$45*'Deterministic LCCA'!$C$44,1900*'Deterministic LCCA'!$E$32)</f>
        <v/>
      </c>
      <c r="S25" s="197">
        <f>Q25-R25</f>
        <v/>
      </c>
      <c r="T25" s="261">
        <f>IF(T24=0, IF(S25&lt;0,0,S25+T24), IF((T24+S25)&lt;0,0,T24+S25))</f>
        <v/>
      </c>
      <c r="U25" s="185">
        <f>IF($A25="WZ",IF(S25&lt;0,Q25,R25),0)</f>
        <v/>
      </c>
      <c r="V25" s="196">
        <f>IF(T25&gt;0,R25,0)</f>
        <v/>
      </c>
      <c r="W25" s="197">
        <f>IF(T25=0,0,Q25)</f>
        <v/>
      </c>
      <c r="X25" s="197" t="n">
        <v>0</v>
      </c>
      <c r="Y25" s="263">
        <f>(T25+T24)/2</f>
        <v/>
      </c>
      <c r="Z25" s="255">
        <f>IF(Z$1="No activity",0,IF($F25*(1+'Deterministic LCCA'!$B$31)^AB$1&gt;'Deterministic LCCA'!$E$45*'Deterministic LCCA'!$C$32,'Deterministic LCCA'!$E$45*'Deterministic LCCA'!$C$32, $F25*(1+'Deterministic LCCA'!$B$31)^AB$1))</f>
        <v/>
      </c>
      <c r="AA25" s="185">
        <f>IF($A25="WZ",'Deterministic LCCA'!$C$45*'Deterministic LCCA'!$C$44,1900*'Deterministic LCCA'!$C$32)</f>
        <v/>
      </c>
      <c r="AB25" s="197">
        <f>Z25-AA25</f>
        <v/>
      </c>
      <c r="AC25" s="261">
        <f>IF(AC24=0, IF(AB25&lt;0,0,AB25+AC24), IF((AC24+AB25)&lt;0,0,AC24+AB25))</f>
        <v/>
      </c>
      <c r="AD25" s="185">
        <f>IF($A25="WZ",IF(AB25&lt;0,Z25,AA25),0)</f>
        <v/>
      </c>
      <c r="AE25" s="196">
        <f>IF(AC25&gt;0,AA25,0)</f>
        <v/>
      </c>
      <c r="AF25" s="197">
        <f>IF(AC25=0,0,Z25)</f>
        <v/>
      </c>
      <c r="AG25" s="197" t="n">
        <v>0</v>
      </c>
      <c r="AH25" s="198">
        <f>(AC25+AC24)/2</f>
        <v/>
      </c>
      <c r="AI25" s="255">
        <f>IF(Z$1="No activity",0,IF($G25*(1+'Deterministic LCCA'!$B$31)^AB$1&gt;'Deterministic LCCA'!$E$45*'Deterministic LCCA'!$C$32,'Deterministic LCCA'!$E$45*'Deterministic LCCA'!$C$32, $G25*(1+'Deterministic LCCA'!$B$31)^AB$1))</f>
        <v/>
      </c>
      <c r="AJ25" s="185">
        <f>IF($A25="WZ",'Deterministic LCCA'!$C$45*'Deterministic LCCA'!$C$44,1900*'Deterministic LCCA'!$E$32)</f>
        <v/>
      </c>
      <c r="AK25" s="197">
        <f>AI25-AJ25</f>
        <v/>
      </c>
      <c r="AL25" s="261">
        <f>IF(AL24=0, IF(AK25&lt;0,0,AK25+AL24), IF((AL24+AK25)&lt;0,0,AL24+AK25))</f>
        <v/>
      </c>
      <c r="AM25" s="185">
        <f>IF($A25="WZ",IF(AK25&lt;0,AI25,AJ25),0)</f>
        <v/>
      </c>
      <c r="AN25" s="196">
        <f>IF(AL25&gt;0,AJ25,0)</f>
        <v/>
      </c>
      <c r="AO25" s="197">
        <f>IF(AL25=0,0,AI25)</f>
        <v/>
      </c>
      <c r="AP25" s="197" t="n">
        <v>0</v>
      </c>
      <c r="AQ25" s="263">
        <f>(AL25+AL24)/2</f>
        <v/>
      </c>
    </row>
    <row r="26" spans="1:43">
      <c r="A26" s="228">
        <f>IF('Deterministic LCCA'!H47="Y", "WZ","Non-WZ")</f>
        <v/>
      </c>
      <c r="B26" s="259" t="s">
        <v>111</v>
      </c>
      <c r="C26" s="260" t="n">
        <v>2.8</v>
      </c>
      <c r="D26" s="196" t="n">
        <v>47</v>
      </c>
      <c r="E26" s="196">
        <f>100-D26</f>
        <v/>
      </c>
      <c r="F26" s="185">
        <f>'Deterministic LCCA'!$B$29*C26/100*D26/100</f>
        <v/>
      </c>
      <c r="G26" s="186">
        <f>'Deterministic LCCA'!$B$29*C26/100*E26/100</f>
        <v/>
      </c>
      <c r="H26" s="255">
        <f>IF(B$1="No activity",0,IF($F26*(1+'Deterministic LCCA'!$B$31)^C$1&gt;'Deterministic LCCA'!$E$45*'Deterministic LCCA'!$C$32,'Deterministic LCCA'!$E$45*'Deterministic LCCA'!$C$32, $F26*(1+'Deterministic LCCA'!$B$31)^C$1))</f>
        <v/>
      </c>
      <c r="I26" s="185">
        <f>IF($A26="WZ",'Deterministic LCCA'!$C$45*'Deterministic LCCA'!$C$44,1900*'Deterministic LCCA'!$C$32)</f>
        <v/>
      </c>
      <c r="J26" s="197">
        <f>H26-I26</f>
        <v/>
      </c>
      <c r="K26" s="261">
        <f>IF(K25=0, IF(J26&lt;0,0,J26+K25), IF((K25+J26)&lt;0,0,K25+J26))</f>
        <v/>
      </c>
      <c r="L26" s="185">
        <f>IF($A26="WZ",IF(J26&lt;0,H26,I26),0)</f>
        <v/>
      </c>
      <c r="M26" s="196">
        <f>IF(K26&gt;0,I26,0)</f>
        <v/>
      </c>
      <c r="N26" s="197">
        <f>IF(K26=0,0,H26)</f>
        <v/>
      </c>
      <c r="O26" s="197" t="n">
        <v>0</v>
      </c>
      <c r="P26" s="198">
        <f>(K26+K25)/2</f>
        <v/>
      </c>
      <c r="Q26" s="255">
        <f>IF(K$1="No activity",0,IF($G26*(1+'Deterministic LCCA'!$B$31)^L$1&gt;'Deterministic LCCA'!$E$45*'Deterministic LCCA'!$C$32,'Deterministic LCCA'!$E$45*'Deterministic LCCA'!$C$32, $G26*(1+'Deterministic LCCA'!$B$31)^L$1))</f>
        <v/>
      </c>
      <c r="R26" s="185">
        <f>IF($A26="WZ",'Deterministic LCCA'!$C$45*'Deterministic LCCA'!$C$44,1900*'Deterministic LCCA'!$E$32)</f>
        <v/>
      </c>
      <c r="S26" s="197">
        <f>Q26-R26</f>
        <v/>
      </c>
      <c r="T26" s="261">
        <f>IF(T25=0, IF(S26&lt;0,0,S26+T25), IF((T25+S26)&lt;0,0,T25+S26))</f>
        <v/>
      </c>
      <c r="U26" s="185">
        <f>IF($A26="WZ",IF(S26&lt;0,Q26,R26),0)</f>
        <v/>
      </c>
      <c r="V26" s="196">
        <f>IF(T26&gt;0,R26,0)</f>
        <v/>
      </c>
      <c r="W26" s="197">
        <f>IF(T26=0,0,Q26)</f>
        <v/>
      </c>
      <c r="X26" s="197" t="n">
        <v>0</v>
      </c>
      <c r="Y26" s="263">
        <f>(T26+T25)/2</f>
        <v/>
      </c>
      <c r="Z26" s="255">
        <f>IF(Z$1="No activity",0,IF($F26*(1+'Deterministic LCCA'!$B$31)^AB$1&gt;'Deterministic LCCA'!$E$45*'Deterministic LCCA'!$C$32,'Deterministic LCCA'!$E$45*'Deterministic LCCA'!$C$32, $F26*(1+'Deterministic LCCA'!$B$31)^AB$1))</f>
        <v/>
      </c>
      <c r="AA26" s="185">
        <f>IF($A26="WZ",'Deterministic LCCA'!$C$45*'Deterministic LCCA'!$C$44,1900*'Deterministic LCCA'!$C$32)</f>
        <v/>
      </c>
      <c r="AB26" s="197">
        <f>Z26-AA26</f>
        <v/>
      </c>
      <c r="AC26" s="261">
        <f>IF(AC25=0, IF(AB26&lt;0,0,AB26+AC25), IF((AC25+AB26)&lt;0,0,AC25+AB26))</f>
        <v/>
      </c>
      <c r="AD26" s="185">
        <f>IF($A26="WZ",IF(AB26&lt;0,Z26,AA26),0)</f>
        <v/>
      </c>
      <c r="AE26" s="196">
        <f>IF(AC26&gt;0,AA26,0)</f>
        <v/>
      </c>
      <c r="AF26" s="197">
        <f>IF(AC26=0,0,Z26)</f>
        <v/>
      </c>
      <c r="AG26" s="197" t="n">
        <v>0</v>
      </c>
      <c r="AH26" s="198">
        <f>(AC26+AC25)/2</f>
        <v/>
      </c>
      <c r="AI26" s="255">
        <f>IF(Z$1="No activity",0,IF($G26*(1+'Deterministic LCCA'!$B$31)^AB$1&gt;'Deterministic LCCA'!$E$45*'Deterministic LCCA'!$C$32,'Deterministic LCCA'!$E$45*'Deterministic LCCA'!$C$32, $G26*(1+'Deterministic LCCA'!$B$31)^AB$1))</f>
        <v/>
      </c>
      <c r="AJ26" s="185">
        <f>IF($A26="WZ",'Deterministic LCCA'!$C$45*'Deterministic LCCA'!$C$44,1900*'Deterministic LCCA'!$E$32)</f>
        <v/>
      </c>
      <c r="AK26" s="197">
        <f>AI26-AJ26</f>
        <v/>
      </c>
      <c r="AL26" s="261">
        <f>IF(AL25=0, IF(AK26&lt;0,0,AK26+AL25), IF((AL25+AK26)&lt;0,0,AL25+AK26))</f>
        <v/>
      </c>
      <c r="AM26" s="185">
        <f>IF($A26="WZ",IF(AK26&lt;0,AI26,AJ26),0)</f>
        <v/>
      </c>
      <c r="AN26" s="196">
        <f>IF(AL26&gt;0,AJ26,0)</f>
        <v/>
      </c>
      <c r="AO26" s="197">
        <f>IF(AL26=0,0,AI26)</f>
        <v/>
      </c>
      <c r="AP26" s="197" t="n">
        <v>0</v>
      </c>
      <c r="AQ26" s="263">
        <f>(AL26+AL25)/2</f>
        <v/>
      </c>
    </row>
    <row r="27" spans="1:43">
      <c r="A27" s="228">
        <f>IF('Deterministic LCCA'!H48="Y", "WZ","Non-WZ")</f>
        <v/>
      </c>
      <c r="B27" s="259" t="s">
        <v>113</v>
      </c>
      <c r="C27" s="260" t="n">
        <v>2.3</v>
      </c>
      <c r="D27" s="196" t="n">
        <v>48</v>
      </c>
      <c r="E27" s="196">
        <f>100-D27</f>
        <v/>
      </c>
      <c r="F27" s="185">
        <f>'Deterministic LCCA'!$B$29*C27/100*D27/100</f>
        <v/>
      </c>
      <c r="G27" s="186">
        <f>'Deterministic LCCA'!$B$29*C27/100*E27/100</f>
        <v/>
      </c>
      <c r="H27" s="255">
        <f>IF(B$1="No activity",0,IF($F27*(1+'Deterministic LCCA'!$B$31)^C$1&gt;'Deterministic LCCA'!$E$45*'Deterministic LCCA'!$C$32,'Deterministic LCCA'!$E$45*'Deterministic LCCA'!$C$32, $F27*(1+'Deterministic LCCA'!$B$31)^C$1))</f>
        <v/>
      </c>
      <c r="I27" s="185">
        <f>IF($A27="WZ",'Deterministic LCCA'!$C$45*'Deterministic LCCA'!$C$44,1900*'Deterministic LCCA'!$C$32)</f>
        <v/>
      </c>
      <c r="J27" s="197">
        <f>H27-I27</f>
        <v/>
      </c>
      <c r="K27" s="261">
        <f>IF(K26=0, IF(J27&lt;0,0,J27+K26), IF((K26+J27)&lt;0,0,K26+J27))</f>
        <v/>
      </c>
      <c r="L27" s="185">
        <f>IF($A27="WZ",IF(J27&lt;0,H27,I27),0)</f>
        <v/>
      </c>
      <c r="M27" s="196">
        <f>IF(K27&gt;0,I27,0)</f>
        <v/>
      </c>
      <c r="N27" s="197">
        <f>IF(K27=0,0,H27)</f>
        <v/>
      </c>
      <c r="O27" s="197" t="n">
        <v>0</v>
      </c>
      <c r="P27" s="198">
        <f>(K27+K26)/2</f>
        <v/>
      </c>
      <c r="Q27" s="255">
        <f>IF(K$1="No activity",0,IF($G27*(1+'Deterministic LCCA'!$B$31)^L$1&gt;'Deterministic LCCA'!$E$45*'Deterministic LCCA'!$C$32,'Deterministic LCCA'!$E$45*'Deterministic LCCA'!$C$32, $G27*(1+'Deterministic LCCA'!$B$31)^L$1))</f>
        <v/>
      </c>
      <c r="R27" s="185">
        <f>IF($A27="WZ",'Deterministic LCCA'!$C$45*'Deterministic LCCA'!$C$44,1900*'Deterministic LCCA'!$E$32)</f>
        <v/>
      </c>
      <c r="S27" s="197">
        <f>Q27-R27</f>
        <v/>
      </c>
      <c r="T27" s="261">
        <f>IF(T26=0, IF(S27&lt;0,0,S27+T26), IF((T26+S27)&lt;0,0,T26+S27))</f>
        <v/>
      </c>
      <c r="U27" s="185">
        <f>IF($A27="WZ",IF(S27&lt;0,Q27,R27),0)</f>
        <v/>
      </c>
      <c r="V27" s="196">
        <f>IF(T27&gt;0,R27,0)</f>
        <v/>
      </c>
      <c r="W27" s="197">
        <f>IF(T27=0,0,Q27)</f>
        <v/>
      </c>
      <c r="X27" s="197" t="n">
        <v>0</v>
      </c>
      <c r="Y27" s="263">
        <f>(T27+T26)/2</f>
        <v/>
      </c>
      <c r="Z27" s="255">
        <f>IF(Z$1="No activity",0,IF($F27*(1+'Deterministic LCCA'!$B$31)^AB$1&gt;'Deterministic LCCA'!$E$45*'Deterministic LCCA'!$C$32,'Deterministic LCCA'!$E$45*'Deterministic LCCA'!$C$32, $F27*(1+'Deterministic LCCA'!$B$31)^AB$1))</f>
        <v/>
      </c>
      <c r="AA27" s="185">
        <f>IF($A27="WZ",'Deterministic LCCA'!$C$45*'Deterministic LCCA'!$C$44,1900*'Deterministic LCCA'!$C$32)</f>
        <v/>
      </c>
      <c r="AB27" s="197">
        <f>Z27-AA27</f>
        <v/>
      </c>
      <c r="AC27" s="261">
        <f>IF(AC26=0, IF(AB27&lt;0,0,AB27+AC26), IF((AC26+AB27)&lt;0,0,AC26+AB27))</f>
        <v/>
      </c>
      <c r="AD27" s="185">
        <f>IF($A27="WZ",IF(AB27&lt;0,Z27,AA27),0)</f>
        <v/>
      </c>
      <c r="AE27" s="196">
        <f>IF(AC27&gt;0,AA27,0)</f>
        <v/>
      </c>
      <c r="AF27" s="197">
        <f>IF(AC27=0,0,Z27)</f>
        <v/>
      </c>
      <c r="AG27" s="197" t="n">
        <v>0</v>
      </c>
      <c r="AH27" s="198">
        <f>(AC27+AC26)/2</f>
        <v/>
      </c>
      <c r="AI27" s="255">
        <f>IF(Z$1="No activity",0,IF($G27*(1+'Deterministic LCCA'!$B$31)^AB$1&gt;'Deterministic LCCA'!$E$45*'Deterministic LCCA'!$C$32,'Deterministic LCCA'!$E$45*'Deterministic LCCA'!$C$32, $G27*(1+'Deterministic LCCA'!$B$31)^AB$1))</f>
        <v/>
      </c>
      <c r="AJ27" s="185">
        <f>IF($A27="WZ",'Deterministic LCCA'!$C$45*'Deterministic LCCA'!$C$44,1900*'Deterministic LCCA'!$E$32)</f>
        <v/>
      </c>
      <c r="AK27" s="197">
        <f>AI27-AJ27</f>
        <v/>
      </c>
      <c r="AL27" s="261">
        <f>IF(AL26=0, IF(AK27&lt;0,0,AK27+AL26), IF((AL26+AK27)&lt;0,0,AL26+AK27))</f>
        <v/>
      </c>
      <c r="AM27" s="185">
        <f>IF($A27="WZ",IF(AK27&lt;0,AI27,AJ27),0)</f>
        <v/>
      </c>
      <c r="AN27" s="196">
        <f>IF(AL27&gt;0,AJ27,0)</f>
        <v/>
      </c>
      <c r="AO27" s="197">
        <f>IF(AL27=0,0,AI27)</f>
        <v/>
      </c>
      <c r="AP27" s="197" t="n">
        <v>0</v>
      </c>
      <c r="AQ27" s="263">
        <f>(AL27+AL26)/2</f>
        <v/>
      </c>
    </row>
    <row r="28" spans="1:43">
      <c r="A28" s="244">
        <f>IF('Deterministic LCCA'!H49="Y", "WZ","Non-WZ")</f>
        <v/>
      </c>
      <c r="B28" s="264" t="s">
        <v>115</v>
      </c>
      <c r="C28" s="265" t="n">
        <v>1.7</v>
      </c>
      <c r="D28" s="214" t="n">
        <v>45</v>
      </c>
      <c r="E28" s="214">
        <f>100-D28</f>
        <v/>
      </c>
      <c r="F28" s="266">
        <f>'Deterministic LCCA'!$B$29*C28/100*D28/100</f>
        <v/>
      </c>
      <c r="G28" s="267">
        <f>'Deterministic LCCA'!$B$29*C28/100*E28/100</f>
        <v/>
      </c>
      <c r="H28" s="268">
        <f>IF(B$1="No activity",0,IF($F28*(1+'Deterministic LCCA'!$B$31)^C$1&gt;'Deterministic LCCA'!$E$45*'Deterministic LCCA'!$C$32,'Deterministic LCCA'!$E$45*'Deterministic LCCA'!$C$32, $F28*(1+'Deterministic LCCA'!$B$31)^C$1))</f>
        <v/>
      </c>
      <c r="I28" s="185">
        <f>IF($A28="WZ",'Deterministic LCCA'!$C$45*'Deterministic LCCA'!$C$44,1900*'Deterministic LCCA'!$C$32)</f>
        <v/>
      </c>
      <c r="J28" s="269">
        <f>H28-I28</f>
        <v/>
      </c>
      <c r="K28" s="270">
        <f>IF(K27=0, IF(J28&lt;0,0,J28+K27), IF((K27+J28)&lt;0,0,K27+J28))</f>
        <v/>
      </c>
      <c r="L28" s="185">
        <f>IF($A28="WZ",IF(J28&lt;0,H28,I28),0)</f>
        <v/>
      </c>
      <c r="M28" s="271">
        <f>IF(K28&gt;0,I28,0)</f>
        <v/>
      </c>
      <c r="N28" s="269">
        <f>IF(K28=0,0,H28)</f>
        <v/>
      </c>
      <c r="O28" s="269" t="n">
        <v>0</v>
      </c>
      <c r="P28" s="272">
        <f>(K28+K27)/2</f>
        <v/>
      </c>
      <c r="Q28" s="255">
        <f>IF(K$1="No activity",0,IF($G28*(1+'Deterministic LCCA'!$B$31)^L$1&gt;'Deterministic LCCA'!$E$45*'Deterministic LCCA'!$C$32,'Deterministic LCCA'!$E$45*'Deterministic LCCA'!$C$32, $G28*(1+'Deterministic LCCA'!$B$31)^L$1))</f>
        <v/>
      </c>
      <c r="R28" s="185">
        <f>IF($A28="WZ",'Deterministic LCCA'!$C$45*'Deterministic LCCA'!$C$44,1900*'Deterministic LCCA'!$E$32)</f>
        <v/>
      </c>
      <c r="S28" s="215">
        <f>Q28-R28</f>
        <v/>
      </c>
      <c r="T28" s="273">
        <f>IF(T27=0, IF(S28&lt;0,0,S28+T27), IF((T27+S28)&lt;0,0,T27+S28))</f>
        <v/>
      </c>
      <c r="U28" s="185">
        <f>IF($A28="WZ",IF(S28&lt;0,Q28,R28),0)</f>
        <v/>
      </c>
      <c r="V28" s="214">
        <f>IF(T28&gt;0,R28,0)</f>
        <v/>
      </c>
      <c r="W28" s="215">
        <f>IF(T28=0,0,Q28)</f>
        <v/>
      </c>
      <c r="X28" s="215" t="n">
        <v>0</v>
      </c>
      <c r="Y28" s="274">
        <f>(T28+T27)/2</f>
        <v/>
      </c>
      <c r="Z28" s="255">
        <f>IF(Z$1="No activity",0,IF($F28*(1+'Deterministic LCCA'!$B$31)^AB$1&gt;'Deterministic LCCA'!$E$45*'Deterministic LCCA'!$C$32,'Deterministic LCCA'!$E$45*'Deterministic LCCA'!$C$32, $F28*(1+'Deterministic LCCA'!$B$31)^AB$1))</f>
        <v/>
      </c>
      <c r="AA28" s="185">
        <f>IF($A28="WZ",'Deterministic LCCA'!$C$45*'Deterministic LCCA'!$C$44,1900*'Deterministic LCCA'!$C$32)</f>
        <v/>
      </c>
      <c r="AB28" s="269">
        <f>Z28-AA28</f>
        <v/>
      </c>
      <c r="AC28" s="270">
        <f>IF(AC27=0, IF(AB28&lt;0,0,AB28+AC27), IF((AC27+AB28)&lt;0,0,AC27+AB28))</f>
        <v/>
      </c>
      <c r="AD28" s="185">
        <f>IF($A28="WZ",IF(AB28&lt;0,Z28,AA28),0)</f>
        <v/>
      </c>
      <c r="AE28" s="271">
        <f>IF(AC28&gt;0,AA28,0)</f>
        <v/>
      </c>
      <c r="AF28" s="269">
        <f>IF(AC28=0,0,Z28)</f>
        <v/>
      </c>
      <c r="AG28" s="269" t="n">
        <v>0</v>
      </c>
      <c r="AH28" s="272">
        <f>(AC28+AC27)/2</f>
        <v/>
      </c>
      <c r="AI28" s="255">
        <f>IF(Z$1="No activity",0,IF($G28*(1+'Deterministic LCCA'!$B$31)^AB$1&gt;'Deterministic LCCA'!$E$45*'Deterministic LCCA'!$C$32,'Deterministic LCCA'!$E$45*'Deterministic LCCA'!$C$32, $G28*(1+'Deterministic LCCA'!$B$31)^AB$1))</f>
        <v/>
      </c>
      <c r="AJ28" s="185">
        <f>IF($A28="WZ",'Deterministic LCCA'!$C$45*'Deterministic LCCA'!$C$44,1900*'Deterministic LCCA'!$E$32)</f>
        <v/>
      </c>
      <c r="AK28" s="215">
        <f>AI28-AJ28</f>
        <v/>
      </c>
      <c r="AL28" s="273">
        <f>IF(AL27=0, IF(AK28&lt;0,0,AK28+AL27), IF((AL27+AK28)&lt;0,0,AL27+AK28))</f>
        <v/>
      </c>
      <c r="AM28" s="185">
        <f>IF($A28="WZ",IF(AK28&lt;0,AI28,AJ28),0)</f>
        <v/>
      </c>
      <c r="AN28" s="214">
        <f>IF(AL28&gt;0,AJ28,0)</f>
        <v/>
      </c>
      <c r="AO28" s="215">
        <f>IF(AL28=0,0,AI28)</f>
        <v/>
      </c>
      <c r="AP28" s="215" t="n">
        <v>0</v>
      </c>
      <c r="AQ28" s="274">
        <f>(AL28+AL27)/2</f>
        <v/>
      </c>
    </row>
    <row r="29" spans="1:43">
      <c r="A29" s="275" t="n"/>
      <c r="B29" s="276" t="n"/>
      <c r="C29" s="276" t="n"/>
      <c r="D29" s="276" t="n"/>
      <c r="E29" s="276" t="n"/>
      <c r="F29" s="276" t="n"/>
      <c r="G29" s="277" t="n"/>
      <c r="H29" s="440" t="s">
        <v>249</v>
      </c>
      <c r="I29" s="440" t="n"/>
      <c r="J29" s="440" t="n"/>
      <c r="K29" s="440" t="n"/>
      <c r="L29" s="278">
        <f>SUM(L5:L28)</f>
        <v/>
      </c>
      <c r="M29" s="278">
        <f>SUM(M5:M28)</f>
        <v/>
      </c>
      <c r="N29" s="278">
        <f>SUM(N5:N28)</f>
        <v/>
      </c>
      <c r="O29" s="278">
        <f>SUM(O5:O28)</f>
        <v/>
      </c>
      <c r="P29" s="279" t="n"/>
      <c r="Q29" s="440" t="s">
        <v>249</v>
      </c>
      <c r="R29" s="440" t="n"/>
      <c r="S29" s="440" t="n"/>
      <c r="T29" s="440" t="n"/>
      <c r="U29" s="266">
        <f>SUM(U5:U28)</f>
        <v/>
      </c>
      <c r="V29" s="266">
        <f>SUM(V5:V28)</f>
        <v/>
      </c>
      <c r="W29" s="266">
        <f>SUM(W5:W28)</f>
        <v/>
      </c>
      <c r="X29" s="266">
        <f>SUM(X5:X28)</f>
        <v/>
      </c>
      <c r="Y29" s="280" t="n"/>
      <c r="Z29" s="440" t="s">
        <v>249</v>
      </c>
      <c r="AA29" s="440" t="n"/>
      <c r="AB29" s="440" t="n"/>
      <c r="AC29" s="440" t="n"/>
      <c r="AD29" s="278">
        <f>SUM(AD5:AD28)</f>
        <v/>
      </c>
      <c r="AE29" s="278">
        <f>SUM(AE5:AE28)</f>
        <v/>
      </c>
      <c r="AF29" s="278">
        <f>SUM(AF5:AF28)</f>
        <v/>
      </c>
      <c r="AG29" s="278">
        <f>SUM(AG5:AG28)</f>
        <v/>
      </c>
      <c r="AH29" s="279" t="n"/>
      <c r="AI29" s="440" t="s">
        <v>249</v>
      </c>
      <c r="AJ29" s="440" t="n"/>
      <c r="AK29" s="440" t="n"/>
      <c r="AL29" s="440" t="n"/>
      <c r="AM29" s="266">
        <f>SUM(AM5:AM28)</f>
        <v/>
      </c>
      <c r="AN29" s="266">
        <f>SUM(AN5:AN28)</f>
        <v/>
      </c>
      <c r="AO29" s="266">
        <f>SUM(AO5:AO28)</f>
        <v/>
      </c>
      <c r="AP29" s="266">
        <f>SUM(AP5:AP28)</f>
        <v/>
      </c>
      <c r="AQ29" s="280" t="n"/>
    </row>
    <row r="30" spans="1:43">
      <c r="H30" s="290" t="n"/>
      <c r="I30" s="85" t="n"/>
      <c r="L30" s="290" t="n"/>
      <c r="M30" s="290" t="n"/>
      <c r="N30" s="290" t="n"/>
      <c r="O30" s="290" t="n"/>
      <c r="S30" s="85" t="n"/>
      <c r="T30" s="85" t="n"/>
      <c r="U30" s="290" t="n"/>
      <c r="V30" s="290" t="n"/>
      <c r="W30" s="290" t="n"/>
      <c r="X30" s="290" t="n"/>
      <c r="Y30" s="85" t="n"/>
      <c r="Z30" s="290" t="n"/>
      <c r="AA30" s="85" t="n"/>
      <c r="AB30" s="85" t="n"/>
      <c r="AC30" s="85" t="n"/>
      <c r="AD30" s="290" t="n"/>
      <c r="AE30" s="290" t="n"/>
      <c r="AF30" s="290" t="n"/>
      <c r="AG30" s="290" t="n"/>
      <c r="AH30" s="85" t="n"/>
      <c r="AI30" s="85" t="n"/>
      <c r="AJ30" s="85" t="n"/>
      <c r="AK30" s="85" t="n"/>
      <c r="AL30" s="85" t="n"/>
    </row>
    <row r="31" spans="1:43">
      <c r="H31" s="281" t="n"/>
      <c r="I31" s="282" t="n"/>
      <c r="J31" s="283" t="n"/>
      <c r="K31" s="283" t="s">
        <v>74</v>
      </c>
      <c r="L31" s="283" t="n"/>
      <c r="M31" s="282" t="n"/>
      <c r="N31" s="284" t="n"/>
      <c r="O31" s="282" t="n"/>
      <c r="P31" s="283" t="n"/>
      <c r="Q31" s="283" t="s">
        <v>75</v>
      </c>
      <c r="R31" s="283" t="n"/>
      <c r="S31" s="283" t="n"/>
      <c r="T31" s="284" t="n"/>
      <c r="Z31" s="281" t="n"/>
      <c r="AA31" s="282" t="n"/>
      <c r="AB31" s="283" t="n"/>
      <c r="AC31" s="283" t="s">
        <v>74</v>
      </c>
      <c r="AD31" s="283" t="n"/>
      <c r="AE31" s="282" t="n"/>
      <c r="AF31" s="284" t="n"/>
      <c r="AG31" s="282" t="n"/>
      <c r="AH31" s="283" t="n"/>
      <c r="AI31" s="283" t="s">
        <v>75</v>
      </c>
      <c r="AJ31" s="283" t="n"/>
      <c r="AK31" s="283" t="n"/>
      <c r="AL31" s="284" t="n"/>
    </row>
    <row customHeight="1" ht="45.4" r="32" s="386" spans="1:43">
      <c r="H32" s="285" t="s">
        <v>250</v>
      </c>
      <c r="I32" s="286" t="s">
        <v>251</v>
      </c>
      <c r="J32" s="287" t="s">
        <v>252</v>
      </c>
      <c r="K32" s="287" t="s">
        <v>253</v>
      </c>
      <c r="L32" s="287" t="s">
        <v>254</v>
      </c>
      <c r="M32" s="287" t="s">
        <v>255</v>
      </c>
      <c r="N32" s="288" t="s">
        <v>256</v>
      </c>
      <c r="O32" s="286" t="s">
        <v>251</v>
      </c>
      <c r="P32" s="287" t="s">
        <v>252</v>
      </c>
      <c r="Q32" s="287" t="s">
        <v>253</v>
      </c>
      <c r="R32" s="287" t="s">
        <v>254</v>
      </c>
      <c r="S32" s="287" t="s">
        <v>255</v>
      </c>
      <c r="T32" s="288" t="s">
        <v>256</v>
      </c>
      <c r="Z32" s="285" t="s">
        <v>250</v>
      </c>
      <c r="AA32" s="286" t="s">
        <v>251</v>
      </c>
      <c r="AB32" s="287" t="s">
        <v>252</v>
      </c>
      <c r="AC32" s="287" t="s">
        <v>253</v>
      </c>
      <c r="AD32" s="287" t="s">
        <v>254</v>
      </c>
      <c r="AE32" s="287" t="s">
        <v>255</v>
      </c>
      <c r="AF32" s="288" t="s">
        <v>256</v>
      </c>
      <c r="AG32" s="286" t="s">
        <v>251</v>
      </c>
      <c r="AH32" s="287" t="s">
        <v>252</v>
      </c>
      <c r="AI32" s="287" t="s">
        <v>253</v>
      </c>
      <c r="AJ32" s="287" t="s">
        <v>254</v>
      </c>
      <c r="AK32" s="287" t="s">
        <v>255</v>
      </c>
      <c r="AL32" s="288" t="s">
        <v>256</v>
      </c>
    </row>
    <row r="33" spans="1:43">
      <c r="H33" s="289" t="s">
        <v>257</v>
      </c>
      <c r="I33" s="290">
        <f>SUM(M15:M19)</f>
        <v/>
      </c>
      <c r="J33" s="290">
        <f>AVERAGE(P15:P19)</f>
        <v/>
      </c>
      <c r="K33" s="298">
        <f>J33/4*40/5280</f>
        <v/>
      </c>
      <c r="L33" s="298">
        <f>K33/8</f>
        <v/>
      </c>
      <c r="M33" s="298">
        <f>K33/65</f>
        <v/>
      </c>
      <c r="N33" s="291">
        <f>L33-M33</f>
        <v/>
      </c>
      <c r="O33" s="290">
        <f>SUM(V15:V19)</f>
        <v/>
      </c>
      <c r="P33" s="290">
        <f>AVERAGE(Y15:Y19)</f>
        <v/>
      </c>
      <c r="Q33" s="298">
        <f>P33/4*40/5280</f>
        <v/>
      </c>
      <c r="R33" s="298">
        <f>Q33/8</f>
        <v/>
      </c>
      <c r="S33" s="298">
        <f>Q33/65</f>
        <v/>
      </c>
      <c r="T33" s="291">
        <f>R33-S33</f>
        <v/>
      </c>
      <c r="Z33" s="289" t="s">
        <v>257</v>
      </c>
      <c r="AA33" s="290">
        <f>SUM(AE15:AE19)</f>
        <v/>
      </c>
      <c r="AB33" s="290">
        <f>AVERAGE(AH15:AH19)</f>
        <v/>
      </c>
      <c r="AC33" s="298">
        <f>AB33/4*40/5280</f>
        <v/>
      </c>
      <c r="AD33" s="298">
        <f>AC33/8</f>
        <v/>
      </c>
      <c r="AE33" s="298">
        <f>AC33/65</f>
        <v/>
      </c>
      <c r="AF33" s="291">
        <f>AD33-AE33</f>
        <v/>
      </c>
      <c r="AG33" s="290">
        <f>SUM(AN15:AN19)</f>
        <v/>
      </c>
      <c r="AH33" s="290">
        <f>AVERAGE(AQ15:AQ19)</f>
        <v/>
      </c>
      <c r="AI33" s="298">
        <f>AH33/4*40/5280</f>
        <v/>
      </c>
      <c r="AJ33" s="298">
        <f>AI33/8</f>
        <v/>
      </c>
      <c r="AK33" s="298">
        <f>AI33/65</f>
        <v/>
      </c>
      <c r="AL33" s="291">
        <f>AJ33-AK33</f>
        <v/>
      </c>
    </row>
    <row r="34" spans="1:43">
      <c r="H34" s="289" t="s">
        <v>258</v>
      </c>
      <c r="I34" s="290">
        <f>SUM(M20:M23)</f>
        <v/>
      </c>
      <c r="J34" s="290">
        <f>AVERAGE(P19:P23)</f>
        <v/>
      </c>
      <c r="K34" s="298">
        <f>J34/4*40/5280</f>
        <v/>
      </c>
      <c r="L34" s="298">
        <f>K34/18</f>
        <v/>
      </c>
      <c r="M34" s="298">
        <f>K34/65</f>
        <v/>
      </c>
      <c r="N34" s="291">
        <f>L34-M34</f>
        <v/>
      </c>
      <c r="O34" s="290">
        <f>SUM(V20:V23)</f>
        <v/>
      </c>
      <c r="P34" s="290">
        <f>AVERAGE(Y19:Y23)</f>
        <v/>
      </c>
      <c r="Q34" s="298">
        <f>P34/4*40/5280</f>
        <v/>
      </c>
      <c r="R34" s="298">
        <f>Q34/18</f>
        <v/>
      </c>
      <c r="S34" s="298">
        <f>Q34/65</f>
        <v/>
      </c>
      <c r="T34" s="291">
        <f>R34-S34</f>
        <v/>
      </c>
      <c r="Z34" s="289" t="s">
        <v>258</v>
      </c>
      <c r="AA34" s="290">
        <f>SUM(AE20:AE23)</f>
        <v/>
      </c>
      <c r="AB34" s="290">
        <f>AVERAGE(AH19:AH23)</f>
        <v/>
      </c>
      <c r="AC34" s="298">
        <f>AB34/4*40/5280</f>
        <v/>
      </c>
      <c r="AD34" s="298">
        <f>AC34/18</f>
        <v/>
      </c>
      <c r="AE34" s="298">
        <f>AC34/65</f>
        <v/>
      </c>
      <c r="AF34" s="291">
        <f>AD34-AE34</f>
        <v/>
      </c>
      <c r="AG34" s="290">
        <f>SUM(AN20:AN23)</f>
        <v/>
      </c>
      <c r="AH34" s="290">
        <f>AVERAGE(AQ19:AQ23)</f>
        <v/>
      </c>
      <c r="AI34" s="298">
        <f>AH34/4*40/5280</f>
        <v/>
      </c>
      <c r="AJ34" s="298">
        <f>AI34/18</f>
        <v/>
      </c>
      <c r="AK34" s="298">
        <f>AI34/65</f>
        <v/>
      </c>
      <c r="AL34" s="291">
        <f>AJ34-AK34</f>
        <v/>
      </c>
    </row>
    <row r="35" spans="1:43">
      <c r="H35" s="292" t="s">
        <v>259</v>
      </c>
      <c r="I35" s="293">
        <f>SUM(M24:M28)</f>
        <v/>
      </c>
      <c r="J35" s="293">
        <f>AVERAGE(P24:P28)</f>
        <v/>
      </c>
      <c r="K35" s="294">
        <f>J35/4*40/5280</f>
        <v/>
      </c>
      <c r="L35" s="294">
        <f>K35/8</f>
        <v/>
      </c>
      <c r="M35" s="294">
        <f>K35/65</f>
        <v/>
      </c>
      <c r="N35" s="295">
        <f>L35-M35</f>
        <v/>
      </c>
      <c r="O35" s="293">
        <f>SUM(V24:V28)</f>
        <v/>
      </c>
      <c r="P35" s="293">
        <f>AVERAGE(Y24:Y28)</f>
        <v/>
      </c>
      <c r="Q35" s="294">
        <f>P35/4*40/5280</f>
        <v/>
      </c>
      <c r="R35" s="294">
        <f>Q35/8</f>
        <v/>
      </c>
      <c r="S35" s="294">
        <f>Q35/65</f>
        <v/>
      </c>
      <c r="T35" s="295">
        <f>R35-S35</f>
        <v/>
      </c>
      <c r="Z35" s="292" t="s">
        <v>259</v>
      </c>
      <c r="AA35" s="293">
        <f>SUM(AE24:AE28)</f>
        <v/>
      </c>
      <c r="AB35" s="293">
        <f>AVERAGE(AH24:AH28)</f>
        <v/>
      </c>
      <c r="AC35" s="294">
        <f>AB35/4*40/5280</f>
        <v/>
      </c>
      <c r="AD35" s="294">
        <f>AC35/8</f>
        <v/>
      </c>
      <c r="AE35" s="294">
        <f>AC35/65</f>
        <v/>
      </c>
      <c r="AF35" s="295">
        <f>AD35-AE35</f>
        <v/>
      </c>
      <c r="AG35" s="293">
        <f>SUM(AN24:AN28)</f>
        <v/>
      </c>
      <c r="AH35" s="293">
        <f>AVERAGE(AQ24:AQ28)</f>
        <v/>
      </c>
      <c r="AI35" s="294">
        <f>AH35/4*40/5280</f>
        <v/>
      </c>
      <c r="AJ35" s="294">
        <f>AI35/8</f>
        <v/>
      </c>
      <c r="AK35" s="294">
        <f>AI35/65</f>
        <v/>
      </c>
      <c r="AL35" s="295">
        <f>AJ35-AK35</f>
        <v/>
      </c>
    </row>
    <row r="36" spans="1:43">
      <c r="H36" s="296" t="n"/>
      <c r="I36" s="297" t="n"/>
      <c r="J36" s="316" t="n"/>
      <c r="K36" s="298" t="n"/>
      <c r="L36" s="298" t="n"/>
      <c r="M36" s="298" t="n"/>
      <c r="N36" s="298" t="n"/>
      <c r="O36" s="297" t="n"/>
      <c r="Z36" s="296" t="n"/>
      <c r="AA36" s="297" t="n"/>
      <c r="AB36" s="316" t="n"/>
      <c r="AC36" s="298" t="n"/>
      <c r="AD36" s="298" t="n"/>
      <c r="AE36" s="298" t="n"/>
      <c r="AF36" s="298" t="n"/>
      <c r="AG36" s="297" t="n"/>
    </row>
    <row r="37" spans="1:43">
      <c r="A37" t="s">
        <v>221</v>
      </c>
      <c r="B37" s="290" t="s">
        <v>260</v>
      </c>
      <c r="C37" s="290" t="s">
        <v>261</v>
      </c>
      <c r="D37" s="290" t="s">
        <v>262</v>
      </c>
      <c r="E37" s="85" t="s">
        <v>263</v>
      </c>
      <c r="F37" s="85" t="s">
        <v>264</v>
      </c>
      <c r="G37" s="299" t="s">
        <v>265</v>
      </c>
      <c r="I37" s="300" t="s">
        <v>266</v>
      </c>
      <c r="J37" s="301" t="n"/>
      <c r="K37" s="301" t="n"/>
      <c r="L37" s="302" t="n"/>
      <c r="M37" s="303" t="n"/>
      <c r="N37" s="429" t="n"/>
      <c r="O37" s="303" t="n"/>
      <c r="P37" s="303" t="n"/>
      <c r="Q37" s="303" t="n"/>
      <c r="R37" s="303" t="n"/>
      <c r="S37" s="303" t="n"/>
      <c r="T37" s="429" t="n"/>
      <c r="AA37" s="300" t="s">
        <v>266</v>
      </c>
      <c r="AB37" s="301" t="n"/>
      <c r="AC37" s="301" t="n"/>
      <c r="AD37" s="302" t="n"/>
      <c r="AE37" s="303" t="n"/>
      <c r="AF37" s="429" t="n"/>
      <c r="AG37" s="303" t="n"/>
      <c r="AH37" s="303" t="n"/>
      <c r="AI37" s="303" t="n"/>
      <c r="AJ37" s="303" t="n"/>
      <c r="AK37" s="303" t="n"/>
      <c r="AL37" s="429" t="n"/>
    </row>
    <row customFormat="1" customHeight="1" ht="46.5" r="38" s="305" spans="1:43">
      <c r="B38" s="290" t="s">
        <v>267</v>
      </c>
      <c r="C38" s="290" t="n">
        <v>30</v>
      </c>
      <c r="D38" s="306">
        <f>J53</f>
        <v/>
      </c>
      <c r="E38" s="306">
        <f>D38/(1+'Deterministic LCCA'!$B$18)^C38</f>
        <v/>
      </c>
      <c r="F38" s="306">
        <f>L53</f>
        <v/>
      </c>
      <c r="G38" s="306">
        <f>F38/(1+'Deterministic LCCA'!$B$18)^C38</f>
        <v/>
      </c>
      <c r="I38" s="307" t="s">
        <v>74</v>
      </c>
      <c r="J38" s="308" t="s">
        <v>268</v>
      </c>
      <c r="K38" s="308" t="s">
        <v>269</v>
      </c>
      <c r="L38" s="308" t="s">
        <v>270</v>
      </c>
      <c r="M38" s="309" t="s">
        <v>271</v>
      </c>
      <c r="N38" s="310" t="s">
        <v>272</v>
      </c>
      <c r="O38" s="311" t="s">
        <v>75</v>
      </c>
      <c r="P38" s="311" t="s">
        <v>268</v>
      </c>
      <c r="Q38" s="311" t="s">
        <v>269</v>
      </c>
      <c r="R38" s="311" t="s">
        <v>270</v>
      </c>
      <c r="S38" s="50" t="s">
        <v>271</v>
      </c>
      <c r="T38" s="312" t="s">
        <v>272</v>
      </c>
      <c r="AA38" s="307" t="s">
        <v>74</v>
      </c>
      <c r="AB38" s="308" t="s">
        <v>268</v>
      </c>
      <c r="AC38" s="308" t="s">
        <v>269</v>
      </c>
      <c r="AD38" s="308" t="s">
        <v>270</v>
      </c>
      <c r="AE38" s="309" t="s">
        <v>271</v>
      </c>
      <c r="AF38" s="310" t="s">
        <v>272</v>
      </c>
      <c r="AG38" s="311" t="s">
        <v>75</v>
      </c>
      <c r="AH38" s="311" t="s">
        <v>268</v>
      </c>
      <c r="AI38" s="311" t="s">
        <v>269</v>
      </c>
      <c r="AJ38" s="311" t="s">
        <v>270</v>
      </c>
      <c r="AK38" s="50" t="s">
        <v>271</v>
      </c>
      <c r="AL38" s="312" t="s">
        <v>272</v>
      </c>
    </row>
    <row r="39" spans="1:43">
      <c r="B39" s="290" t="s">
        <v>273</v>
      </c>
      <c r="C39" s="290" t="n">
        <v>60</v>
      </c>
      <c r="D39" s="306">
        <f>AB53</f>
        <v/>
      </c>
      <c r="E39" s="306">
        <f>D39/(1+'Deterministic LCCA'!$B$18)^C39</f>
        <v/>
      </c>
      <c r="F39" s="306">
        <f>AD53</f>
        <v/>
      </c>
      <c r="G39" s="306">
        <f>F39/(1+'Deterministic LCCA'!B18)^C39</f>
        <v/>
      </c>
      <c r="I39" s="313" t="s">
        <v>274</v>
      </c>
      <c r="J39" s="290">
        <f>O29*(1-0.155)</f>
        <v/>
      </c>
      <c r="K39" s="314">
        <f>109.02-21.74</f>
        <v/>
      </c>
      <c r="L39" s="306">
        <f>J39/1000*K39*60</f>
        <v/>
      </c>
      <c r="M39" s="85">
        <f>6.78-2.49</f>
        <v/>
      </c>
      <c r="N39" s="315">
        <f>M39*J39/1000*'Deterministic LCCA'!$C$33*60</f>
        <v/>
      </c>
      <c r="O39" s="316" t="s">
        <v>274</v>
      </c>
      <c r="P39" s="316">
        <f>X29*(1-0.155)</f>
        <v/>
      </c>
      <c r="Q39" s="317">
        <f>109.02-21.74</f>
        <v/>
      </c>
      <c r="R39" s="306">
        <f>P39/1000*Q39*60</f>
        <v/>
      </c>
      <c r="S39" s="85">
        <f>6.78-2.49</f>
        <v/>
      </c>
      <c r="T39" s="315">
        <f>S39*P39/1000*'Deterministic LCCA'!$C$33*60</f>
        <v/>
      </c>
      <c r="AA39" s="313" t="s">
        <v>274</v>
      </c>
      <c r="AB39" s="290">
        <f>AG29*(1-0.155)</f>
        <v/>
      </c>
      <c r="AC39" s="314">
        <f>109.02-21.74</f>
        <v/>
      </c>
      <c r="AD39" s="306">
        <f>AB39/1000*AC39*60</f>
        <v/>
      </c>
      <c r="AE39" s="85">
        <f>6.78-2.49</f>
        <v/>
      </c>
      <c r="AF39" s="315">
        <f>AE39*AB39/1000*'Deterministic LCCA'!$C$33*60</f>
        <v/>
      </c>
      <c r="AG39" s="316" t="s">
        <v>274</v>
      </c>
      <c r="AH39" s="316">
        <f>AP29*(1-0.155)</f>
        <v/>
      </c>
      <c r="AI39" s="317">
        <f>109.02-21.74</f>
        <v/>
      </c>
      <c r="AJ39" s="306">
        <f>AH39/1000*AI39*60</f>
        <v/>
      </c>
      <c r="AK39" s="85">
        <f>6.78-2.49</f>
        <v/>
      </c>
      <c r="AL39" s="315">
        <f>AK39*AH39/1000*'Deterministic LCCA'!$C$33*60</f>
        <v/>
      </c>
    </row>
    <row r="40" spans="1:43">
      <c r="B40" s="290" t="s">
        <v>275</v>
      </c>
      <c r="C40" s="290" t="s">
        <v>50</v>
      </c>
      <c r="D40" s="306" t="n">
        <v>0</v>
      </c>
      <c r="E40" s="306" t="n">
        <v>0</v>
      </c>
      <c r="F40" s="85" t="n">
        <v>0</v>
      </c>
      <c r="G40" s="85" t="n">
        <v>0</v>
      </c>
      <c r="I40" s="313" t="s">
        <v>276</v>
      </c>
      <c r="J40" s="290">
        <f>O29*0.155</f>
        <v/>
      </c>
      <c r="K40" s="314">
        <f>195.84-48.4</f>
        <v/>
      </c>
      <c r="L40" s="306">
        <f>J40/1000*K40*60</f>
        <v/>
      </c>
      <c r="M40" s="85">
        <f>9.53-2.93</f>
        <v/>
      </c>
      <c r="N40" s="315">
        <f>M40*J40/1000*'Deterministic LCCA'!$E$33*60</f>
        <v/>
      </c>
      <c r="O40" s="316" t="s">
        <v>276</v>
      </c>
      <c r="P40" s="316">
        <f>X29*0.155</f>
        <v/>
      </c>
      <c r="Q40" s="317">
        <f>195.84-48.4</f>
        <v/>
      </c>
      <c r="R40" s="306">
        <f>P40/1000*Q40*60</f>
        <v/>
      </c>
      <c r="S40" s="85">
        <f>9.53-2.93</f>
        <v/>
      </c>
      <c r="T40" s="315">
        <f>S40*P40/1000*'Deterministic LCCA'!$E$33*60</f>
        <v/>
      </c>
      <c r="AA40" s="313" t="s">
        <v>276</v>
      </c>
      <c r="AB40" s="290">
        <f>AG29*0.155</f>
        <v/>
      </c>
      <c r="AC40" s="314">
        <f>195.84-48.4</f>
        <v/>
      </c>
      <c r="AD40" s="306">
        <f>AB40/1000*AC40*60</f>
        <v/>
      </c>
      <c r="AE40" s="85">
        <f>9.53-2.93</f>
        <v/>
      </c>
      <c r="AF40" s="315">
        <f>AE40*AB40/1000*'Deterministic LCCA'!$E$33*60</f>
        <v/>
      </c>
      <c r="AG40" s="316" t="s">
        <v>276</v>
      </c>
      <c r="AH40" s="316">
        <f>AP29*0.155</f>
        <v/>
      </c>
      <c r="AI40" s="317">
        <f>195.84-48.4</f>
        <v/>
      </c>
      <c r="AJ40" s="306">
        <f>AH40/1000*AI40*60</f>
        <v/>
      </c>
      <c r="AK40" s="85">
        <f>9.53-2.93</f>
        <v/>
      </c>
      <c r="AL40" s="315">
        <f>AK40*AH40/1000*'Deterministic LCCA'!$E$33*60</f>
        <v/>
      </c>
    </row>
    <row r="41" spans="1:43">
      <c r="B41" s="290" t="s">
        <v>249</v>
      </c>
      <c r="C41" s="290" t="n"/>
      <c r="D41" s="306" t="n"/>
      <c r="E41" s="306">
        <f>SUM(E38:E40)</f>
        <v/>
      </c>
      <c r="F41" s="85" t="n"/>
      <c r="G41" s="306">
        <f>SUM(G38:G40)</f>
        <v/>
      </c>
      <c r="I41" s="318" t="n"/>
      <c r="J41" s="293" t="n"/>
      <c r="K41" s="293" t="n"/>
      <c r="L41" s="319">
        <f>SUM(L39:L40)</f>
        <v/>
      </c>
      <c r="M41" s="293" t="n"/>
      <c r="N41" s="320">
        <f>SUM(N39:N40)</f>
        <v/>
      </c>
      <c r="O41" s="321" t="n"/>
      <c r="P41" s="321" t="n"/>
      <c r="Q41" s="321" t="n"/>
      <c r="R41" s="319">
        <f>SUM(R39:R40)</f>
        <v/>
      </c>
      <c r="S41" s="321" t="n"/>
      <c r="T41" s="320">
        <f>SUM(T39:T40)</f>
        <v/>
      </c>
      <c r="AA41" s="318" t="n"/>
      <c r="AB41" s="293" t="n"/>
      <c r="AC41" s="293" t="n"/>
      <c r="AD41" s="319">
        <f>SUM(AD39:AD40)</f>
        <v/>
      </c>
      <c r="AE41" s="293" t="n"/>
      <c r="AF41" s="320">
        <f>SUM(AF39:AF40)</f>
        <v/>
      </c>
      <c r="AG41" s="321" t="n"/>
      <c r="AH41" s="321" t="n"/>
      <c r="AI41" s="321" t="n"/>
      <c r="AJ41" s="319">
        <f>SUM(AJ39:AJ40)</f>
        <v/>
      </c>
      <c r="AK41" s="321" t="n"/>
      <c r="AL41" s="320">
        <f>SUM(AL39:AL40)</f>
        <v/>
      </c>
    </row>
    <row r="42" spans="1:43">
      <c r="B42" s="290" t="n"/>
      <c r="C42" s="290" t="n"/>
      <c r="D42" s="306" t="n"/>
      <c r="E42" s="306" t="n"/>
      <c r="F42" s="85" t="n"/>
      <c r="G42" s="306" t="n"/>
      <c r="I42" s="300" t="s">
        <v>277</v>
      </c>
      <c r="J42" s="302" t="n"/>
      <c r="K42" s="302" t="n"/>
      <c r="L42" s="322" t="n"/>
      <c r="M42" s="303" t="n"/>
      <c r="N42" s="429" t="n"/>
      <c r="O42" s="301" t="n"/>
      <c r="P42" s="301" t="n"/>
      <c r="Q42" s="301" t="n"/>
      <c r="R42" s="322" t="n"/>
      <c r="S42" s="303" t="n"/>
      <c r="T42" s="429" t="n"/>
      <c r="AA42" s="300" t="s">
        <v>277</v>
      </c>
      <c r="AB42" s="302" t="n"/>
      <c r="AC42" s="302" t="n"/>
      <c r="AD42" s="322" t="n"/>
      <c r="AE42" s="303" t="n"/>
      <c r="AF42" s="429" t="n"/>
      <c r="AG42" s="301" t="n"/>
      <c r="AH42" s="301" t="n"/>
      <c r="AI42" s="301" t="n"/>
      <c r="AJ42" s="322" t="n"/>
      <c r="AK42" s="303" t="n"/>
      <c r="AL42" s="429" t="n"/>
    </row>
    <row customHeight="1" ht="60" r="43" s="386" spans="1:43">
      <c r="A43" t="s">
        <v>222</v>
      </c>
      <c r="B43" s="290" t="s">
        <v>260</v>
      </c>
      <c r="C43" s="290" t="s">
        <v>261</v>
      </c>
      <c r="D43" s="290" t="s">
        <v>262</v>
      </c>
      <c r="E43" s="85" t="s">
        <v>263</v>
      </c>
      <c r="F43" s="85" t="s">
        <v>264</v>
      </c>
      <c r="G43" s="299" t="s">
        <v>265</v>
      </c>
      <c r="I43" s="307" t="s">
        <v>74</v>
      </c>
      <c r="J43" s="308" t="s">
        <v>268</v>
      </c>
      <c r="K43" s="308" t="s">
        <v>269</v>
      </c>
      <c r="L43" s="308" t="s">
        <v>278</v>
      </c>
      <c r="M43" s="309" t="s">
        <v>271</v>
      </c>
      <c r="N43" s="310" t="s">
        <v>279</v>
      </c>
      <c r="O43" s="311" t="s">
        <v>75</v>
      </c>
      <c r="P43" s="311" t="s">
        <v>268</v>
      </c>
      <c r="Q43" s="311" t="s">
        <v>269</v>
      </c>
      <c r="R43" s="311" t="s">
        <v>278</v>
      </c>
      <c r="S43" s="50" t="s">
        <v>271</v>
      </c>
      <c r="T43" s="312" t="s">
        <v>279</v>
      </c>
      <c r="AA43" s="307" t="s">
        <v>74</v>
      </c>
      <c r="AB43" s="308" t="s">
        <v>268</v>
      </c>
      <c r="AC43" s="308" t="s">
        <v>269</v>
      </c>
      <c r="AD43" s="308" t="s">
        <v>278</v>
      </c>
      <c r="AE43" s="309" t="s">
        <v>271</v>
      </c>
      <c r="AF43" s="310" t="s">
        <v>279</v>
      </c>
      <c r="AG43" s="311" t="s">
        <v>75</v>
      </c>
      <c r="AH43" s="311" t="s">
        <v>268</v>
      </c>
      <c r="AI43" s="311" t="s">
        <v>269</v>
      </c>
      <c r="AJ43" s="311" t="s">
        <v>278</v>
      </c>
      <c r="AK43" s="50" t="s">
        <v>271</v>
      </c>
      <c r="AL43" s="312" t="s">
        <v>279</v>
      </c>
    </row>
    <row r="44" spans="1:43">
      <c r="B44" s="290" t="s">
        <v>267</v>
      </c>
      <c r="C44" s="290" t="n">
        <v>39</v>
      </c>
      <c r="D44" s="306" t="n">
        <v>2402322.40805513</v>
      </c>
      <c r="E44" s="306">
        <f>D44/(1+'Deterministic LCCA'!$B$18)^C44</f>
        <v/>
      </c>
      <c r="F44" s="306" t="n">
        <v>31074947.9149808</v>
      </c>
      <c r="G44" s="306">
        <f>F44/(1+'Deterministic LCCA'!$B$18)^C44</f>
        <v/>
      </c>
      <c r="I44" s="313" t="s">
        <v>274</v>
      </c>
      <c r="J44" s="290">
        <f>N29*(1-0.155)</f>
        <v/>
      </c>
      <c r="K44" s="314" t="n">
        <v>109.02</v>
      </c>
      <c r="L44" s="306">
        <f>J44/1000*K44*60</f>
        <v/>
      </c>
      <c r="M44" s="85" t="n">
        <v>6.78</v>
      </c>
      <c r="N44" s="315">
        <f>M44*J44/1000*'Deterministic LCCA'!$C$33*60</f>
        <v/>
      </c>
      <c r="O44" s="316" t="s">
        <v>274</v>
      </c>
      <c r="P44" s="316">
        <f>W29*(1-0.155)</f>
        <v/>
      </c>
      <c r="Q44" s="317" t="n">
        <v>109.02</v>
      </c>
      <c r="R44" s="306">
        <f>P44/1000*Q44*60</f>
        <v/>
      </c>
      <c r="S44" s="85" t="n">
        <v>6.78</v>
      </c>
      <c r="T44" s="315">
        <f>S44*P44/1000*'Deterministic LCCA'!$C$33*60</f>
        <v/>
      </c>
      <c r="AA44" s="313" t="s">
        <v>274</v>
      </c>
      <c r="AB44" s="290">
        <f>AF29*(1-0.155)</f>
        <v/>
      </c>
      <c r="AC44" s="314" t="n">
        <v>109.02</v>
      </c>
      <c r="AD44" s="306">
        <f>AB44/1000*AC44*60</f>
        <v/>
      </c>
      <c r="AE44" s="85" t="n">
        <v>6.78</v>
      </c>
      <c r="AF44" s="315">
        <f>AE44*AB44/1000*'Deterministic LCCA'!$C$33*60</f>
        <v/>
      </c>
      <c r="AG44" s="316" t="s">
        <v>274</v>
      </c>
      <c r="AH44" s="316">
        <f>AO29*(1-0.155)</f>
        <v/>
      </c>
      <c r="AI44" s="317" t="n">
        <v>109.02</v>
      </c>
      <c r="AJ44" s="306">
        <f>AH44/1000*AI44*60</f>
        <v/>
      </c>
      <c r="AK44" s="85" t="n">
        <v>6.78</v>
      </c>
      <c r="AL44" s="315">
        <f>AK44*AH44/1000*'Deterministic LCCA'!$C$33*60</f>
        <v/>
      </c>
    </row>
    <row r="45" spans="1:43">
      <c r="B45" s="290" t="s">
        <v>273</v>
      </c>
      <c r="C45" s="290" t="s">
        <v>50</v>
      </c>
      <c r="D45" s="306" t="n">
        <v>0</v>
      </c>
      <c r="E45" s="306" t="n">
        <v>0</v>
      </c>
      <c r="F45" s="85" t="n">
        <v>0</v>
      </c>
      <c r="G45" s="85" t="n">
        <v>0</v>
      </c>
      <c r="I45" s="313" t="s">
        <v>276</v>
      </c>
      <c r="J45" s="290">
        <f>N29*0.155</f>
        <v/>
      </c>
      <c r="K45" s="314" t="n">
        <v>195.84</v>
      </c>
      <c r="L45" s="306">
        <f>J45/1000*K45*60</f>
        <v/>
      </c>
      <c r="M45" s="85" t="n">
        <v>9.529999999999999</v>
      </c>
      <c r="N45" s="315">
        <f>M45*J45/1000*'Deterministic LCCA'!$E$33*60</f>
        <v/>
      </c>
      <c r="O45" s="316" t="s">
        <v>276</v>
      </c>
      <c r="P45" s="316">
        <f>W29*0.155</f>
        <v/>
      </c>
      <c r="Q45" s="317" t="n">
        <v>195.84</v>
      </c>
      <c r="R45" s="306">
        <f>P45/1000*Q45*60</f>
        <v/>
      </c>
      <c r="S45" s="85" t="n">
        <v>9.529999999999999</v>
      </c>
      <c r="T45" s="315">
        <f>S45*P45/1000*'Deterministic LCCA'!$E$33*60</f>
        <v/>
      </c>
      <c r="AA45" s="313" t="s">
        <v>276</v>
      </c>
      <c r="AB45" s="290">
        <f>AF29*0.155</f>
        <v/>
      </c>
      <c r="AC45" s="314" t="n">
        <v>195.84</v>
      </c>
      <c r="AD45" s="306">
        <f>AB45/1000*AC45*60</f>
        <v/>
      </c>
      <c r="AE45" s="85" t="n">
        <v>9.529999999999999</v>
      </c>
      <c r="AF45" s="315">
        <f>AE45*AB45/1000*'Deterministic LCCA'!$E$33*60</f>
        <v/>
      </c>
      <c r="AG45" s="316" t="s">
        <v>276</v>
      </c>
      <c r="AH45" s="316">
        <f>AO29*0.155</f>
        <v/>
      </c>
      <c r="AI45" s="317" t="n">
        <v>195.84</v>
      </c>
      <c r="AJ45" s="306">
        <f>AH45/1000*AI45*60</f>
        <v/>
      </c>
      <c r="AK45" s="85" t="n">
        <v>9.529999999999999</v>
      </c>
      <c r="AL45" s="315">
        <f>AK45*AH45/1000*'Deterministic LCCA'!$E$33*60</f>
        <v/>
      </c>
    </row>
    <row r="46" spans="1:43">
      <c r="B46" s="290" t="s">
        <v>275</v>
      </c>
      <c r="C46" s="290" t="s">
        <v>50</v>
      </c>
      <c r="D46" s="290" t="n">
        <v>0</v>
      </c>
      <c r="E46" s="306" t="n">
        <v>0</v>
      </c>
      <c r="F46" s="306" t="n">
        <v>0</v>
      </c>
      <c r="G46" s="85" t="n">
        <v>0</v>
      </c>
      <c r="I46" s="318" t="n"/>
      <c r="J46" s="293" t="n"/>
      <c r="K46" s="293" t="n"/>
      <c r="L46" s="319">
        <f>SUM(L44:L45)</f>
        <v/>
      </c>
      <c r="M46" s="293" t="n"/>
      <c r="N46" s="320">
        <f>SUM(N44:N45)</f>
        <v/>
      </c>
      <c r="O46" s="321" t="n"/>
      <c r="P46" s="321" t="s">
        <v>280</v>
      </c>
      <c r="Q46" s="321" t="n"/>
      <c r="R46" s="319">
        <f>SUM(R44:R45)</f>
        <v/>
      </c>
      <c r="S46" s="321" t="s">
        <v>281</v>
      </c>
      <c r="T46" s="320">
        <f>SUM(T44:T45)</f>
        <v/>
      </c>
      <c r="AA46" s="318" t="n"/>
      <c r="AB46" s="293" t="n"/>
      <c r="AC46" s="293" t="n"/>
      <c r="AD46" s="319">
        <f>SUM(AD44:AD45)</f>
        <v/>
      </c>
      <c r="AE46" s="293" t="n"/>
      <c r="AF46" s="320">
        <f>SUM(AF44:AF45)</f>
        <v/>
      </c>
      <c r="AG46" s="321" t="n"/>
      <c r="AH46" s="321" t="s">
        <v>280</v>
      </c>
      <c r="AI46" s="321" t="n"/>
      <c r="AJ46" s="319">
        <f>SUM(AJ44:AJ45)</f>
        <v/>
      </c>
      <c r="AK46" s="321" t="s">
        <v>281</v>
      </c>
      <c r="AL46" s="320">
        <f>SUM(AL44:AL45)</f>
        <v/>
      </c>
    </row>
    <row r="47" spans="1:43">
      <c r="B47" s="290" t="s">
        <v>249</v>
      </c>
      <c r="C47" s="316" t="n"/>
      <c r="D47" s="290" t="n"/>
      <c r="E47" s="306">
        <f>SUM(E44:E46)</f>
        <v/>
      </c>
      <c r="F47" s="85" t="n"/>
      <c r="G47" s="306">
        <f>SUM(G44:G46)</f>
        <v/>
      </c>
      <c r="I47" s="323" t="s">
        <v>282</v>
      </c>
      <c r="J47" s="290" t="n"/>
      <c r="K47" s="290" t="n"/>
      <c r="L47" s="85" t="n"/>
      <c r="M47" s="85" t="n"/>
      <c r="N47" s="90" t="n"/>
      <c r="O47" s="316" t="n"/>
      <c r="P47" s="316" t="n"/>
      <c r="Q47" s="316" t="n"/>
      <c r="R47" s="85" t="n"/>
      <c r="S47" s="85" t="n"/>
      <c r="T47" s="90" t="n"/>
      <c r="AA47" s="323" t="s">
        <v>282</v>
      </c>
      <c r="AB47" s="290" t="n"/>
      <c r="AC47" s="290" t="n"/>
      <c r="AD47" s="85" t="n"/>
      <c r="AE47" s="85" t="n"/>
      <c r="AF47" s="90" t="n"/>
      <c r="AG47" s="316" t="n"/>
      <c r="AH47" s="316" t="n"/>
      <c r="AI47" s="316" t="n"/>
      <c r="AJ47" s="85" t="n"/>
      <c r="AK47" s="85" t="n"/>
      <c r="AL47" s="90" t="n"/>
    </row>
    <row customHeight="1" ht="33" r="48" s="386" spans="1:43">
      <c r="B48" s="316" t="n"/>
      <c r="C48" s="316" t="n"/>
      <c r="D48" s="290" t="n"/>
      <c r="E48" s="85" t="n"/>
      <c r="F48" s="85" t="n"/>
      <c r="G48" s="85" t="n"/>
      <c r="I48" s="307" t="s">
        <v>74</v>
      </c>
      <c r="J48" s="308" t="s">
        <v>268</v>
      </c>
      <c r="K48" s="308" t="s">
        <v>269</v>
      </c>
      <c r="L48" s="308" t="s">
        <v>283</v>
      </c>
      <c r="M48" s="309" t="n"/>
      <c r="N48" s="310" t="s">
        <v>284</v>
      </c>
      <c r="O48" s="311" t="s">
        <v>75</v>
      </c>
      <c r="P48" s="311" t="s">
        <v>268</v>
      </c>
      <c r="Q48" s="311" t="s">
        <v>269</v>
      </c>
      <c r="R48" s="311" t="s">
        <v>283</v>
      </c>
      <c r="S48" s="50" t="n"/>
      <c r="T48" s="312" t="s">
        <v>284</v>
      </c>
      <c r="AA48" s="307" t="s">
        <v>74</v>
      </c>
      <c r="AB48" s="308" t="s">
        <v>268</v>
      </c>
      <c r="AC48" s="308" t="s">
        <v>269</v>
      </c>
      <c r="AD48" s="308" t="s">
        <v>283</v>
      </c>
      <c r="AE48" s="309" t="n"/>
      <c r="AF48" s="310" t="s">
        <v>284</v>
      </c>
      <c r="AG48" s="311" t="s">
        <v>75</v>
      </c>
      <c r="AH48" s="311" t="s">
        <v>268</v>
      </c>
      <c r="AI48" s="311" t="s">
        <v>269</v>
      </c>
      <c r="AJ48" s="311" t="s">
        <v>283</v>
      </c>
      <c r="AK48" s="50" t="n"/>
      <c r="AL48" s="312" t="s">
        <v>284</v>
      </c>
    </row>
    <row r="49" spans="1:43">
      <c r="I49" s="313" t="s">
        <v>274</v>
      </c>
      <c r="J49" s="290">
        <f>J44</f>
        <v/>
      </c>
      <c r="K49" s="85" t="n">
        <v>0.6927</v>
      </c>
      <c r="L49" s="143">
        <f>(I33*(1-0.155)*K49*$N$33+I34*(1-0.155)*K49*$N$34+I35*(1-0.155)*K49*$N$35)*60</f>
        <v/>
      </c>
      <c r="M49" s="85" t="n"/>
      <c r="N49" s="315">
        <f>(I33*(1-0.155)*'Deterministic LCCA'!$C$33*$N$33+I34*(1-0.155)*'Deterministic LCCA'!$C$33*$N$34+I35*(1-0.155)*'Deterministic LCCA'!$C$33*$N$35)*60</f>
        <v/>
      </c>
      <c r="O49" s="316" t="s">
        <v>274</v>
      </c>
      <c r="P49" t="n">
        <v>0.6927</v>
      </c>
      <c r="Q49" s="316">
        <f>P44</f>
        <v/>
      </c>
      <c r="R49" s="143">
        <f>(O33*(1-0.155)*P49*$T$33+O34*(1-0.155)*P49*$T$34+O35*(1-0.155)*P49*$T$35)*60</f>
        <v/>
      </c>
      <c r="S49" s="85" t="n"/>
      <c r="T49" s="315">
        <f>(O33*(1-0.155)*'Deterministic LCCA'!$C$33*$T$33+O34*(1-0.155)*'Deterministic LCCA'!$C$33*$T$34+O35*(1-0.155)*'Deterministic LCCA'!$C$33*$T$35)*60</f>
        <v/>
      </c>
      <c r="AA49" s="313" t="s">
        <v>274</v>
      </c>
      <c r="AB49" s="290">
        <f>AB44</f>
        <v/>
      </c>
      <c r="AC49" s="85" t="n">
        <v>0.6927</v>
      </c>
      <c r="AD49" s="143">
        <f>(AA33*(1-0.155)*AC49*$N$33+AA34*(1-0.155)*AC49*$N$34+AA35*(1-0.155)*AC49*$N$35)*60</f>
        <v/>
      </c>
      <c r="AE49" s="85" t="n"/>
      <c r="AF49" s="315">
        <f>(AA33*(1-0.155)*'Deterministic LCCA'!$C$33*$N$33+AA34*(1-0.155)*'Deterministic LCCA'!$C$33*$N$34+AA35*(1-0.155)*'Deterministic LCCA'!$C$33*$N$35)*60</f>
        <v/>
      </c>
      <c r="AG49" s="316" t="s">
        <v>274</v>
      </c>
      <c r="AH49" t="n">
        <v>0.6927</v>
      </c>
      <c r="AI49" s="316">
        <f>AH44</f>
        <v/>
      </c>
      <c r="AJ49" s="143">
        <f>(AG33*(1-0.155)*AH49*$T$33+AG34*(1-0.155)*AH49*$T$34+AG35*(1-0.155)*AH49*$T$35)*60</f>
        <v/>
      </c>
      <c r="AK49" s="85" t="n"/>
      <c r="AL49" s="315">
        <f>(AG33*(1-0.155)*'Deterministic LCCA'!$C$33*$T$33+AG34*(1-0.155)*'Deterministic LCCA'!$C$33*$T$34+AG35*(1-0.155)*'Deterministic LCCA'!$C$33*$T$35)*60</f>
        <v/>
      </c>
    </row>
    <row r="50" spans="1:43">
      <c r="I50" s="313" t="s">
        <v>276</v>
      </c>
      <c r="J50" s="290">
        <f>J45</f>
        <v/>
      </c>
      <c r="K50" s="85" t="n">
        <v>0.7681</v>
      </c>
      <c r="L50" s="143">
        <f>(I33*0.155*K50*$N$33+I34*0.155*K50*$N$34+I35*0.155*K50*$N$35)*60</f>
        <v/>
      </c>
      <c r="M50" s="85" t="n"/>
      <c r="N50" s="315">
        <f>(I33*0.155*'Deterministic LCCA'!$E$33*$N$33+I34*0.155*'Deterministic LCCA'!$E$33*$N$34+I35*0.155*'Deterministic LCCA'!$E$33*$N$35)*60</f>
        <v/>
      </c>
      <c r="O50" s="316" t="s">
        <v>276</v>
      </c>
      <c r="P50" t="n">
        <v>0.7681</v>
      </c>
      <c r="Q50" s="316">
        <f>P45</f>
        <v/>
      </c>
      <c r="R50" s="143">
        <f>(O33*0.155*P50*$N$33+O34*0.155*P50*$N$34+O35*0.155*P50*$N$35)*60</f>
        <v/>
      </c>
      <c r="S50" s="85" t="n"/>
      <c r="T50" s="315">
        <f>(O33*0.155*'Deterministic LCCA'!$E$33*$T$33+O34*0.155*'Deterministic LCCA'!$E$33*$T$34+O35*0.155*'Deterministic LCCA'!$E$33*$T$35)*60</f>
        <v/>
      </c>
      <c r="AA50" s="313" t="s">
        <v>276</v>
      </c>
      <c r="AB50" s="290">
        <f>AB45</f>
        <v/>
      </c>
      <c r="AC50" s="85" t="n">
        <v>0.7681</v>
      </c>
      <c r="AD50" s="143">
        <f>(AA33*0.155*AC50*$N$33+AA34*0.155*AC50*$N$34+AA35*0.155*AC50*$N$35)*60</f>
        <v/>
      </c>
      <c r="AE50" s="85" t="n"/>
      <c r="AF50" s="315">
        <f>(AA33*0.155*'Deterministic LCCA'!$E$33*$N$33+AA34*0.155*'Deterministic LCCA'!$E$33*$N$34+AA35*0.155*'Deterministic LCCA'!$E$33*$N$35)*60</f>
        <v/>
      </c>
      <c r="AG50" s="316" t="s">
        <v>276</v>
      </c>
      <c r="AH50" t="n">
        <v>0.7681</v>
      </c>
      <c r="AI50" s="316">
        <f>AH45</f>
        <v/>
      </c>
      <c r="AJ50" s="143">
        <f>(AG33*0.155*AH50*$N$33+AG34*0.155*AH50*$N$34+AG35*0.155*AH50*$N$35)*60</f>
        <v/>
      </c>
      <c r="AK50" s="85" t="n"/>
      <c r="AL50" s="315">
        <f>(AG33*0.155*'Deterministic LCCA'!$E$33*$T$33+AG34*0.155*'Deterministic LCCA'!$E$33*$T$34+AG35*0.155*'Deterministic LCCA'!$E$33*$T$35)*60</f>
        <v/>
      </c>
    </row>
    <row r="51" spans="1:43">
      <c r="B51">
        <f>0.5*(20640)*16+0.5*20640*2.7</f>
        <v/>
      </c>
      <c r="I51" s="313" t="n"/>
      <c r="J51" s="290" t="n"/>
      <c r="K51" s="290" t="n"/>
      <c r="L51" s="143">
        <f>SUM(L49:L50)</f>
        <v/>
      </c>
      <c r="M51" s="85" t="n"/>
      <c r="N51" s="315">
        <f>SUM(N49:N50)</f>
        <v/>
      </c>
      <c r="O51" s="316" t="n"/>
      <c r="P51" s="316" t="s">
        <v>285</v>
      </c>
      <c r="Q51" s="316" t="n"/>
      <c r="R51" s="143">
        <f>SUM(R49:R50)</f>
        <v/>
      </c>
      <c r="S51" s="85" t="n"/>
      <c r="T51" s="315">
        <f>SUM(T49:T50)</f>
        <v/>
      </c>
      <c r="AA51" s="313" t="n"/>
      <c r="AB51" s="290" t="n"/>
      <c r="AC51" s="290" t="n"/>
      <c r="AD51" s="143">
        <f>SUM(AD49:AD50)</f>
        <v/>
      </c>
      <c r="AE51" s="85" t="n"/>
      <c r="AF51" s="315">
        <f>SUM(AF49:AF50)</f>
        <v/>
      </c>
      <c r="AG51" s="316" t="n"/>
      <c r="AH51" s="316" t="s">
        <v>285</v>
      </c>
      <c r="AI51" s="316" t="n"/>
      <c r="AJ51" s="143">
        <f>SUM(AJ49:AJ50)</f>
        <v/>
      </c>
      <c r="AK51" s="85" t="n"/>
      <c r="AL51" s="315">
        <f>SUM(AL49:AL50)</f>
        <v/>
      </c>
    </row>
    <row r="52" spans="1:43">
      <c r="B52">
        <f>B51*'Deterministic LCCA'!C33*(1-0.155)</f>
        <v/>
      </c>
      <c r="I52" s="324" t="s">
        <v>286</v>
      </c>
      <c r="J52" s="322">
        <f>SUM(L41,L46,L51)</f>
        <v/>
      </c>
      <c r="K52" s="301" t="s">
        <v>287</v>
      </c>
      <c r="L52" s="322">
        <f>SUM(N41,N46,N51)</f>
        <v/>
      </c>
      <c r="M52" s="303" t="n"/>
      <c r="N52" s="429" t="n"/>
      <c r="O52" s="301" t="s">
        <v>288</v>
      </c>
      <c r="P52" s="322">
        <f>SUM(R41,R46,R51)</f>
        <v/>
      </c>
      <c r="Q52" s="301" t="s">
        <v>289</v>
      </c>
      <c r="R52" s="322">
        <f>SUM(T41,T46,T51)</f>
        <v/>
      </c>
      <c r="S52" s="303" t="n"/>
      <c r="T52" s="429" t="n"/>
      <c r="AA52" s="324" t="s">
        <v>286</v>
      </c>
      <c r="AB52" s="322">
        <f>SUM(AD41,AD46,AD51)</f>
        <v/>
      </c>
      <c r="AC52" s="301" t="s">
        <v>287</v>
      </c>
      <c r="AD52" s="322">
        <f>SUM(AF41,AF46,AF51)</f>
        <v/>
      </c>
      <c r="AE52" s="303" t="n"/>
      <c r="AF52" s="429" t="n"/>
      <c r="AG52" s="301" t="s">
        <v>288</v>
      </c>
      <c r="AH52" s="322">
        <f>SUM(AJ41,AJ46,AJ51)</f>
        <v/>
      </c>
      <c r="AI52" s="301" t="s">
        <v>289</v>
      </c>
      <c r="AJ52" s="322">
        <f>SUM(AL41,AL46,AL51)</f>
        <v/>
      </c>
      <c r="AK52" s="303" t="n"/>
      <c r="AL52" s="429" t="n"/>
    </row>
    <row r="53" spans="1:43">
      <c r="B53">
        <f>B51*'Deterministic LCCA'!E33*0.155</f>
        <v/>
      </c>
      <c r="I53" s="275" t="s">
        <v>290</v>
      </c>
      <c r="J53" s="319">
        <f>(J52+P52)</f>
        <v/>
      </c>
      <c r="K53" s="325" t="s">
        <v>291</v>
      </c>
      <c r="L53" s="319">
        <f>SUM(L52,R52)</f>
        <v/>
      </c>
      <c r="M53" s="325" t="n"/>
      <c r="N53" s="280" t="n"/>
      <c r="O53" s="325" t="n"/>
      <c r="P53" s="325" t="n"/>
      <c r="Q53" s="325" t="n"/>
      <c r="R53" s="325" t="n"/>
      <c r="S53" s="325" t="n"/>
      <c r="T53" s="280" t="n"/>
      <c r="AA53" s="275" t="s">
        <v>290</v>
      </c>
      <c r="AB53" s="319">
        <f>(AB52+AH52)</f>
        <v/>
      </c>
      <c r="AC53" s="325" t="s">
        <v>291</v>
      </c>
      <c r="AD53" s="319">
        <f>SUM(AD52,AJ52)</f>
        <v/>
      </c>
      <c r="AE53" s="325" t="n"/>
      <c r="AF53" s="280" t="n"/>
      <c r="AG53" s="325" t="n"/>
      <c r="AH53" s="325" t="n"/>
      <c r="AI53" s="325" t="n"/>
      <c r="AJ53" s="325" t="n"/>
      <c r="AK53" s="325" t="n"/>
      <c r="AL53" s="280" t="n"/>
    </row>
    <row r="54" spans="1:43">
      <c r="B54" s="326">
        <f>SUM(B52:B53)</f>
        <v/>
      </c>
      <c r="C54" s="316" t="n"/>
      <c r="D54" s="316" t="n"/>
      <c r="E54" s="290" t="n"/>
      <c r="F54" s="85" t="n"/>
      <c r="G54" s="85" t="n"/>
      <c r="H54" s="85" t="n"/>
      <c r="I54" s="85" t="n"/>
    </row>
  </sheetData>
  <mergeCells count="38">
    <mergeCell ref="H29:K29"/>
    <mergeCell ref="Q29:T29"/>
    <mergeCell ref="Z29:AC29"/>
    <mergeCell ref="AI29:AL29"/>
    <mergeCell ref="AD3:AG3"/>
    <mergeCell ref="AH3:AH4"/>
    <mergeCell ref="AI3:AI4"/>
    <mergeCell ref="AJ3:AJ4"/>
    <mergeCell ref="AK3:AK4"/>
    <mergeCell ref="Y3:Y4"/>
    <mergeCell ref="Z3:Z4"/>
    <mergeCell ref="AA3:AA4"/>
    <mergeCell ref="AB3:AB4"/>
    <mergeCell ref="F2:G3"/>
    <mergeCell ref="H2:P2"/>
    <mergeCell ref="Q2:Y2"/>
    <mergeCell ref="Z2:AH2"/>
    <mergeCell ref="AL3:AL4"/>
    <mergeCell ref="AI2:AQ2"/>
    <mergeCell ref="H3:H4"/>
    <mergeCell ref="I3:I4"/>
    <mergeCell ref="J3:J4"/>
    <mergeCell ref="K3:K4"/>
    <mergeCell ref="L3:O3"/>
    <mergeCell ref="P3:P4"/>
    <mergeCell ref="Q3:Q4"/>
    <mergeCell ref="R3:R4"/>
    <mergeCell ref="S3:S4"/>
    <mergeCell ref="T3:T4"/>
    <mergeCell ref="U3:X3"/>
    <mergeCell ref="AC3:AC4"/>
    <mergeCell ref="AM3:AP3"/>
    <mergeCell ref="AQ3:AQ4"/>
    <mergeCell ref="A2:A4"/>
    <mergeCell ref="B2:B4"/>
    <mergeCell ref="C2:C4"/>
    <mergeCell ref="D2:D4"/>
    <mergeCell ref="E2:E4"/>
  </mergeCells>
  <pageMargins bottom="0.75" footer="0.511805555555555" header="0.511805555555555" left="0.7" right="0.7" top="0.75"/>
  <pageSetup copies="0" firstPageNumber="0" horizontalDpi="0" orientation="portrait" paperSize="0" scale="0" usePrinterDefaults="0" verticalDpi="0"/>
</worksheet>
</file>

<file path=xl/worksheets/sheet5.xml><?xml version="1.0" encoding="utf-8"?>
<worksheet xmlns="http://schemas.openxmlformats.org/spreadsheetml/2006/main">
  <sheetPr>
    <tabColor rgb="FFF8CBAD"/>
    <outlinePr summaryBelow="1" summaryRight="1"/>
    <pageSetUpPr/>
  </sheetPr>
  <dimension ref="A1:J76"/>
  <sheetViews>
    <sheetView workbookViewId="0" zoomScale="70" zoomScaleNormal="70">
      <selection activeCell="A1" sqref="A1:E1"/>
    </sheetView>
  </sheetViews>
  <sheetFormatPr baseColWidth="10" defaultRowHeight="15"/>
  <cols>
    <col customWidth="1" max="1" min="1" style="386" width="48.140625"/>
    <col customWidth="1" max="2" min="2" style="386" width="22.5703125"/>
    <col customWidth="1" max="3" min="3" style="386" width="17.28515625"/>
    <col customWidth="1" max="4" min="4" style="386" width="16.5703125"/>
    <col customWidth="1" max="5" min="5" style="386" width="21"/>
    <col customWidth="1" max="6" min="6" style="386" width="10.7109375"/>
    <col customWidth="1" max="7" min="7" style="386" width="13.28515625"/>
    <col customWidth="1" max="1025" min="8" style="386" width="8.5703125"/>
  </cols>
  <sheetData>
    <row customHeight="1" ht="23.25" r="1" s="386" spans="1:10">
      <c r="A1" s="441" t="s">
        <v>292</v>
      </c>
      <c r="B1" s="441" t="n"/>
      <c r="C1" s="441" t="n"/>
      <c r="D1" s="441" t="n"/>
      <c r="E1" s="441" t="n"/>
    </row>
    <row customHeight="1" ht="21.4" r="2" s="386" spans="1:10">
      <c r="A2" s="28" t="n"/>
    </row>
    <row customHeight="1" ht="19.7" r="4" s="386" spans="1:10">
      <c r="A4" s="28" t="n"/>
    </row>
    <row customHeight="1" ht="17.1" r="5" s="386" spans="1:10">
      <c r="A5" s="400" t="s">
        <v>21</v>
      </c>
      <c r="B5" s="400" t="n"/>
      <c r="C5" s="400" t="n"/>
      <c r="D5" s="400" t="n"/>
      <c r="E5" s="400" t="n"/>
    </row>
    <row customHeight="1" ht="17.1" r="6" s="386" spans="1:10">
      <c r="A6" s="31" t="s">
        <v>22</v>
      </c>
      <c r="B6" s="163" t="s">
        <v>23</v>
      </c>
      <c r="C6" s="33" t="n"/>
      <c r="D6" s="33" t="n"/>
      <c r="E6" s="34" t="n"/>
    </row>
    <row customHeight="1" ht="20.45" r="7" s="386" spans="1:10">
      <c r="A7" s="36" t="s">
        <v>25</v>
      </c>
      <c r="B7" s="37" t="s">
        <v>26</v>
      </c>
      <c r="E7" s="38" t="n"/>
    </row>
    <row r="8" spans="1:10">
      <c r="A8" s="36" t="s">
        <v>27</v>
      </c>
      <c r="B8" s="37" t="s">
        <v>28</v>
      </c>
      <c r="E8" s="38" t="n"/>
    </row>
    <row customHeight="1" ht="15.75" r="9" s="386" spans="1:10">
      <c r="A9" s="36" t="s">
        <v>29</v>
      </c>
      <c r="B9" s="39" t="n">
        <v>61.1901306</v>
      </c>
      <c r="C9" s="85" t="s">
        <v>30</v>
      </c>
      <c r="D9" s="39" t="n">
        <v>61.3100552</v>
      </c>
      <c r="E9" s="38" t="n"/>
    </row>
    <row r="10" spans="1:10">
      <c r="A10" s="36" t="s">
        <v>31</v>
      </c>
      <c r="B10" s="39" t="n">
        <v>231.9</v>
      </c>
      <c r="D10" s="299" t="n"/>
      <c r="E10" s="38" t="n"/>
    </row>
    <row r="11" spans="1:10">
      <c r="A11" s="36" t="s">
        <v>32</v>
      </c>
      <c r="B11" s="39" t="n">
        <v>154.8</v>
      </c>
      <c r="D11" s="299" t="n"/>
      <c r="E11" s="38" t="n"/>
    </row>
    <row r="12" spans="1:10">
      <c r="A12" s="275" t="s">
        <v>33</v>
      </c>
      <c r="B12" s="43" t="s">
        <v>34</v>
      </c>
      <c r="C12" s="276" t="n"/>
      <c r="D12" s="276" t="n"/>
      <c r="E12" s="277" t="n"/>
    </row>
    <row customHeight="1" ht="23.25" r="14" s="386" spans="1:10">
      <c r="A14" s="29" t="s">
        <v>293</v>
      </c>
      <c r="B14" s="433" t="s">
        <v>294</v>
      </c>
      <c r="C14" s="327" t="n">
        <v>5000</v>
      </c>
    </row>
    <row customHeight="1" ht="18.95" r="15" s="386" spans="1:10">
      <c r="A15" s="29" t="n"/>
    </row>
    <row customHeight="1" ht="21" r="16" s="386" spans="1:10">
      <c r="A16" s="400" t="s">
        <v>36</v>
      </c>
      <c r="B16" s="400" t="n"/>
      <c r="C16" s="400" t="n"/>
      <c r="D16" s="400" t="n"/>
      <c r="E16" s="400" t="n"/>
    </row>
    <row r="17" spans="1:10">
      <c r="A17" s="46" t="s">
        <v>37</v>
      </c>
      <c r="B17" s="33" t="s">
        <v>38</v>
      </c>
      <c r="C17" s="401" t="s">
        <v>295</v>
      </c>
      <c r="D17" s="401" t="n"/>
      <c r="E17" s="401" t="n"/>
    </row>
    <row customHeight="1" ht="14.45" r="18" s="386" spans="1:10">
      <c r="A18" s="64" t="n"/>
      <c r="B18" s="6" t="s">
        <v>41</v>
      </c>
      <c r="C18" s="402" t="s">
        <v>296</v>
      </c>
      <c r="D18" s="402" t="n"/>
      <c r="E18" s="402" t="n"/>
    </row>
    <row r="19" spans="1:10">
      <c r="A19" s="64" t="s">
        <v>297</v>
      </c>
      <c r="B19" s="328" t="n">
        <v>75</v>
      </c>
      <c r="C19" s="50" t="n"/>
      <c r="D19" s="50" t="n"/>
      <c r="E19" s="329" t="n"/>
    </row>
    <row r="20" spans="1:10">
      <c r="A20" s="64" t="s">
        <v>49</v>
      </c>
      <c r="B20" t="s">
        <v>38</v>
      </c>
      <c r="C20" s="92" t="s">
        <v>50</v>
      </c>
      <c r="D20" t="s">
        <v>41</v>
      </c>
      <c r="E20" s="58" t="s">
        <v>50</v>
      </c>
    </row>
    <row customHeight="1" ht="105" r="21" s="386" spans="1:10">
      <c r="A21" s="64" t="s">
        <v>51</v>
      </c>
      <c r="B21" s="6" t="s">
        <v>38</v>
      </c>
      <c r="C21" s="68" t="s">
        <v>52</v>
      </c>
      <c r="D21" s="6" t="s">
        <v>41</v>
      </c>
      <c r="E21" s="69" t="s">
        <v>53</v>
      </c>
      <c r="G21" s="73" t="s">
        <v>298</v>
      </c>
      <c r="H21" s="14" t="s">
        <v>59</v>
      </c>
    </row>
    <row r="22" spans="1:10">
      <c r="A22" s="64" t="s">
        <v>54</v>
      </c>
      <c r="B22" s="403" t="s">
        <v>55</v>
      </c>
      <c r="C22" s="403" t="n"/>
      <c r="D22" s="403" t="n"/>
      <c r="E22" s="403" t="n"/>
      <c r="G22" s="74" t="s">
        <v>299</v>
      </c>
      <c r="H22" s="166" t="s">
        <v>63</v>
      </c>
    </row>
    <row r="23" spans="1:10">
      <c r="A23" s="53" t="s">
        <v>56</v>
      </c>
      <c r="B23" s="403" t="s">
        <v>57</v>
      </c>
      <c r="C23" s="403" t="n"/>
      <c r="D23" s="403" t="n"/>
      <c r="E23" s="403" t="n"/>
      <c r="G23" s="76" t="s">
        <v>164</v>
      </c>
      <c r="H23" s="330" t="s">
        <v>63</v>
      </c>
    </row>
    <row r="24" spans="1:10">
      <c r="A24" s="36" t="s">
        <v>60</v>
      </c>
      <c r="B24" s="403" t="s">
        <v>61</v>
      </c>
      <c r="C24" s="403" t="n"/>
      <c r="D24" s="403" t="n"/>
      <c r="E24" s="403" t="n"/>
      <c r="G24" s="76" t="s">
        <v>167</v>
      </c>
      <c r="H24" s="330" t="s">
        <v>63</v>
      </c>
    </row>
    <row r="25" spans="1:10">
      <c r="A25" s="36" t="s">
        <v>300</v>
      </c>
      <c r="B25" s="92" t="n">
        <v>0.3</v>
      </c>
      <c r="C25" s="299" t="n"/>
      <c r="D25" s="299" t="n"/>
      <c r="E25" s="331" t="n"/>
      <c r="G25" s="76" t="s">
        <v>171</v>
      </c>
      <c r="H25" s="330" t="s">
        <v>63</v>
      </c>
    </row>
    <row r="26" spans="1:10">
      <c r="A26" s="275" t="s">
        <v>301</v>
      </c>
      <c r="B26" s="83" t="n">
        <v>1</v>
      </c>
      <c r="C26" s="332" t="n"/>
      <c r="D26" s="332" t="n"/>
      <c r="E26" s="333" t="n"/>
      <c r="G26" s="76" t="s">
        <v>172</v>
      </c>
      <c r="H26" s="330" t="s">
        <v>63</v>
      </c>
    </row>
    <row r="27" spans="1:10">
      <c r="C27" s="85" t="n"/>
      <c r="E27" s="85" t="n"/>
      <c r="G27" s="76" t="s">
        <v>176</v>
      </c>
      <c r="H27" s="330" t="s">
        <v>63</v>
      </c>
    </row>
    <row customHeight="1" ht="23.1" r="28" s="386" spans="1:10">
      <c r="A28" s="400" t="s">
        <v>65</v>
      </c>
      <c r="B28" s="400" t="n"/>
      <c r="C28" s="400" t="n"/>
      <c r="D28" s="400" t="n"/>
      <c r="E28" s="400" t="n"/>
      <c r="G28" s="76" t="s">
        <v>177</v>
      </c>
      <c r="H28" s="330" t="s">
        <v>77</v>
      </c>
    </row>
    <row r="29" spans="1:10">
      <c r="A29" s="31" t="s">
        <v>67</v>
      </c>
      <c r="B29" s="78" t="n">
        <v>114739</v>
      </c>
      <c r="C29" s="33" t="n"/>
      <c r="D29" s="33" t="n"/>
      <c r="E29" s="34" t="n"/>
      <c r="G29" s="76" t="s">
        <v>179</v>
      </c>
      <c r="H29" s="330" t="s">
        <v>77</v>
      </c>
    </row>
    <row r="30" spans="1:10">
      <c r="A30" s="36" t="s">
        <v>69</v>
      </c>
      <c r="B30" s="79" t="n">
        <v>0.0155</v>
      </c>
      <c r="E30" s="38" t="n"/>
      <c r="G30" s="76" t="s">
        <v>181</v>
      </c>
      <c r="H30" s="330" t="s">
        <v>77</v>
      </c>
    </row>
    <row r="31" spans="1:10">
      <c r="A31" s="36" t="s">
        <v>73</v>
      </c>
      <c r="B31" s="81" t="s">
        <v>74</v>
      </c>
      <c r="C31" s="92" t="n">
        <v>4</v>
      </c>
      <c r="D31" s="299" t="s">
        <v>75</v>
      </c>
      <c r="E31" s="58" t="n">
        <v>5</v>
      </c>
      <c r="G31" s="76" t="s">
        <v>183</v>
      </c>
      <c r="H31" s="330" t="s">
        <v>77</v>
      </c>
    </row>
    <row r="32" spans="1:10">
      <c r="A32" s="275" t="s">
        <v>78</v>
      </c>
      <c r="B32" s="82" t="s">
        <v>79</v>
      </c>
      <c r="C32" s="83" t="n">
        <v>11.58</v>
      </c>
      <c r="D32" s="276" t="s">
        <v>80</v>
      </c>
      <c r="E32" s="84" t="n">
        <v>20.43</v>
      </c>
      <c r="G32" s="76" t="s">
        <v>185</v>
      </c>
      <c r="H32" s="330" t="s">
        <v>63</v>
      </c>
    </row>
    <row r="33" spans="1:10">
      <c r="B33" s="85" t="n"/>
      <c r="G33" s="76" t="s">
        <v>187</v>
      </c>
      <c r="H33" s="330" t="s">
        <v>63</v>
      </c>
    </row>
    <row customHeight="1" ht="21" r="34" s="386" spans="1:10">
      <c r="A34" s="442" t="s">
        <v>83</v>
      </c>
      <c r="B34" s="442" t="n"/>
      <c r="C34" s="442" t="n"/>
      <c r="D34" s="442" t="n"/>
      <c r="E34" s="442" t="n"/>
      <c r="G34" s="76" t="s">
        <v>189</v>
      </c>
      <c r="H34" s="330" t="s">
        <v>63</v>
      </c>
    </row>
    <row r="35" spans="1:10">
      <c r="A35" s="36" t="s">
        <v>97</v>
      </c>
      <c r="B35" s="89" t="n"/>
      <c r="C35" s="85" t="n"/>
      <c r="E35" s="90" t="n"/>
      <c r="G35" s="76" t="s">
        <v>191</v>
      </c>
      <c r="H35" s="330" t="s">
        <v>63</v>
      </c>
    </row>
    <row r="36" spans="1:10">
      <c r="A36" s="91" t="s">
        <v>99</v>
      </c>
      <c r="B36" s="89" t="s">
        <v>38</v>
      </c>
      <c r="C36" s="92" t="n">
        <v>2</v>
      </c>
      <c r="D36" t="s">
        <v>41</v>
      </c>
      <c r="E36" s="58" t="n">
        <v>2</v>
      </c>
      <c r="G36" s="76" t="s">
        <v>193</v>
      </c>
      <c r="H36" s="330" t="s">
        <v>63</v>
      </c>
    </row>
    <row r="37" spans="1:10">
      <c r="A37" s="91" t="s">
        <v>101</v>
      </c>
      <c r="B37" s="89" t="s">
        <v>38</v>
      </c>
      <c r="C37" s="92" t="n">
        <v>1</v>
      </c>
      <c r="D37" t="s">
        <v>41</v>
      </c>
      <c r="E37" s="58" t="n">
        <v>1</v>
      </c>
      <c r="G37" s="76" t="s">
        <v>195</v>
      </c>
      <c r="H37" s="330" t="s">
        <v>77</v>
      </c>
    </row>
    <row r="38" spans="1:10">
      <c r="A38" s="36" t="s">
        <v>107</v>
      </c>
      <c r="B38" s="89" t="n"/>
      <c r="C38" s="85" t="n"/>
      <c r="E38" s="90" t="n"/>
      <c r="G38" s="76" t="s">
        <v>196</v>
      </c>
      <c r="H38" s="330" t="s">
        <v>77</v>
      </c>
    </row>
    <row r="39" spans="1:10">
      <c r="A39" s="91" t="s">
        <v>99</v>
      </c>
      <c r="B39" s="89" t="s">
        <v>38</v>
      </c>
      <c r="C39" s="92" t="n">
        <v>24</v>
      </c>
      <c r="D39" t="s">
        <v>41</v>
      </c>
      <c r="E39" s="58" t="n">
        <v>24</v>
      </c>
      <c r="G39" s="76" t="s">
        <v>198</v>
      </c>
      <c r="H39" s="330" t="s">
        <v>77</v>
      </c>
    </row>
    <row r="40" spans="1:10">
      <c r="A40" s="91" t="s">
        <v>101</v>
      </c>
      <c r="B40" s="89" t="s">
        <v>38</v>
      </c>
      <c r="C40" s="92" t="n">
        <v>24</v>
      </c>
      <c r="D40" t="s">
        <v>41</v>
      </c>
      <c r="E40" s="58" t="n">
        <v>24</v>
      </c>
      <c r="G40" s="76" t="s">
        <v>199</v>
      </c>
      <c r="H40" s="330" t="s">
        <v>77</v>
      </c>
    </row>
    <row r="41" spans="1:10">
      <c r="A41" s="93" t="s">
        <v>110</v>
      </c>
      <c r="B41" s="89" t="s">
        <v>38</v>
      </c>
      <c r="C41" s="92" t="n">
        <v>65</v>
      </c>
      <c r="D41" t="s">
        <v>41</v>
      </c>
      <c r="E41" s="58" t="n">
        <v>65</v>
      </c>
      <c r="G41" s="76" t="s">
        <v>203</v>
      </c>
      <c r="H41" s="330" t="s">
        <v>63</v>
      </c>
    </row>
    <row r="42" spans="1:10">
      <c r="A42" s="93" t="s">
        <v>112</v>
      </c>
      <c r="B42" s="89" t="s">
        <v>38</v>
      </c>
      <c r="C42" s="92" t="n">
        <v>40</v>
      </c>
      <c r="D42" t="s">
        <v>41</v>
      </c>
      <c r="E42" s="58" t="n">
        <v>40</v>
      </c>
      <c r="G42" s="76" t="s">
        <v>205</v>
      </c>
      <c r="H42" s="330" t="s">
        <v>63</v>
      </c>
    </row>
    <row r="43" spans="1:10">
      <c r="A43" s="94" t="s">
        <v>114</v>
      </c>
      <c r="B43" s="95" t="s">
        <v>38</v>
      </c>
      <c r="C43" s="83" t="n">
        <v>20</v>
      </c>
      <c r="D43" s="276" t="s">
        <v>41</v>
      </c>
      <c r="E43" s="84" t="n">
        <v>20</v>
      </c>
      <c r="G43" s="76" t="s">
        <v>207</v>
      </c>
      <c r="H43" s="330" t="s">
        <v>63</v>
      </c>
    </row>
    <row r="44" spans="1:10">
      <c r="G44" s="76" t="s">
        <v>208</v>
      </c>
      <c r="H44" s="330" t="s">
        <v>63</v>
      </c>
    </row>
    <row customHeight="1" ht="23.25" r="45" s="386" spans="1:10">
      <c r="A45" s="334" t="s">
        <v>302</v>
      </c>
      <c r="G45" s="96" t="s">
        <v>210</v>
      </c>
      <c r="H45" s="335" t="s">
        <v>63</v>
      </c>
    </row>
    <row r="46" spans="1:10">
      <c r="G46" s="296" t="n"/>
    </row>
    <row r="47" spans="1:10">
      <c r="A47" s="336" t="s">
        <v>45</v>
      </c>
      <c r="B47" s="337" t="s">
        <v>303</v>
      </c>
      <c r="C47" s="338" t="s">
        <v>304</v>
      </c>
      <c r="D47" s="339" t="s">
        <v>305</v>
      </c>
      <c r="E47" s="235">
        <f>VLOOKUP(D47,Distribution!$A$1:$D$4,2, 0)</f>
        <v/>
      </c>
      <c r="F47" s="340" t="n">
        <v>0.03</v>
      </c>
      <c r="G47" s="235">
        <f>VLOOKUP(D47,Distribution!$A$1:$D$4,3, 0)</f>
        <v/>
      </c>
      <c r="H47" s="340" t="n">
        <v>0.005</v>
      </c>
      <c r="I47" s="235">
        <f>VLOOKUP(D47,Distribution!$A$1:$D$4,4, 0)</f>
        <v/>
      </c>
      <c r="J47" s="341" t="n"/>
    </row>
    <row r="48" spans="1:10">
      <c r="A48" s="444" t="s">
        <v>306</v>
      </c>
      <c r="B48" s="343" t="s">
        <v>38</v>
      </c>
      <c r="C48" s="338" t="s">
        <v>304</v>
      </c>
      <c r="D48" s="344" t="s">
        <v>307</v>
      </c>
      <c r="E48" s="196">
        <f>VLOOKUP(D48,Distribution!$A$1:$D$4,2, 0)</f>
        <v/>
      </c>
      <c r="F48" s="345" t="n">
        <v>29</v>
      </c>
      <c r="G48" s="196">
        <f>VLOOKUP(D48,Distribution!$A$1:$D$4,3, 0)</f>
        <v/>
      </c>
      <c r="H48" s="345" t="n">
        <v>30</v>
      </c>
      <c r="I48" s="196">
        <f>VLOOKUP(D48,Distribution!$A$1:$D$4,4, 0)</f>
        <v/>
      </c>
      <c r="J48" s="346" t="n">
        <v>31</v>
      </c>
    </row>
    <row r="49" spans="1:10">
      <c r="A49" s="444" t="n"/>
      <c r="B49" s="343" t="s">
        <v>41</v>
      </c>
      <c r="C49" s="338" t="s">
        <v>304</v>
      </c>
      <c r="D49" s="344" t="s">
        <v>307</v>
      </c>
      <c r="E49" s="196">
        <f>VLOOKUP(D49,Distribution!$A$1:$D$4,2, 0)</f>
        <v/>
      </c>
      <c r="F49" s="345" t="n">
        <v>32</v>
      </c>
      <c r="G49" s="196">
        <f>VLOOKUP(D49,Distribution!$A$1:$D$4,3, 0)</f>
        <v/>
      </c>
      <c r="H49" s="345" t="n">
        <v>38</v>
      </c>
      <c r="I49" s="196">
        <f>VLOOKUP(D49,Distribution!$A$1:$D$4,4, 0)</f>
        <v/>
      </c>
      <c r="J49" s="346" t="n">
        <v>43</v>
      </c>
    </row>
    <row customHeight="1" ht="14.45" r="50" s="386" spans="1:10">
      <c r="A50" s="444" t="s">
        <v>48</v>
      </c>
      <c r="B50" s="343" t="s">
        <v>38</v>
      </c>
      <c r="C50" s="338" t="s">
        <v>304</v>
      </c>
      <c r="D50" s="344" t="s">
        <v>305</v>
      </c>
      <c r="E50" s="196">
        <f>VLOOKUP(D50,Distribution!$A$1:$D$4,2, 0)</f>
        <v/>
      </c>
      <c r="F50" s="345" t="n">
        <v>167</v>
      </c>
      <c r="G50" s="196">
        <f>VLOOKUP(D50,Distribution!$A$1:$D$4,3, 0)</f>
        <v/>
      </c>
      <c r="H50" s="345" t="n">
        <v>5</v>
      </c>
      <c r="I50" s="196">
        <f>VLOOKUP(D50,Distribution!$A$1:$D$4,4, 0)</f>
        <v/>
      </c>
      <c r="J50" s="346" t="n"/>
    </row>
    <row customHeight="1" ht="14.45" r="51" s="386" spans="1:10">
      <c r="A51" s="444" t="n"/>
      <c r="B51" s="343" t="s">
        <v>41</v>
      </c>
      <c r="C51" s="338" t="s">
        <v>304</v>
      </c>
      <c r="D51" s="344" t="s">
        <v>308</v>
      </c>
      <c r="E51" s="196">
        <f>VLOOKUP(D51,Distribution!$A$1:$D$4,2, 0)</f>
        <v/>
      </c>
      <c r="F51" s="345" t="n">
        <v>173.35</v>
      </c>
      <c r="G51" s="196">
        <f>VLOOKUP(D51,Distribution!$A$1:$D$4,3, 0)</f>
        <v/>
      </c>
      <c r="H51" s="345" t="n">
        <v>30</v>
      </c>
      <c r="I51" s="196">
        <f>VLOOKUP(D51,Distribution!$A$1:$D$4,4, 0)</f>
        <v/>
      </c>
      <c r="J51" s="346" t="n"/>
    </row>
    <row r="52" spans="1:10">
      <c r="A52" s="444" t="s">
        <v>71</v>
      </c>
      <c r="B52" s="347" t="s">
        <v>303</v>
      </c>
      <c r="C52" s="338" t="s">
        <v>304</v>
      </c>
      <c r="D52" s="344" t="s">
        <v>308</v>
      </c>
      <c r="E52" s="196">
        <f>VLOOKUP(D52,Distribution!$A$1:$D$4,2, 0)</f>
        <v/>
      </c>
      <c r="F52" s="348" t="n">
        <v>0.005</v>
      </c>
      <c r="G52" s="196">
        <f>VLOOKUP(D52,Distribution!$A$1:$D$4,3, 0)</f>
        <v/>
      </c>
      <c r="H52" s="348" t="n">
        <v>0.001</v>
      </c>
      <c r="I52" s="196">
        <f>VLOOKUP(D52,Distribution!$A$1:$D$4,4, 0)</f>
        <v/>
      </c>
      <c r="J52" s="349" t="n"/>
    </row>
    <row r="53" spans="1:10">
      <c r="A53" s="444" t="s">
        <v>85</v>
      </c>
      <c r="B53" s="343" t="s">
        <v>38</v>
      </c>
      <c r="C53" s="338" t="s">
        <v>304</v>
      </c>
      <c r="D53" s="344" t="s">
        <v>305</v>
      </c>
      <c r="E53" s="196">
        <f>VLOOKUP(D53,Distribution!$A$1:$D$4,2, 0)</f>
        <v/>
      </c>
      <c r="F53" s="345" t="n">
        <v>5</v>
      </c>
      <c r="G53" s="196">
        <f>VLOOKUP(D53,Distribution!$A$1:$D$4,3, 0)</f>
        <v/>
      </c>
      <c r="H53" s="345" t="n">
        <v>1</v>
      </c>
      <c r="I53" s="196">
        <f>VLOOKUP(D53,Distribution!$A$1:$D$4,4, 0)</f>
        <v/>
      </c>
      <c r="J53" s="346" t="n"/>
    </row>
    <row r="54" spans="1:10">
      <c r="A54" s="444" t="n"/>
      <c r="B54" s="343" t="s">
        <v>41</v>
      </c>
      <c r="C54" s="338" t="s">
        <v>304</v>
      </c>
      <c r="D54" s="344" t="s">
        <v>305</v>
      </c>
      <c r="E54" s="196">
        <f>VLOOKUP(D54,Distribution!$A$1:$D$4,2, 0)</f>
        <v/>
      </c>
      <c r="F54" s="345" t="n">
        <v>5</v>
      </c>
      <c r="G54" s="196">
        <f>VLOOKUP(D54,Distribution!$A$1:$D$4,3, 0)</f>
        <v/>
      </c>
      <c r="H54" s="345" t="n">
        <v>1</v>
      </c>
      <c r="I54" s="196">
        <f>VLOOKUP(D54,Distribution!$A$1:$D$4,4, 0)</f>
        <v/>
      </c>
      <c r="J54" s="346" t="n"/>
    </row>
    <row r="55" spans="1:10">
      <c r="A55" s="444" t="s">
        <v>89</v>
      </c>
      <c r="B55" s="343" t="s">
        <v>38</v>
      </c>
      <c r="C55" s="338" t="s">
        <v>304</v>
      </c>
      <c r="D55" s="344" t="s">
        <v>308</v>
      </c>
      <c r="E55" s="196">
        <f>VLOOKUP(D55,Distribution!$A$1:$D$4,2, 0)</f>
        <v/>
      </c>
      <c r="F55" s="345" t="n">
        <v>10</v>
      </c>
      <c r="G55" s="196">
        <f>VLOOKUP(D55,Distribution!$A$1:$D$4,3, 0)</f>
        <v/>
      </c>
      <c r="H55" s="345" t="n"/>
      <c r="I55" s="196">
        <f>VLOOKUP(D55,Distribution!$A$1:$D$4,4, 0)</f>
        <v/>
      </c>
      <c r="J55" s="346" t="n"/>
    </row>
    <row r="56" spans="1:10">
      <c r="A56" s="444" t="n"/>
      <c r="B56" s="343" t="s">
        <v>41</v>
      </c>
      <c r="C56" s="338" t="s">
        <v>304</v>
      </c>
      <c r="D56" s="344" t="s">
        <v>308</v>
      </c>
      <c r="E56" s="196">
        <f>VLOOKUP(D56,Distribution!$A$1:$D$4,2, 0)</f>
        <v/>
      </c>
      <c r="F56" s="345" t="n">
        <v>10</v>
      </c>
      <c r="G56" s="196">
        <f>VLOOKUP(D56,Distribution!$A$1:$D$4,3, 0)</f>
        <v/>
      </c>
      <c r="H56" s="345" t="n"/>
      <c r="I56" s="196">
        <f>VLOOKUP(D56,Distribution!$A$1:$D$4,4, 0)</f>
        <v/>
      </c>
      <c r="J56" s="346" t="n"/>
    </row>
    <row r="57" spans="1:10">
      <c r="A57" s="445" t="s">
        <v>91</v>
      </c>
      <c r="B57" s="343" t="s">
        <v>38</v>
      </c>
      <c r="C57" s="338" t="s">
        <v>304</v>
      </c>
      <c r="D57" s="344" t="s">
        <v>308</v>
      </c>
      <c r="E57" s="196">
        <f>VLOOKUP(D57,Distribution!$A$1:$D$4,2, 0)</f>
        <v/>
      </c>
      <c r="F57" s="345" t="n">
        <v>60</v>
      </c>
      <c r="G57" s="196">
        <f>VLOOKUP(D57,Distribution!$A$1:$D$4,3, 0)</f>
        <v/>
      </c>
      <c r="H57" s="345" t="n"/>
      <c r="I57" s="196">
        <f>VLOOKUP(D57,Distribution!$A$1:$D$4,4, 0)</f>
        <v/>
      </c>
      <c r="J57" s="346" t="n"/>
    </row>
    <row r="58" spans="1:10">
      <c r="A58" s="445" t="n"/>
      <c r="B58" s="350" t="s">
        <v>41</v>
      </c>
      <c r="C58" s="351" t="s">
        <v>304</v>
      </c>
      <c r="D58" s="352" t="s">
        <v>308</v>
      </c>
      <c r="E58" s="214">
        <f>VLOOKUP(D58,Distribution!$A$1:$D$4,2, 0)</f>
        <v/>
      </c>
      <c r="F58" s="353" t="n">
        <v>54</v>
      </c>
      <c r="G58" s="214">
        <f>VLOOKUP(D58,Distribution!$A$1:$D$4,3, 0)</f>
        <v/>
      </c>
      <c r="H58" s="353" t="n"/>
      <c r="I58" s="214">
        <f>VLOOKUP(D58,Distribution!$A$1:$D$4,4, 0)</f>
        <v/>
      </c>
      <c r="J58" s="354" t="n"/>
    </row>
    <row customHeight="1" ht="23.25" r="61" s="386" spans="1:10">
      <c r="A61" s="98" t="s">
        <v>116</v>
      </c>
    </row>
    <row customHeight="1" ht="23.25" r="62" s="386" spans="1:10">
      <c r="A62" s="443" t="s">
        <v>117</v>
      </c>
      <c r="B62" s="443" t="n"/>
      <c r="C62" s="443" t="n"/>
      <c r="D62" s="443" t="n"/>
      <c r="E62" s="443" t="n"/>
    </row>
    <row r="63" spans="1:10">
      <c r="A63" s="355" t="s">
        <v>309</v>
      </c>
      <c r="B63" s="356" t="s">
        <v>310</v>
      </c>
      <c r="C63" s="357" t="n"/>
      <c r="D63" s="356" t="s">
        <v>311</v>
      </c>
      <c r="E63" s="357" t="n"/>
    </row>
    <row r="64" spans="1:10">
      <c r="A64" s="355" t="s">
        <v>312</v>
      </c>
      <c r="B64" s="356" t="s">
        <v>310</v>
      </c>
      <c r="C64" s="357" t="n"/>
      <c r="D64" s="356" t="s">
        <v>311</v>
      </c>
      <c r="E64" s="357" t="n"/>
    </row>
    <row r="65" spans="1:10">
      <c r="A65" s="358" t="n"/>
      <c r="B65" s="359" t="n"/>
      <c r="C65" s="359" t="n"/>
      <c r="D65" s="359" t="n"/>
      <c r="E65" s="359" t="n"/>
    </row>
    <row customHeight="1" ht="23.25" r="66" s="386" spans="1:10">
      <c r="A66" s="443" t="s">
        <v>128</v>
      </c>
      <c r="B66" s="443" t="n"/>
      <c r="C66" s="443" t="n"/>
      <c r="D66" s="443" t="n"/>
      <c r="E66" s="443" t="n"/>
    </row>
    <row r="67" spans="1:10">
      <c r="A67" s="355" t="s">
        <v>309</v>
      </c>
      <c r="B67" s="356" t="s">
        <v>310</v>
      </c>
      <c r="C67" s="357" t="n"/>
      <c r="D67" s="356" t="s">
        <v>311</v>
      </c>
      <c r="E67" s="357" t="n"/>
    </row>
    <row r="68" spans="1:10">
      <c r="A68" s="355" t="s">
        <v>312</v>
      </c>
      <c r="B68" s="356" t="s">
        <v>310</v>
      </c>
      <c r="C68" s="357" t="n"/>
      <c r="D68" s="356" t="s">
        <v>311</v>
      </c>
      <c r="E68" s="357" t="n"/>
    </row>
    <row r="69" spans="1:10">
      <c r="A69" s="358" t="n"/>
      <c r="B69" s="359" t="n"/>
      <c r="C69" s="359" t="n"/>
      <c r="D69" s="359" t="n"/>
      <c r="E69" s="359" t="n"/>
    </row>
    <row customHeight="1" ht="23.25" r="70" s="386" spans="1:10">
      <c r="A70" s="443" t="s">
        <v>144</v>
      </c>
      <c r="B70" s="443" t="n"/>
      <c r="C70" s="443" t="n"/>
      <c r="D70" s="443" t="n"/>
      <c r="E70" s="443" t="n"/>
    </row>
    <row r="71" spans="1:10">
      <c r="A71" s="355" t="s">
        <v>309</v>
      </c>
      <c r="B71" s="356" t="s">
        <v>310</v>
      </c>
      <c r="C71" s="357" t="n"/>
      <c r="D71" s="356" t="s">
        <v>311</v>
      </c>
      <c r="E71" s="357" t="n"/>
    </row>
    <row r="72" spans="1:10">
      <c r="A72" s="355" t="s">
        <v>312</v>
      </c>
      <c r="B72" s="356" t="s">
        <v>310</v>
      </c>
      <c r="C72" s="357" t="n"/>
      <c r="D72" s="356" t="s">
        <v>311</v>
      </c>
      <c r="E72" s="357" t="n"/>
    </row>
    <row customHeight="1" ht="15.95" r="73" s="386" spans="1:10">
      <c r="B73" s="85" t="n"/>
      <c r="C73" s="85" t="n"/>
      <c r="D73" s="85" t="n"/>
      <c r="E73" s="85" t="n"/>
    </row>
    <row customHeight="1" ht="23.25" r="74" s="386" spans="1:10">
      <c r="A74" s="443" t="s">
        <v>140</v>
      </c>
      <c r="B74" s="443" t="n"/>
      <c r="C74" s="443" t="n"/>
      <c r="D74" s="443" t="n"/>
      <c r="E74" s="443" t="n"/>
    </row>
    <row customHeight="1" ht="18.75" r="75" s="386" spans="1:10">
      <c r="A75" s="360" t="s">
        <v>309</v>
      </c>
      <c r="B75" s="361" t="s">
        <v>310</v>
      </c>
      <c r="C75" s="362" t="n"/>
      <c r="D75" s="361" t="s">
        <v>311</v>
      </c>
      <c r="E75" s="362" t="n"/>
    </row>
    <row customHeight="1" ht="18.75" r="76" s="386" spans="1:10">
      <c r="A76" s="360" t="s">
        <v>312</v>
      </c>
      <c r="B76" s="361" t="s">
        <v>310</v>
      </c>
      <c r="C76" s="362" t="n"/>
      <c r="D76" s="361" t="s">
        <v>311</v>
      </c>
      <c r="E76" s="362" t="n"/>
    </row>
  </sheetData>
  <mergeCells count="19">
    <mergeCell ref="A62:E62"/>
    <mergeCell ref="A66:E66"/>
    <mergeCell ref="A70:E70"/>
    <mergeCell ref="A74:E74"/>
    <mergeCell ref="A48:A49"/>
    <mergeCell ref="A50:A51"/>
    <mergeCell ref="A53:A54"/>
    <mergeCell ref="A55:A56"/>
    <mergeCell ref="A57:A58"/>
    <mergeCell ref="B22:E22"/>
    <mergeCell ref="B23:E23"/>
    <mergeCell ref="B24:E24"/>
    <mergeCell ref="A28:E28"/>
    <mergeCell ref="A34:E34"/>
    <mergeCell ref="A1:E1"/>
    <mergeCell ref="A5:E5"/>
    <mergeCell ref="A16:E16"/>
    <mergeCell ref="C17:E17"/>
    <mergeCell ref="C18:E18"/>
  </mergeCells>
  <dataValidations count="1">
    <dataValidation allowBlank="1" showErrorMessage="1" showInputMessage="1" sqref="D47:D58" type="list">
      <formula1>dis</formula1>
      <formula2>0</formula2>
    </dataValidation>
  </dataValidations>
  <pageMargins bottom="0.75" footer="0.511805555555555" header="0.511805555555555" left="0.7" right="0.7" top="0.75"/>
  <pageSetup copies="0" firstPageNumber="0" horizontalDpi="0" orientation="portrait" paperSize="0" scale="0" usePrinterDefaults="0" verticalDpi="0"/>
</worksheet>
</file>

<file path=xl/worksheets/sheet6.xml><?xml version="1.0" encoding="utf-8"?>
<worksheet xmlns="http://schemas.openxmlformats.org/spreadsheetml/2006/main">
  <sheetPr>
    <outlinePr summaryBelow="1" summaryRight="1"/>
    <pageSetUpPr/>
  </sheetPr>
  <dimension ref="A1:E84"/>
  <sheetViews>
    <sheetView tabSelected="1" workbookViewId="0">
      <selection activeCell="D11" sqref="D11"/>
    </sheetView>
  </sheetViews>
  <sheetFormatPr baseColWidth="10" defaultRowHeight="15"/>
  <cols>
    <col customWidth="1" max="1" min="1" style="386" width="42.140625"/>
    <col customWidth="1" max="2" min="2" style="386" width="39.5703125"/>
    <col customWidth="1" max="3" min="3" style="386" width="28.28515625"/>
    <col customWidth="1" max="4" min="4" style="386" width="42.85546875"/>
    <col customWidth="1" max="5" min="5" style="386" width="73.5703125"/>
  </cols>
  <sheetData>
    <row customHeight="1" ht="23.25" r="1" s="386" spans="1:5">
      <c r="A1" s="441" t="s">
        <v>313</v>
      </c>
      <c r="B1" s="441" t="n"/>
      <c r="C1" s="441" t="n"/>
      <c r="D1" s="441" t="n"/>
      <c r="E1" s="441" t="n"/>
    </row>
    <row customHeight="1" ht="23.25" r="2" s="386" spans="1:5">
      <c r="A2" s="29" t="s">
        <v>20</v>
      </c>
    </row>
    <row customHeight="1" ht="24" r="3" s="386" spans="1:5">
      <c r="A3" s="28" t="n"/>
    </row>
    <row customHeight="1" ht="21.75" r="4" s="386" spans="1:5">
      <c r="A4" s="400" t="s">
        <v>21</v>
      </c>
      <c r="B4" s="400" t="n"/>
      <c r="C4" s="400" t="n"/>
      <c r="D4" s="400" t="n"/>
      <c r="E4" s="400" t="n"/>
    </row>
    <row r="5" spans="1:5">
      <c r="A5" s="31" t="s">
        <v>22</v>
      </c>
      <c r="B5" s="163" t="s">
        <v>314</v>
      </c>
      <c r="C5" s="33" t="n"/>
      <c r="D5" s="33" t="n"/>
      <c r="E5" s="34" t="n"/>
    </row>
    <row r="6" spans="1:5">
      <c r="A6" s="36" t="s">
        <v>25</v>
      </c>
      <c r="B6" s="37" t="s">
        <v>315</v>
      </c>
      <c r="E6" s="38" t="n"/>
    </row>
    <row r="7" spans="1:5">
      <c r="A7" s="36" t="s">
        <v>27</v>
      </c>
      <c r="B7" s="37" t="s">
        <v>316</v>
      </c>
      <c r="E7" s="38" t="n"/>
    </row>
    <row r="8" spans="1:5">
      <c r="A8" s="36" t="s">
        <v>29</v>
      </c>
      <c r="B8" s="39" t="s">
        <v>317</v>
      </c>
      <c r="C8" s="85" t="s">
        <v>30</v>
      </c>
      <c r="D8" s="39" t="s">
        <v>318</v>
      </c>
      <c r="E8" s="38" t="n"/>
    </row>
    <row r="9" spans="1:5">
      <c r="A9" s="36" t="s">
        <v>31</v>
      </c>
      <c r="B9" s="39" t="n">
        <v>231.9</v>
      </c>
      <c r="D9" s="299" t="n"/>
      <c r="E9" s="38" t="n"/>
    </row>
    <row r="10" spans="1:5">
      <c r="A10" s="36" t="s">
        <v>32</v>
      </c>
      <c r="B10" s="39" t="n">
        <v>154.9</v>
      </c>
      <c r="D10" s="299" t="n"/>
      <c r="E10" s="38" t="n"/>
    </row>
    <row customHeight="1" ht="15.75" r="11" s="386" spans="1:5">
      <c r="A11" s="275" t="s">
        <v>33</v>
      </c>
      <c r="B11" s="43" t="s">
        <v>319</v>
      </c>
      <c r="C11" s="276" t="n"/>
      <c r="D11" s="276" t="n"/>
      <c r="E11" s="277" t="n"/>
    </row>
    <row customHeight="1" ht="15.75" r="12" s="386" spans="1:5"/>
    <row customHeight="1" ht="21.75" r="13" s="386" spans="1:5">
      <c r="A13" s="400" t="s">
        <v>36</v>
      </c>
      <c r="B13" s="400" t="n"/>
      <c r="C13" s="400" t="n"/>
      <c r="D13" s="400" t="n"/>
      <c r="E13" s="400" t="n"/>
    </row>
    <row r="14" spans="1:5">
      <c r="A14" s="46" t="s">
        <v>37</v>
      </c>
      <c r="B14" s="33" t="s">
        <v>38</v>
      </c>
      <c r="C14" s="401" t="s">
        <v>320</v>
      </c>
      <c r="D14" s="401" t="n"/>
      <c r="E14" s="401" t="n"/>
    </row>
    <row r="15" spans="1:5">
      <c r="A15" s="64" t="n"/>
      <c r="B15" s="6" t="s">
        <v>41</v>
      </c>
      <c r="C15" s="402" t="s">
        <v>321</v>
      </c>
      <c r="D15" s="402" t="n"/>
      <c r="E15" s="402" t="n"/>
    </row>
    <row r="16" spans="1:5">
      <c r="A16" s="53" t="s">
        <v>44</v>
      </c>
      <c r="B16" s="54" t="n">
        <v>75</v>
      </c>
      <c r="E16" s="38" t="n"/>
    </row>
    <row r="17" spans="1:5">
      <c r="A17" s="53" t="s">
        <v>45</v>
      </c>
      <c r="B17" s="55" t="n">
        <v>3</v>
      </c>
      <c r="E17" s="38" t="n"/>
    </row>
    <row r="18" spans="1:5">
      <c r="A18" s="53" t="s">
        <v>46</v>
      </c>
      <c r="B18" t="s">
        <v>38</v>
      </c>
      <c r="C18" s="92" t="n">
        <v>30</v>
      </c>
      <c r="D18" t="s">
        <v>41</v>
      </c>
      <c r="E18" s="58" t="n">
        <v>39</v>
      </c>
    </row>
    <row r="19" spans="1:5">
      <c r="A19" s="53" t="s">
        <v>47</v>
      </c>
      <c r="B19" t="s">
        <v>38</v>
      </c>
      <c r="C19" s="92" t="n">
        <v>91.06</v>
      </c>
      <c r="D19" t="s">
        <v>41</v>
      </c>
      <c r="E19" s="58" t="n">
        <v>95.3</v>
      </c>
    </row>
    <row r="20" spans="1:5">
      <c r="A20" s="53" t="s">
        <v>48</v>
      </c>
      <c r="B20" t="s">
        <v>38</v>
      </c>
      <c r="C20" s="61" t="n">
        <v>150</v>
      </c>
      <c r="D20" t="s">
        <v>41</v>
      </c>
      <c r="E20" s="62" t="n">
        <v>152.78</v>
      </c>
    </row>
    <row r="21" spans="1:5">
      <c r="A21" s="64" t="s">
        <v>49</v>
      </c>
      <c r="B21" t="s">
        <v>38</v>
      </c>
      <c r="C21" s="65" t="n">
        <v>100000</v>
      </c>
      <c r="D21" t="s">
        <v>41</v>
      </c>
      <c r="E21" s="66" t="n">
        <v>100000</v>
      </c>
    </row>
    <row customHeight="1" ht="87" r="22" s="386" spans="1:5">
      <c r="A22" s="64" t="s">
        <v>51</v>
      </c>
      <c r="B22" s="6" t="s">
        <v>38</v>
      </c>
      <c r="C22" s="68" t="s">
        <v>322</v>
      </c>
      <c r="D22" s="6" t="s">
        <v>41</v>
      </c>
      <c r="E22" s="69" t="s">
        <v>322</v>
      </c>
    </row>
    <row r="23" spans="1:5">
      <c r="A23" s="64" t="s">
        <v>54</v>
      </c>
      <c r="B23" s="403" t="s">
        <v>55</v>
      </c>
      <c r="C23" s="403" t="n"/>
      <c r="D23" s="403" t="n"/>
      <c r="E23" s="403" t="n"/>
    </row>
    <row r="24" spans="1:5">
      <c r="A24" s="53" t="s">
        <v>56</v>
      </c>
      <c r="B24" s="403" t="s">
        <v>57</v>
      </c>
      <c r="C24" s="403" t="n"/>
      <c r="D24" s="403" t="n"/>
      <c r="E24" s="403" t="n"/>
    </row>
    <row customHeight="1" ht="15.75" r="25" s="386" spans="1:5">
      <c r="A25" s="275" t="s">
        <v>60</v>
      </c>
      <c r="B25" s="404" t="s">
        <v>61</v>
      </c>
      <c r="C25" s="404" t="n"/>
      <c r="D25" s="404" t="n"/>
      <c r="E25" s="404" t="n"/>
    </row>
    <row customHeight="1" ht="15.75" r="26" s="386" spans="1:5">
      <c r="C26" s="85" t="n"/>
      <c r="E26" s="85" t="n"/>
    </row>
    <row customHeight="1" ht="21.75" r="27" s="386" spans="1:5">
      <c r="A27" s="405" t="s">
        <v>65</v>
      </c>
      <c r="B27" s="405" t="n"/>
      <c r="C27" s="405" t="n"/>
      <c r="D27" s="405" t="n"/>
      <c r="E27" s="405" t="n"/>
    </row>
    <row r="28" spans="1:5">
      <c r="A28" s="31" t="s">
        <v>67</v>
      </c>
      <c r="B28" s="78" t="n">
        <v>114750</v>
      </c>
      <c r="C28" s="33" t="n"/>
      <c r="D28" s="33" t="n"/>
      <c r="E28" s="34" t="n"/>
    </row>
    <row r="29" spans="1:5">
      <c r="A29" s="36" t="s">
        <v>69</v>
      </c>
      <c r="B29" s="79" t="n">
        <v>9</v>
      </c>
      <c r="E29" s="38" t="n"/>
    </row>
    <row r="30" spans="1:5">
      <c r="A30" s="36" t="s">
        <v>71</v>
      </c>
      <c r="B30" s="80" t="s">
        <v>323</v>
      </c>
      <c r="E30" s="38" t="n"/>
    </row>
    <row r="31" spans="1:5">
      <c r="A31" s="36" t="s">
        <v>73</v>
      </c>
      <c r="B31" s="81" t="s">
        <v>74</v>
      </c>
      <c r="C31" s="92" t="n">
        <v>12</v>
      </c>
      <c r="D31" s="299" t="s">
        <v>75</v>
      </c>
      <c r="E31" s="58" t="n">
        <v>12</v>
      </c>
    </row>
    <row customHeight="1" ht="15.75" r="32" s="386" spans="1:5">
      <c r="A32" s="275" t="s">
        <v>78</v>
      </c>
      <c r="B32" s="82" t="s">
        <v>79</v>
      </c>
      <c r="C32" s="83" t="n">
        <v>11.58</v>
      </c>
      <c r="D32" s="276" t="s">
        <v>80</v>
      </c>
      <c r="E32" s="84" t="n">
        <v>20.43</v>
      </c>
    </row>
    <row customHeight="1" ht="15.75" r="33" s="386" spans="1:5">
      <c r="B33" s="85" t="n"/>
    </row>
    <row customHeight="1" ht="21.75" r="34" s="386" spans="1:5">
      <c r="A34" s="400" t="s">
        <v>83</v>
      </c>
      <c r="B34" s="400" t="n"/>
      <c r="C34" s="400" t="n"/>
      <c r="D34" s="400" t="n"/>
      <c r="E34" s="400" t="n"/>
    </row>
    <row r="35" spans="1:5">
      <c r="A35" s="31" t="s">
        <v>85</v>
      </c>
      <c r="B35" s="86" t="s">
        <v>38</v>
      </c>
      <c r="C35" s="423" t="n">
        <v>5</v>
      </c>
      <c r="D35" s="33" t="s">
        <v>41</v>
      </c>
      <c r="E35" s="88" t="n">
        <v>5</v>
      </c>
    </row>
    <row r="36" spans="1:5">
      <c r="A36" s="36" t="s">
        <v>87</v>
      </c>
      <c r="B36" s="89" t="s">
        <v>38</v>
      </c>
      <c r="C36" s="92" t="n">
        <v>30</v>
      </c>
      <c r="D36" t="s">
        <v>41</v>
      </c>
      <c r="E36" s="58" t="n">
        <v>39</v>
      </c>
    </row>
    <row r="37" spans="1:5">
      <c r="A37" s="36" t="s">
        <v>89</v>
      </c>
      <c r="B37" s="89" t="s">
        <v>38</v>
      </c>
      <c r="C37" s="92" t="n">
        <v>10</v>
      </c>
      <c r="D37" t="s">
        <v>41</v>
      </c>
      <c r="E37" s="58" t="n">
        <v>10</v>
      </c>
    </row>
    <row r="38" spans="1:5">
      <c r="A38" s="36" t="s">
        <v>91</v>
      </c>
      <c r="B38" s="89" t="s">
        <v>38</v>
      </c>
      <c r="C38" s="92" t="n">
        <v>60</v>
      </c>
      <c r="D38" t="s">
        <v>41</v>
      </c>
      <c r="E38" s="58" t="n">
        <v>60</v>
      </c>
    </row>
    <row r="39" spans="1:5">
      <c r="A39" s="36" t="s">
        <v>93</v>
      </c>
      <c r="B39" s="89" t="s">
        <v>38</v>
      </c>
      <c r="C39" s="92" t="n">
        <v>14</v>
      </c>
      <c r="D39" t="s">
        <v>41</v>
      </c>
      <c r="E39" s="58" t="n">
        <v>14</v>
      </c>
    </row>
    <row r="40" spans="1:5">
      <c r="A40" s="36" t="s">
        <v>95</v>
      </c>
      <c r="B40" s="89" t="s">
        <v>38</v>
      </c>
      <c r="C40" s="92" t="n">
        <v>7</v>
      </c>
      <c r="D40" t="s">
        <v>41</v>
      </c>
      <c r="E40" s="58" t="n">
        <v>7</v>
      </c>
    </row>
    <row r="41" spans="1:5">
      <c r="A41" s="36" t="s">
        <v>97</v>
      </c>
      <c r="B41" s="89" t="n"/>
      <c r="C41" s="85" t="n"/>
      <c r="E41" s="90" t="n"/>
    </row>
    <row r="42" spans="1:5">
      <c r="A42" s="91" t="s">
        <v>99</v>
      </c>
      <c r="B42" s="89" t="s">
        <v>38</v>
      </c>
      <c r="C42" s="92" t="n">
        <v>2</v>
      </c>
      <c r="D42" t="s">
        <v>41</v>
      </c>
      <c r="E42" s="58" t="n">
        <v>2</v>
      </c>
    </row>
    <row r="43" spans="1:5">
      <c r="A43" s="91" t="s">
        <v>101</v>
      </c>
      <c r="B43" s="89" t="s">
        <v>38</v>
      </c>
      <c r="C43" s="92" t="n">
        <v>1</v>
      </c>
      <c r="D43" t="s">
        <v>41</v>
      </c>
      <c r="E43" s="58" t="n">
        <v>1</v>
      </c>
    </row>
    <row r="44" spans="1:5">
      <c r="A44" s="36" t="s">
        <v>103</v>
      </c>
      <c r="B44" s="89" t="s">
        <v>104</v>
      </c>
      <c r="C44" s="92" t="n">
        <v>1480</v>
      </c>
      <c r="D44" t="s">
        <v>105</v>
      </c>
      <c r="E44" s="92" t="n">
        <v>1900</v>
      </c>
    </row>
    <row r="45" spans="1:5">
      <c r="A45" s="36" t="s">
        <v>108</v>
      </c>
      <c r="B45" s="92" t="n">
        <v>15</v>
      </c>
      <c r="C45" s="85" t="n"/>
      <c r="E45" s="90" t="n"/>
    </row>
    <row r="46" spans="1:5">
      <c r="A46" s="93" t="s">
        <v>110</v>
      </c>
      <c r="B46" s="89" t="s">
        <v>38</v>
      </c>
      <c r="C46" s="92" t="n">
        <v>65</v>
      </c>
      <c r="D46" t="s">
        <v>41</v>
      </c>
      <c r="E46" s="58" t="n">
        <v>65</v>
      </c>
    </row>
    <row r="47" spans="1:5">
      <c r="A47" s="93" t="s">
        <v>112</v>
      </c>
      <c r="B47" s="89" t="s">
        <v>38</v>
      </c>
      <c r="C47" s="92" t="n">
        <v>40</v>
      </c>
      <c r="D47" t="s">
        <v>41</v>
      </c>
      <c r="E47" s="58" t="n">
        <v>40</v>
      </c>
    </row>
    <row customHeight="1" ht="15.75" r="48" s="386" spans="1:5">
      <c r="A48" s="94" t="s">
        <v>114</v>
      </c>
      <c r="B48" s="95" t="s">
        <v>38</v>
      </c>
      <c r="C48" s="83" t="n">
        <v>20</v>
      </c>
      <c r="D48" s="276" t="s">
        <v>41</v>
      </c>
      <c r="E48" s="84" t="n">
        <v>20</v>
      </c>
    </row>
    <row customHeight="1" ht="24" r="50" s="386" spans="1:5">
      <c r="A50" s="98" t="s">
        <v>116</v>
      </c>
      <c r="C50" s="99" t="n"/>
    </row>
    <row customHeight="1" ht="24" r="51" s="386" spans="1:5">
      <c r="A51" s="406" t="s">
        <v>117</v>
      </c>
      <c r="B51" s="406" t="n"/>
      <c r="C51" s="406" t="n"/>
      <c r="D51" s="406" t="n"/>
      <c r="E51" s="406" t="n"/>
    </row>
    <row r="52" spans="1:5">
      <c r="A52" s="31" t="s">
        <v>118</v>
      </c>
      <c r="B52" s="86" t="s">
        <v>38</v>
      </c>
      <c r="C52" s="101" t="n">
        <v>5388196.5</v>
      </c>
      <c r="D52" s="33" t="s">
        <v>41</v>
      </c>
      <c r="E52" s="102" t="n">
        <v>5488057.741800001</v>
      </c>
    </row>
    <row r="53" spans="1:5">
      <c r="A53" s="36" t="s">
        <v>119</v>
      </c>
      <c r="B53" s="89" t="s">
        <v>38</v>
      </c>
      <c r="C53" s="104" t="n">
        <v>4041147.375000001</v>
      </c>
      <c r="D53" t="s">
        <v>41</v>
      </c>
      <c r="E53" s="105" t="n">
        <v>4116043.306349999</v>
      </c>
    </row>
    <row r="54" spans="1:5">
      <c r="A54" s="36" t="s">
        <v>120</v>
      </c>
      <c r="B54" s="89" t="n"/>
      <c r="C54" s="106" t="n"/>
      <c r="E54" s="107" t="n"/>
    </row>
    <row customHeight="1" ht="36" r="55" s="386" spans="1:5">
      <c r="A55" s="108" t="s">
        <v>121</v>
      </c>
      <c r="B55" s="109" t="s">
        <v>38</v>
      </c>
      <c r="C55" s="110" t="n">
        <v>5388196.5</v>
      </c>
      <c r="D55" s="6" t="s">
        <v>41</v>
      </c>
      <c r="E55" s="111" t="n">
        <v>0</v>
      </c>
    </row>
    <row r="56" spans="1:5">
      <c r="A56" s="36" t="s">
        <v>122</v>
      </c>
      <c r="B56" s="89" t="s">
        <v>38</v>
      </c>
      <c r="C56" s="104" t="n">
        <v>20</v>
      </c>
      <c r="D56" t="s">
        <v>41</v>
      </c>
      <c r="E56" s="105" t="n">
        <v>20</v>
      </c>
    </row>
    <row r="57" spans="1:5">
      <c r="A57" s="36" t="s">
        <v>123</v>
      </c>
      <c r="B57" s="89" t="s">
        <v>38</v>
      </c>
      <c r="C57" s="104" t="n">
        <v>20</v>
      </c>
      <c r="D57" t="s">
        <v>41</v>
      </c>
      <c r="E57" s="105" t="n">
        <v>20</v>
      </c>
    </row>
    <row r="58" spans="1:5">
      <c r="A58" s="36" t="s">
        <v>124</v>
      </c>
      <c r="B58" s="89" t="s">
        <v>38</v>
      </c>
      <c r="C58" s="104" t="n">
        <v>20</v>
      </c>
      <c r="D58" t="s">
        <v>41</v>
      </c>
      <c r="E58" s="105" t="n">
        <v>20</v>
      </c>
    </row>
    <row r="59" spans="1:5">
      <c r="A59" s="91" t="s">
        <v>125</v>
      </c>
      <c r="B59" s="89" t="s">
        <v>38</v>
      </c>
      <c r="C59" s="104" t="n">
        <v>20</v>
      </c>
      <c r="D59" t="s">
        <v>41</v>
      </c>
      <c r="E59" s="105" t="n">
        <v>20</v>
      </c>
    </row>
    <row customHeight="1" ht="15.75" r="60" s="386" spans="1:5">
      <c r="A60" s="94" t="s">
        <v>126</v>
      </c>
      <c r="B60" s="95" t="s">
        <v>38</v>
      </c>
      <c r="C60" s="112" t="n">
        <v>20</v>
      </c>
      <c r="D60" s="276" t="s">
        <v>41</v>
      </c>
      <c r="E60" s="113" t="n">
        <v>20</v>
      </c>
    </row>
    <row customHeight="1" ht="15.75" r="61" s="386" spans="1:5">
      <c r="A61" s="116" t="s">
        <v>127</v>
      </c>
      <c r="B61" s="117" t="s">
        <v>38</v>
      </c>
      <c r="C61" s="118" t="n">
        <v>15106637.66173145</v>
      </c>
      <c r="D61" s="119" t="s">
        <v>41</v>
      </c>
      <c r="E61" s="120" t="n">
        <v>9942254.381888602</v>
      </c>
    </row>
    <row customHeight="1" ht="15.75" r="62" s="386" spans="1:5">
      <c r="E62" s="85" t="n"/>
    </row>
    <row customHeight="1" ht="24" r="63" s="386" spans="1:5">
      <c r="A63" s="407" t="s">
        <v>128</v>
      </c>
      <c r="B63" s="407" t="n"/>
      <c r="C63" s="407" t="n"/>
      <c r="D63" s="407" t="n"/>
      <c r="E63" s="407" t="n"/>
    </row>
    <row customHeight="1" ht="15.75" r="64" s="386" spans="1:5">
      <c r="A64" s="31" t="s">
        <v>129</v>
      </c>
      <c r="B64" s="48" t="s">
        <v>38</v>
      </c>
      <c r="C64" s="128" t="n">
        <v>203533.2987325176</v>
      </c>
      <c r="D64" s="33" t="s">
        <v>41</v>
      </c>
      <c r="E64" s="129" t="n">
        <v>155072.9895104896</v>
      </c>
    </row>
    <row customHeight="1" ht="15.75" r="65" s="386" spans="1:5">
      <c r="A65" s="36" t="s">
        <v>130</v>
      </c>
      <c r="B65" s="60" t="s">
        <v>38</v>
      </c>
      <c r="C65" s="131" t="n">
        <v>81413.31949300699</v>
      </c>
      <c r="D65" t="s">
        <v>41</v>
      </c>
      <c r="E65" s="132" t="n">
        <v>62029.19580419582</v>
      </c>
    </row>
    <row customHeight="1" ht="15.75" r="66" s="386" spans="1:5">
      <c r="A66" s="36" t="s">
        <v>131</v>
      </c>
      <c r="B66" s="60" t="s">
        <v>38</v>
      </c>
      <c r="C66" s="136" t="n">
        <v>137588.5099431818</v>
      </c>
      <c r="D66" t="s">
        <v>41</v>
      </c>
      <c r="E66" s="137" t="n">
        <v>104829.3409090909</v>
      </c>
    </row>
    <row customHeight="1" ht="15.75" r="67" s="386" spans="1:5">
      <c r="A67" s="123" t="s">
        <v>132</v>
      </c>
      <c r="B67" s="117" t="s">
        <v>38</v>
      </c>
      <c r="C67" s="125" t="n">
        <v>422535.1281687063</v>
      </c>
      <c r="D67" s="126" t="s">
        <v>41</v>
      </c>
      <c r="E67" s="127" t="n">
        <v>321931.5262237763</v>
      </c>
    </row>
    <row customHeight="1" ht="15.75" r="68" s="386" spans="1:5"/>
    <row customHeight="1" ht="24" r="69" s="386" spans="1:5">
      <c r="A69" s="407" t="s">
        <v>133</v>
      </c>
      <c r="B69" s="407" t="n"/>
      <c r="C69" s="407" t="n"/>
      <c r="D69" s="407" t="n"/>
      <c r="E69" s="407" t="n"/>
    </row>
    <row r="70" spans="1:5">
      <c r="A70" s="31" t="s">
        <v>134</v>
      </c>
      <c r="B70" s="48" t="s">
        <v>38</v>
      </c>
      <c r="C70" s="128" t="n">
        <v>20</v>
      </c>
      <c r="D70" s="33" t="s">
        <v>41</v>
      </c>
      <c r="E70" s="129" t="n">
        <v>20</v>
      </c>
    </row>
    <row r="71" spans="1:5">
      <c r="A71" s="36" t="s">
        <v>135</v>
      </c>
      <c r="B71" s="60" t="s">
        <v>38</v>
      </c>
      <c r="C71" s="134" t="n">
        <v>20</v>
      </c>
      <c r="D71" t="s">
        <v>41</v>
      </c>
      <c r="E71" s="135" t="n">
        <v>20</v>
      </c>
    </row>
    <row customHeight="1" ht="15.75" r="72" s="386" spans="1:5">
      <c r="A72" s="275" t="s">
        <v>136</v>
      </c>
      <c r="B72" s="140" t="s">
        <v>38</v>
      </c>
      <c r="C72" s="141" t="n">
        <v>20</v>
      </c>
      <c r="D72" s="276" t="s">
        <v>41</v>
      </c>
      <c r="E72" s="142" t="n">
        <v>20</v>
      </c>
    </row>
    <row customHeight="1" ht="15.75" r="73" s="386" spans="1:5">
      <c r="A73" s="116" t="s">
        <v>137</v>
      </c>
      <c r="B73" s="117" t="s">
        <v>38</v>
      </c>
      <c r="C73" s="118" t="n">
        <v>20</v>
      </c>
      <c r="D73" s="119" t="s">
        <v>41</v>
      </c>
      <c r="E73" s="120" t="n">
        <v>20</v>
      </c>
    </row>
    <row customHeight="1" ht="15.75" r="74" s="386" spans="1:5"/>
    <row r="75" spans="1:5">
      <c r="A75" s="31" t="s">
        <v>138</v>
      </c>
      <c r="B75" s="144" t="n">
        <v>0.3</v>
      </c>
      <c r="C75" s="33" t="n"/>
      <c r="D75" s="33" t="n"/>
      <c r="E75" s="34" t="n"/>
    </row>
    <row customHeight="1" ht="15.75" r="76" s="386" spans="1:5">
      <c r="A76" s="275" t="s">
        <v>139</v>
      </c>
      <c r="B76" s="145" t="n">
        <v>1</v>
      </c>
      <c r="C76" s="276" t="n"/>
      <c r="D76" s="276" t="n"/>
      <c r="E76" s="277" t="n"/>
    </row>
    <row customHeight="1" ht="15.75" r="77" s="386" spans="1:5"/>
    <row customHeight="1" ht="24" r="78" s="386" spans="1:5">
      <c r="A78" s="408" t="s">
        <v>140</v>
      </c>
      <c r="B78" s="408" t="n"/>
      <c r="C78" s="408" t="n"/>
      <c r="D78" s="408" t="n"/>
      <c r="E78" s="408" t="n"/>
    </row>
    <row customHeight="1" ht="18.75" r="79" s="386" spans="1:5">
      <c r="A79" s="146" t="s">
        <v>141</v>
      </c>
      <c r="B79" s="147" t="s">
        <v>38</v>
      </c>
      <c r="C79" s="148" t="n">
        <v>15529172.78990016</v>
      </c>
      <c r="D79" s="147" t="s">
        <v>41</v>
      </c>
      <c r="E79" s="149" t="n">
        <v>10264185.90811238</v>
      </c>
    </row>
    <row customHeight="1" ht="18.75" r="80" s="386" spans="1:5">
      <c r="A80" s="156" t="s">
        <v>142</v>
      </c>
      <c r="B80" s="410" t="s">
        <v>324</v>
      </c>
      <c r="C80" s="410" t="n"/>
      <c r="D80" s="410" t="n"/>
      <c r="E80" s="410" t="n"/>
    </row>
    <row customHeight="1" ht="18.75" r="81" s="386" spans="1:5">
      <c r="A81" s="156" t="s">
        <v>143</v>
      </c>
      <c r="B81" s="411" t="s">
        <v>117</v>
      </c>
      <c r="C81" s="411" t="n"/>
      <c r="D81" s="412" t="s">
        <v>325</v>
      </c>
      <c r="E81" s="412" t="n"/>
    </row>
    <row customHeight="1" ht="18.75" r="82" s="386" spans="1:5">
      <c r="A82" s="156" t="n"/>
      <c r="B82" s="411" t="s">
        <v>128</v>
      </c>
      <c r="C82" s="411" t="n"/>
      <c r="D82" s="412" t="s">
        <v>325</v>
      </c>
      <c r="E82" s="412" t="n"/>
    </row>
    <row customHeight="1" ht="18.75" r="83" s="386" spans="1:5">
      <c r="A83" s="156" t="n"/>
      <c r="B83" s="411" t="s">
        <v>144</v>
      </c>
      <c r="C83" s="411" t="n"/>
      <c r="D83" s="412" t="s">
        <v>325</v>
      </c>
      <c r="E83" s="412" t="n"/>
    </row>
    <row customHeight="1" ht="19.5" r="84" s="386" spans="1:5">
      <c r="A84" s="159" t="n"/>
      <c r="B84" s="413" t="s">
        <v>140</v>
      </c>
      <c r="C84" s="413" t="n"/>
      <c r="D84" s="414">
        <f>(C79-E79)/C79</f>
        <v/>
      </c>
      <c r="E84" s="414" t="s">
        <v>325</v>
      </c>
    </row>
  </sheetData>
  <mergeCells count="23">
    <mergeCell ref="A63:E63"/>
    <mergeCell ref="A1:E1"/>
    <mergeCell ref="A4:E4"/>
    <mergeCell ref="A13:E13"/>
    <mergeCell ref="C14:E14"/>
    <mergeCell ref="C15:E15"/>
    <mergeCell ref="B23:E23"/>
    <mergeCell ref="B24:E24"/>
    <mergeCell ref="B25:E25"/>
    <mergeCell ref="A27:E27"/>
    <mergeCell ref="A34:E34"/>
    <mergeCell ref="A51:E51"/>
    <mergeCell ref="B83:C83"/>
    <mergeCell ref="D83:E83"/>
    <mergeCell ref="B84:C84"/>
    <mergeCell ref="D84:E84"/>
    <mergeCell ref="A69:E69"/>
    <mergeCell ref="A78:E78"/>
    <mergeCell ref="B80:E80"/>
    <mergeCell ref="B81:C81"/>
    <mergeCell ref="D81:E81"/>
    <mergeCell ref="B82:C82"/>
    <mergeCell ref="D82:E82"/>
  </mergeCells>
  <dataValidations count="1">
    <dataValidation allowBlank="1" error="This spreadsheet can only calculate up to three rehabilitation activities during the whole life cycle." errorTitle="Warning" operator="lessThanOrEqual" showErrorMessage="1" showInputMessage="1" sqref="C40" type="whole">
      <formula1>3</formula1>
      <formula2>0</formula2>
    </dataValidation>
  </dataValidations>
  <pageMargins bottom="0.75" footer="0.3" header="0.3" left="0.7" right="0.7" top="0.75"/>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I30"/>
  <sheetViews>
    <sheetView workbookViewId="0" zoomScaleNormal="100">
      <selection activeCell="C16" sqref="C16"/>
    </sheetView>
  </sheetViews>
  <sheetFormatPr baseColWidth="10" defaultRowHeight="15"/>
  <cols>
    <col customWidth="1" max="1" min="1" style="386" width="15.85546875"/>
    <col customWidth="1" max="2" min="2" style="386" width="28.5703125"/>
    <col customWidth="1" max="3" min="3" style="386" width="21.140625"/>
    <col customWidth="1" max="5" min="4" style="386" width="8.5703125"/>
    <col customWidth="1" max="6" min="6" style="386" width="33.5703125"/>
    <col customWidth="1" max="1025" min="7" style="386" width="8.5703125"/>
  </cols>
  <sheetData>
    <row customHeight="1" ht="18.75" r="1" s="386" spans="1:9">
      <c r="A1" s="363" t="s">
        <v>326</v>
      </c>
    </row>
    <row r="2" spans="1:9">
      <c r="A2" s="446" t="s">
        <v>146</v>
      </c>
      <c r="B2" s="446" t="n"/>
      <c r="C2" s="446" t="n"/>
      <c r="D2" s="446" t="n"/>
      <c r="E2" s="446" t="n"/>
      <c r="F2" s="446" t="n"/>
      <c r="G2" s="446" t="n"/>
      <c r="H2" s="446" t="n"/>
      <c r="I2" s="446" t="n"/>
    </row>
    <row r="3" spans="1:9">
      <c r="A3" s="364" t="n"/>
    </row>
    <row customHeight="1" ht="18.75" r="4" s="386" spans="1:9">
      <c r="B4" s="447" t="s">
        <v>327</v>
      </c>
      <c r="C4" s="447" t="n"/>
      <c r="D4" s="447" t="n"/>
      <c r="E4" s="447" t="n"/>
      <c r="F4" s="447" t="n"/>
      <c r="G4" s="447" t="n"/>
      <c r="H4" s="447" t="n"/>
    </row>
    <row r="5" spans="1:9">
      <c r="B5" s="365" t="s">
        <v>328</v>
      </c>
      <c r="C5" s="366" t="s">
        <v>329</v>
      </c>
      <c r="D5" s="366" t="s">
        <v>330</v>
      </c>
      <c r="E5" s="366" t="s">
        <v>331</v>
      </c>
      <c r="F5" s="366" t="s">
        <v>332</v>
      </c>
      <c r="G5" s="367" t="s">
        <v>330</v>
      </c>
      <c r="H5" s="368" t="s">
        <v>333</v>
      </c>
      <c r="I5" s="369" t="n"/>
    </row>
    <row r="6" spans="1:9">
      <c r="B6" s="365" t="s">
        <v>334</v>
      </c>
      <c r="C6" s="370" t="n">
        <v>611</v>
      </c>
      <c r="D6" s="370" t="n">
        <v>0.106382978723404</v>
      </c>
      <c r="E6" s="370">
        <f>D6*C6</f>
        <v/>
      </c>
      <c r="F6" s="196" t="n">
        <v>439</v>
      </c>
      <c r="G6" s="371" t="n">
        <v>0.107061503416857</v>
      </c>
      <c r="H6" s="372">
        <f>G6*F6</f>
        <v/>
      </c>
    </row>
    <row r="7" spans="1:9">
      <c r="B7" s="365" t="s">
        <v>335</v>
      </c>
      <c r="C7" s="370" t="n">
        <v>0</v>
      </c>
      <c r="D7" s="370" t="n">
        <v>0</v>
      </c>
      <c r="E7" s="370" t="n"/>
      <c r="F7" s="370" t="n">
        <v>236</v>
      </c>
      <c r="G7" s="373" t="n">
        <v>0.0508474576271187</v>
      </c>
      <c r="H7" s="372">
        <f>G7*F7</f>
        <v/>
      </c>
    </row>
    <row r="8" spans="1:9">
      <c r="B8" s="365" t="s">
        <v>336</v>
      </c>
      <c r="C8" s="370" t="n">
        <v>263</v>
      </c>
      <c r="D8" s="370" t="n">
        <v>0.00604838709677419</v>
      </c>
      <c r="E8" s="370">
        <f>D8*C8</f>
        <v/>
      </c>
      <c r="F8" s="370" t="n">
        <v>287</v>
      </c>
      <c r="G8" s="373" t="n">
        <v>0.00522648083623693</v>
      </c>
      <c r="H8" s="372">
        <f>G8*F8</f>
        <v/>
      </c>
    </row>
    <row r="9" spans="1:9">
      <c r="B9" s="365" t="s">
        <v>337</v>
      </c>
      <c r="C9" s="370" t="n">
        <v>1640</v>
      </c>
      <c r="D9" s="370" t="n">
        <v>0.00666666666666667</v>
      </c>
      <c r="E9" s="370">
        <f>D9*C9</f>
        <v/>
      </c>
      <c r="F9" s="370" t="n">
        <v>1436</v>
      </c>
      <c r="G9" s="373" t="n">
        <v>0.00905292479108635</v>
      </c>
      <c r="H9" s="372">
        <f>G9*F9</f>
        <v/>
      </c>
    </row>
    <row r="10" spans="1:9">
      <c r="B10" s="365" t="s">
        <v>338</v>
      </c>
      <c r="C10" s="370" t="n">
        <v>1350</v>
      </c>
      <c r="D10" s="370" t="n">
        <v>0.00666666666666667</v>
      </c>
      <c r="E10" s="370">
        <f>D10*C10</f>
        <v/>
      </c>
      <c r="F10" s="370" t="n">
        <v>1436</v>
      </c>
      <c r="G10" s="373" t="n">
        <v>0.00661559888579387</v>
      </c>
      <c r="H10" s="372">
        <f>G10*F10</f>
        <v/>
      </c>
    </row>
    <row r="11" spans="1:9">
      <c r="B11" s="365" t="s">
        <v>339</v>
      </c>
      <c r="C11" s="370" t="n">
        <v>4.5</v>
      </c>
      <c r="D11" s="370" t="n">
        <v>0.285714285714286</v>
      </c>
      <c r="E11" s="370">
        <f>D11*C11</f>
        <v/>
      </c>
      <c r="F11" s="370" t="n">
        <v>0</v>
      </c>
      <c r="G11" s="373" t="n">
        <v>0.285714285714286</v>
      </c>
      <c r="H11" s="372">
        <f>G11*F11</f>
        <v/>
      </c>
    </row>
    <row r="12" spans="1:9">
      <c r="B12" s="374" t="s">
        <v>340</v>
      </c>
      <c r="C12" s="370" t="n">
        <v>24</v>
      </c>
      <c r="D12" s="370" t="n">
        <v>0.108606557377049</v>
      </c>
      <c r="E12" s="370">
        <f>D12*C12</f>
        <v/>
      </c>
      <c r="F12" s="370" t="n">
        <v>95</v>
      </c>
      <c r="G12" s="373" t="n">
        <v>0.108333333333333</v>
      </c>
      <c r="H12" s="372">
        <f>G12*F12</f>
        <v/>
      </c>
    </row>
    <row r="13" spans="1:9">
      <c r="B13" s="365" t="s">
        <v>341</v>
      </c>
      <c r="C13" s="370" t="n">
        <v>0</v>
      </c>
      <c r="D13" s="370" t="n">
        <v>0</v>
      </c>
      <c r="E13" s="370" t="n"/>
      <c r="F13" s="370" t="n">
        <v>25.92</v>
      </c>
      <c r="G13" s="373" t="n">
        <v>0.246913580246914</v>
      </c>
      <c r="H13" s="372">
        <f>G13*F13</f>
        <v/>
      </c>
    </row>
    <row r="14" spans="1:9">
      <c r="B14" s="375" t="s">
        <v>342</v>
      </c>
      <c r="C14" s="376" t="n"/>
      <c r="D14" s="376" t="n"/>
      <c r="E14" s="376">
        <f>SUM(E6:E13)</f>
        <v/>
      </c>
      <c r="F14" s="376" t="n"/>
      <c r="G14" s="377" t="n"/>
      <c r="H14" s="378">
        <f>SUM(H6:H13)</f>
        <v/>
      </c>
    </row>
    <row customHeight="1" ht="15.75" r="17" s="386" spans="1:9">
      <c r="A17" s="379" t="s">
        <v>343</v>
      </c>
      <c r="E17" s="379" t="s">
        <v>344</v>
      </c>
    </row>
    <row r="18" spans="1:9">
      <c r="A18" t="s">
        <v>345</v>
      </c>
    </row>
    <row r="30" spans="1:9">
      <c r="A30" s="448" t="s">
        <v>346</v>
      </c>
      <c r="B30" s="448" t="n"/>
      <c r="C30" s="448" t="n"/>
      <c r="D30" s="448" t="n"/>
      <c r="E30" s="448" t="n"/>
      <c r="F30" s="448" t="n"/>
      <c r="G30" s="448" t="n"/>
      <c r="H30" s="448" t="n"/>
      <c r="I30" s="448" t="n"/>
    </row>
  </sheetData>
  <mergeCells count="3">
    <mergeCell ref="A2:I2"/>
    <mergeCell ref="B4:H4"/>
    <mergeCell ref="A30:I30"/>
  </mergeCells>
  <pageMargins bottom="0.75" footer="0.511805555555555" header="0.511805555555555" left="0.7" right="0.7" top="0.75"/>
  <pageSetup copies="0" firstPageNumber="0" horizontalDpi="0" orientation="portrait" paperSize="0" scale="0" usePrinterDefaults="0" verticalDpi="0"/>
</worksheet>
</file>

<file path=xl/worksheets/sheet8.xml><?xml version="1.0" encoding="utf-8"?>
<worksheet xmlns="http://schemas.openxmlformats.org/spreadsheetml/2006/main">
  <sheetPr>
    <outlinePr summaryBelow="1" summaryRight="1"/>
    <pageSetUpPr/>
  </sheetPr>
  <dimension ref="A1:AB76"/>
  <sheetViews>
    <sheetView workbookViewId="0" zoomScaleNormal="100">
      <selection activeCell="A7" sqref="A7"/>
    </sheetView>
  </sheetViews>
  <sheetFormatPr baseColWidth="10" defaultRowHeight="15"/>
  <cols>
    <col customWidth="1" max="1" min="1" style="386" width="127.85546875"/>
    <col customWidth="1" max="1025" min="2" style="386" width="8.5703125"/>
  </cols>
  <sheetData>
    <row customHeight="1" ht="18.75" r="1" s="386" spans="1:28">
      <c r="A1" s="380" t="s">
        <v>347</v>
      </c>
      <c r="C1" s="380" t="s">
        <v>348</v>
      </c>
    </row>
    <row customHeight="1" ht="21" r="2" s="386" spans="1:28">
      <c r="A2" s="381" t="s">
        <v>18</v>
      </c>
      <c r="C2" s="449" t="s">
        <v>349</v>
      </c>
      <c r="D2" s="449" t="n"/>
      <c r="E2" s="449" t="n"/>
      <c r="F2" s="449" t="n"/>
      <c r="G2" s="449" t="n"/>
      <c r="H2" s="449" t="n"/>
      <c r="I2" s="449" t="n"/>
      <c r="J2" s="449" t="n"/>
      <c r="K2" s="449" t="n"/>
      <c r="L2" s="449" t="n"/>
    </row>
    <row r="3" spans="1:28">
      <c r="C3" t="s">
        <v>350</v>
      </c>
    </row>
    <row customHeight="1" ht="42" r="4" s="386" spans="1:28">
      <c r="A4" s="383" t="s">
        <v>351</v>
      </c>
      <c r="C4" s="380" t="n"/>
    </row>
    <row customHeight="1" ht="84" r="5" s="386" spans="1:28">
      <c r="A5" s="383" t="s">
        <v>352</v>
      </c>
      <c r="C5" s="380" t="n"/>
    </row>
    <row customHeight="1" ht="18.75" r="6" s="386" spans="1:28">
      <c r="C6" s="380" t="n"/>
    </row>
    <row customHeight="1" ht="18.75" r="7" s="386" spans="1:28">
      <c r="C7" s="380" t="n"/>
    </row>
    <row customHeight="1" ht="18.75" r="8" s="386" spans="1:28">
      <c r="C8" s="380" t="n"/>
    </row>
    <row customHeight="1" ht="18.75" r="9" s="386" spans="1:28">
      <c r="C9" s="380" t="n"/>
    </row>
    <row customHeight="1" ht="18.75" r="10" s="386" spans="1:28">
      <c r="C10" s="380" t="n"/>
    </row>
    <row customHeight="1" ht="18.75" r="11" s="386" spans="1:28">
      <c r="C11" s="380" t="n"/>
    </row>
    <row customHeight="1" ht="18.75" r="12" s="386" spans="1:28">
      <c r="C12" s="380" t="n"/>
    </row>
    <row customHeight="1" ht="18.75" r="13" s="386" spans="1:28">
      <c r="C13" s="380" t="n"/>
    </row>
    <row customHeight="1" ht="18.75" r="14" s="386" spans="1:28">
      <c r="C14" s="380" t="n"/>
    </row>
    <row customHeight="1" ht="18.75" r="15" s="386" spans="1:28">
      <c r="C15" s="380" t="n"/>
    </row>
    <row customHeight="1" ht="18.75" r="16" s="386" spans="1:28">
      <c r="C16" s="380" t="n"/>
    </row>
    <row customHeight="1" ht="18.75" r="17" s="386" spans="1:28">
      <c r="C17" s="380" t="n"/>
    </row>
    <row customHeight="1" ht="15.75" r="19" s="386" spans="1:28">
      <c r="C19" s="384" t="s">
        <v>353</v>
      </c>
    </row>
    <row r="20" spans="1:28">
      <c r="C20" t="s">
        <v>354</v>
      </c>
    </row>
    <row customHeight="1" ht="15.75" r="21" s="386" spans="1:28">
      <c r="C21" s="385" t="s">
        <v>355</v>
      </c>
    </row>
    <row customHeight="1" ht="15.75" r="22" s="386" spans="1:28">
      <c r="C22" s="385" t="s">
        <v>356</v>
      </c>
    </row>
    <row customHeight="1" ht="15.75" r="36" s="386" spans="1:28">
      <c r="C36" s="384" t="s">
        <v>357</v>
      </c>
    </row>
    <row r="37" spans="1:28">
      <c r="C37" t="s">
        <v>358</v>
      </c>
    </row>
    <row r="39" spans="1:28">
      <c r="C39" t="s">
        <v>359</v>
      </c>
    </row>
    <row customHeight="1" ht="18.75" r="40" s="386" spans="1:28">
      <c r="A40" s="380" t="n"/>
      <c r="C40" t="s">
        <v>360</v>
      </c>
    </row>
    <row r="41" spans="1:28">
      <c r="C41" t="s">
        <v>361</v>
      </c>
    </row>
    <row customHeight="1" ht="15.75" r="60" s="386" spans="1:28">
      <c r="C60" s="384" t="s">
        <v>362</v>
      </c>
    </row>
    <row r="61" spans="1:28">
      <c r="C61" s="387" t="s">
        <v>363</v>
      </c>
    </row>
    <row r="63" spans="1:28">
      <c r="C63" t="s">
        <v>364</v>
      </c>
    </row>
    <row r="64" spans="1:28">
      <c r="C64" t="s">
        <v>365</v>
      </c>
    </row>
    <row r="68" spans="1:28">
      <c r="C68" t="s">
        <v>366</v>
      </c>
    </row>
    <row r="70" spans="1:28">
      <c r="C70" t="s">
        <v>367</v>
      </c>
    </row>
    <row r="74" spans="1:28">
      <c r="C74" t="s">
        <v>368</v>
      </c>
    </row>
    <row r="76" spans="1:28">
      <c r="C76" t="s">
        <v>369</v>
      </c>
    </row>
  </sheetData>
  <mergeCells count="1">
    <mergeCell ref="C2:L2"/>
  </mergeCells>
  <pageMargins bottom="0.75" footer="0.511805555555555" header="0.511805555555555" left="0.7" right="0.7" top="0.75"/>
  <pageSetup copies="0" firstPageNumber="0" horizontalDpi="0" orientation="portrait" paperSize="0" scale="0" usePrinterDefaults="0" verticalDpi="0"/>
</worksheet>
</file>

<file path=xl/worksheets/sheet9.xml><?xml version="1.0" encoding="utf-8"?>
<worksheet xmlns="http://schemas.openxmlformats.org/spreadsheetml/2006/main">
  <sheetPr>
    <outlinePr summaryBelow="1" summaryRight="1"/>
    <pageSetUpPr/>
  </sheetPr>
  <dimension ref="A1:B12"/>
  <sheetViews>
    <sheetView workbookViewId="0" zoomScaleNormal="100">
      <selection activeCell="A26" sqref="A26"/>
    </sheetView>
  </sheetViews>
  <sheetFormatPr baseColWidth="10" defaultRowHeight="15"/>
  <cols>
    <col customWidth="1" max="1" min="1" style="386" width="26.5703125"/>
    <col customWidth="1" max="1025" min="2" style="386" width="8.5703125"/>
  </cols>
  <sheetData>
    <row r="1" spans="1:2">
      <c r="A1" s="364" t="s">
        <v>370</v>
      </c>
      <c r="B1" t="s">
        <v>371</v>
      </c>
    </row>
    <row r="2" spans="1:2">
      <c r="A2" s="364" t="s">
        <v>186</v>
      </c>
      <c r="B2" t="s">
        <v>372</v>
      </c>
    </row>
    <row r="3" spans="1:2">
      <c r="A3" s="364" t="s">
        <v>373</v>
      </c>
      <c r="B3" t="s">
        <v>374</v>
      </c>
    </row>
    <row r="4" spans="1:2">
      <c r="A4" s="364" t="n"/>
      <c r="B4" t="s">
        <v>375</v>
      </c>
    </row>
    <row r="5" spans="1:2">
      <c r="A5" s="364" t="s">
        <v>376</v>
      </c>
      <c r="B5" t="s">
        <v>377</v>
      </c>
    </row>
    <row r="6" spans="1:2">
      <c r="A6" s="364" t="s">
        <v>117</v>
      </c>
      <c r="B6" t="s">
        <v>378</v>
      </c>
    </row>
    <row r="7" spans="1:2">
      <c r="A7" s="364" t="n"/>
      <c r="B7" t="s">
        <v>379</v>
      </c>
    </row>
    <row r="8" spans="1:2">
      <c r="A8" s="364" t="s">
        <v>128</v>
      </c>
      <c r="B8" t="s">
        <v>380</v>
      </c>
    </row>
    <row r="9" spans="1:2">
      <c r="B9" s="299" t="s">
        <v>381</v>
      </c>
    </row>
    <row customHeight="1" ht="315" r="10" s="386" spans="1:2">
      <c r="A10" s="364" t="s">
        <v>144</v>
      </c>
      <c r="B10" s="388" t="s">
        <v>382</v>
      </c>
    </row>
    <row r="11" spans="1:2">
      <c r="A11" s="364" t="s">
        <v>383</v>
      </c>
      <c r="B11" t="s">
        <v>384</v>
      </c>
    </row>
    <row r="12" spans="1:2">
      <c r="A12" s="364" t="s">
        <v>385</v>
      </c>
      <c r="B12" t="s">
        <v>386</v>
      </c>
    </row>
  </sheetData>
  <pageMargins bottom="0.75" footer="0.511805555555555" header="0.511805555555555" left="0.7" right="0.7" top="0.75"/>
  <pageSetup copies="0" firstPageNumber="0" horizontalDpi="0" orientation="portrait" paperSize="0" scale="0" usePrinterDefaults="0" verticalDpi="0"/>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10</vt:i4>
      </vt:variant>
    </vt:vector>
  </ns0:HeadingPairs>
  <ns0:TitlesOfParts>
    <vt:vector xmlns:vt="http://schemas.openxmlformats.org/officeDocument/2006/docPropsVTypes" baseType="lpstr" size="10">
      <vt:lpstr>Introduction</vt:lpstr>
      <vt:lpstr>Deterministic LCCA</vt:lpstr>
      <vt:lpstr>User &amp; Social Cost Worksheet</vt:lpstr>
      <vt:lpstr>VOC worksheet</vt:lpstr>
      <vt:lpstr>Probabilistic LCCA</vt:lpstr>
      <vt:lpstr>Deterministic LCCA(hypo)</vt:lpstr>
      <vt:lpstr>Material Mix</vt:lpstr>
      <vt:lpstr>Deterioration</vt:lpstr>
      <vt:lpstr>Terminology</vt:lpstr>
      <vt:lpstr>Distribution</vt:lpstr>
    </vt:vector>
  </ns0:TitlesOfParts>
</ns0:Properties>
</file>

<file path=docProps/core.xml><?xml version="1.0" encoding="utf-8"?>
<cp:coreProperties xmlns:cp="http://schemas.openxmlformats.org/package/2006/metadata/core-properties">
  <dc:creator xmlns:dc="http://purl.org/dc/elements/1.1/">Jannie</dc:creator>
  <dc:title xmlns:dc="http://purl.org/dc/elements/1.1/"/>
  <dc:description xmlns:dc="http://purl.org/dc/elements/1.1/"/>
  <dc:subject xmlns:dc="http://purl.org/dc/elements/1.1/"/>
  <dc:identifier xmlns:dc="http://purl.org/dc/elements/1.1/"/>
  <dc:language xmlns:dc="http://purl.org/dc/elements/1.1/">en-US</dc:language>
  <dcterms:created xmlns:dcterms="http://purl.org/dc/terms/" xmlns:xsi="http://www.w3.org/2001/XMLSchema-instance" xsi:type="dcterms:W3CDTF">2015-12-04T19:21:17Z</dcterms:created>
  <dcterms:modified xmlns:dcterms="http://purl.org/dc/terms/" xmlns:xsi="http://www.w3.org/2001/XMLSchema-instance" xsi:type="dcterms:W3CDTF">2016-08-25T00:12:52Z</dcterms:modified>
  <cp:lastModifiedBy>Shaurya Agarwal</cp:lastModifiedBy>
  <cp:category/>
  <cp:contentStatus/>
  <cp:version/>
  <cp:revision>0</cp:revision>
  <cp:keywords/>
  <cp:lastPrinted>2016-05-23T15:00:43Z</cp:lastPrinted>
</cp:coreProperties>
</file>