
<file path=[Content_Types].xml><?xml version="1.0" encoding="utf-8"?>
<Types xmlns="http://schemas.openxmlformats.org/package/2006/content-types">
  <Default Extension="xml" ContentType="application/xml"/>
  <Default Extension="vml" ContentType="application/vnd.openxmlformats-officedocument.vmlDrawing"/>
  <Default Extension="gif" ContentType="image/gi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240" yWindow="0" windowWidth="25360" windowHeight="14020" tabRatio="500" firstSheet="1" activeTab="1"/>
  </bookViews>
  <sheets>
    <sheet name="Original Data RANKINGS" sheetId="1" r:id="rId1"/>
    <sheet name="Original Data ACCIDENTS" sheetId="2" r:id="rId2"/>
    <sheet name="Poisson Model minus severity 1" sheetId="11" r:id="rId3"/>
    <sheet name="Poisson Model w spike" sheetId="10" r:id="rId4"/>
    <sheet name="Poisson Model" sheetId="4" r:id="rId5"/>
    <sheet name="NBD with spike (not used) " sheetId="6" r:id="rId6"/>
    <sheet name="Original Data Accident Counts" sheetId="7" r:id="rId7"/>
    <sheet name="NBD Model later 33 year (no use" sheetId="14" r:id="rId8"/>
    <sheet name="M&amp;Z" sheetId="17" r:id="rId9"/>
    <sheet name="MoM" sheetId="16" r:id="rId10"/>
    <sheet name="NBD Model" sheetId="3" r:id="rId11"/>
    <sheet name="NBD Model 1st 33 year (not used" sheetId="13" r:id="rId12"/>
    <sheet name="NBD for Severity of Accident" sheetId="8" r:id="rId13"/>
    <sheet name="Power Plants by Country" sheetId="15" r:id="rId14"/>
  </sheets>
  <definedNames>
    <definedName name="solver_adj" localSheetId="8" hidden="1">'M&amp;Z'!$B$1:$B$2</definedName>
    <definedName name="solver_adj" localSheetId="9" hidden="1">MoM!$B$1:$B$2</definedName>
    <definedName name="solver_adj" localSheetId="12" hidden="1">'NBD for Severity of Accident'!$B$1:$B$2</definedName>
    <definedName name="solver_adj" localSheetId="10" hidden="1">'NBD Model'!$B$1:$B$2</definedName>
    <definedName name="solver_adj" localSheetId="11" hidden="1">'NBD Model 1st 33 year (not used'!$B$1:$B$2</definedName>
    <definedName name="solver_adj" localSheetId="7" hidden="1">'NBD Model later 33 year (no use'!$B$1:$B$2</definedName>
    <definedName name="solver_adj" localSheetId="5" hidden="1">'NBD with spike (not used) '!$B$1:$B$3</definedName>
    <definedName name="solver_adj" localSheetId="6" hidden="1">'Original Data Accident Counts'!$B$1:$B$2</definedName>
    <definedName name="solver_adj" localSheetId="4" hidden="1">'Poisson Model'!$B$1</definedName>
    <definedName name="solver_adj" localSheetId="2" hidden="1">'Poisson Model minus severity 1'!$B$1:$B$2</definedName>
    <definedName name="solver_adj" localSheetId="3" hidden="1">'Poisson Model w spike'!$B$1:$B$2</definedName>
    <definedName name="solver_adj" localSheetId="13" hidden="1">'Power Plants by Country'!$B$1:$B$2</definedName>
    <definedName name="solver_cvg" localSheetId="8" hidden="1">0.0001</definedName>
    <definedName name="solver_cvg" localSheetId="9" hidden="1">0.0001</definedName>
    <definedName name="solver_cvg" localSheetId="12" hidden="1">0.0001</definedName>
    <definedName name="solver_cvg" localSheetId="10" hidden="1">0.0001</definedName>
    <definedName name="solver_cvg" localSheetId="11" hidden="1">0.0001</definedName>
    <definedName name="solver_cvg" localSheetId="7" hidden="1">0.0001</definedName>
    <definedName name="solver_cvg" localSheetId="5" hidden="1">0.0001</definedName>
    <definedName name="solver_cvg" localSheetId="6" hidden="1">0.0001</definedName>
    <definedName name="solver_cvg" localSheetId="4" hidden="1">0.0001</definedName>
    <definedName name="solver_cvg" localSheetId="2" hidden="1">0.0001</definedName>
    <definedName name="solver_cvg" localSheetId="3" hidden="1">0.0001</definedName>
    <definedName name="solver_cvg" localSheetId="13" hidden="1">0.0001</definedName>
    <definedName name="solver_drv" localSheetId="8" hidden="1">1</definedName>
    <definedName name="solver_drv" localSheetId="9" hidden="1">1</definedName>
    <definedName name="solver_drv" localSheetId="12" hidden="1">1</definedName>
    <definedName name="solver_drv" localSheetId="10" hidden="1">1</definedName>
    <definedName name="solver_drv" localSheetId="11" hidden="1">1</definedName>
    <definedName name="solver_drv" localSheetId="7" hidden="1">1</definedName>
    <definedName name="solver_drv" localSheetId="5" hidden="1">1</definedName>
    <definedName name="solver_drv" localSheetId="6" hidden="1">1</definedName>
    <definedName name="solver_drv" localSheetId="4" hidden="1">1</definedName>
    <definedName name="solver_drv" localSheetId="2" hidden="1">1</definedName>
    <definedName name="solver_drv" localSheetId="3" hidden="1">1</definedName>
    <definedName name="solver_drv" localSheetId="13" hidden="1">1</definedName>
    <definedName name="solver_eng" localSheetId="8" hidden="1">1</definedName>
    <definedName name="solver_eng" localSheetId="9" hidden="1">1</definedName>
    <definedName name="solver_eng" localSheetId="12" hidden="1">1</definedName>
    <definedName name="solver_eng" localSheetId="10" hidden="1">1</definedName>
    <definedName name="solver_eng" localSheetId="11" hidden="1">1</definedName>
    <definedName name="solver_eng" localSheetId="7" hidden="1">1</definedName>
    <definedName name="solver_eng" localSheetId="5" hidden="1">1</definedName>
    <definedName name="solver_eng" localSheetId="6" hidden="1">1</definedName>
    <definedName name="solver_eng" localSheetId="4" hidden="1">1</definedName>
    <definedName name="solver_eng" localSheetId="2" hidden="1">1</definedName>
    <definedName name="solver_eng" localSheetId="3" hidden="1">1</definedName>
    <definedName name="solver_eng" localSheetId="13" hidden="1">1</definedName>
    <definedName name="solver_itr" localSheetId="8" hidden="1">2147483647</definedName>
    <definedName name="solver_itr" localSheetId="9" hidden="1">2147483647</definedName>
    <definedName name="solver_itr" localSheetId="12" hidden="1">2147483647</definedName>
    <definedName name="solver_itr" localSheetId="10" hidden="1">2147483647</definedName>
    <definedName name="solver_itr" localSheetId="11" hidden="1">2147483647</definedName>
    <definedName name="solver_itr" localSheetId="7" hidden="1">2147483647</definedName>
    <definedName name="solver_itr" localSheetId="5" hidden="1">2147483647</definedName>
    <definedName name="solver_itr" localSheetId="6" hidden="1">2147483647</definedName>
    <definedName name="solver_itr" localSheetId="4" hidden="1">2147483647</definedName>
    <definedName name="solver_itr" localSheetId="2" hidden="1">2147483647</definedName>
    <definedName name="solver_itr" localSheetId="3" hidden="1">2147483647</definedName>
    <definedName name="solver_itr" localSheetId="13" hidden="1">2147483647</definedName>
    <definedName name="solver_lhs1" localSheetId="8" hidden="1">'M&amp;Z'!$B$1:$B$2</definedName>
    <definedName name="solver_lhs1" localSheetId="9" hidden="1">MoM!$B$1:$B$2</definedName>
    <definedName name="solver_lhs1" localSheetId="12" hidden="1">'NBD for Severity of Accident'!$B$1:$B$2</definedName>
    <definedName name="solver_lhs1" localSheetId="10" hidden="1">'NBD Model'!$B$1:$B$2</definedName>
    <definedName name="solver_lhs1" localSheetId="11" hidden="1">'NBD Model 1st 33 year (not used'!$B$1:$B$2</definedName>
    <definedName name="solver_lhs1" localSheetId="7" hidden="1">'NBD Model later 33 year (no use'!$B$1:$B$2</definedName>
    <definedName name="solver_lhs1" localSheetId="5" hidden="1">'NBD with spike (not used) '!$B$1:$B$3</definedName>
    <definedName name="solver_lhs1" localSheetId="6" hidden="1">'Original Data Accident Counts'!$B$1:$B$2</definedName>
    <definedName name="solver_lhs1" localSheetId="4" hidden="1">'Poisson Model'!$B$1</definedName>
    <definedName name="solver_lhs1" localSheetId="2" hidden="1">'Poisson Model minus severity 1'!$B$1</definedName>
    <definedName name="solver_lhs1" localSheetId="3" hidden="1">'Poisson Model w spike'!$B$1:$B$2</definedName>
    <definedName name="solver_lhs1" localSheetId="13" hidden="1">'Power Plants by Country'!$B$1:$B$2</definedName>
    <definedName name="solver_lhs2" localSheetId="5" hidden="1">'NBD with spike (not used) '!$B$3</definedName>
    <definedName name="solver_lhs2" localSheetId="3" hidden="1">'Poisson Model w spike'!$B$2</definedName>
    <definedName name="solver_lin" localSheetId="8" hidden="1">2</definedName>
    <definedName name="solver_lin" localSheetId="9" hidden="1">2</definedName>
    <definedName name="solver_lin" localSheetId="12" hidden="1">2</definedName>
    <definedName name="solver_lin" localSheetId="10" hidden="1">2</definedName>
    <definedName name="solver_lin" localSheetId="11" hidden="1">2</definedName>
    <definedName name="solver_lin" localSheetId="7" hidden="1">2</definedName>
    <definedName name="solver_lin" localSheetId="5" hidden="1">2</definedName>
    <definedName name="solver_lin" localSheetId="6" hidden="1">2</definedName>
    <definedName name="solver_lin" localSheetId="4" hidden="1">2</definedName>
    <definedName name="solver_lin" localSheetId="2" hidden="1">2</definedName>
    <definedName name="solver_lin" localSheetId="3" hidden="1">2</definedName>
    <definedName name="solver_lin" localSheetId="13" hidden="1">2</definedName>
    <definedName name="solver_mip" localSheetId="8" hidden="1">2147483647</definedName>
    <definedName name="solver_mip" localSheetId="9" hidden="1">2147483647</definedName>
    <definedName name="solver_mip" localSheetId="12" hidden="1">2147483647</definedName>
    <definedName name="solver_mip" localSheetId="10" hidden="1">2147483647</definedName>
    <definedName name="solver_mip" localSheetId="11" hidden="1">2147483647</definedName>
    <definedName name="solver_mip" localSheetId="7" hidden="1">2147483647</definedName>
    <definedName name="solver_mip" localSheetId="5" hidden="1">2147483647</definedName>
    <definedName name="solver_mip" localSheetId="6" hidden="1">2147483647</definedName>
    <definedName name="solver_mip" localSheetId="4" hidden="1">2147483647</definedName>
    <definedName name="solver_mip" localSheetId="2" hidden="1">2147483647</definedName>
    <definedName name="solver_mip" localSheetId="3" hidden="1">2147483647</definedName>
    <definedName name="solver_mip" localSheetId="13" hidden="1">2147483647</definedName>
    <definedName name="solver_mni" localSheetId="8" hidden="1">30</definedName>
    <definedName name="solver_mni" localSheetId="9" hidden="1">30</definedName>
    <definedName name="solver_mni" localSheetId="12" hidden="1">30</definedName>
    <definedName name="solver_mni" localSheetId="10" hidden="1">30</definedName>
    <definedName name="solver_mni" localSheetId="11" hidden="1">30</definedName>
    <definedName name="solver_mni" localSheetId="7" hidden="1">30</definedName>
    <definedName name="solver_mni" localSheetId="5" hidden="1">30</definedName>
    <definedName name="solver_mni" localSheetId="6" hidden="1">30</definedName>
    <definedName name="solver_mni" localSheetId="4" hidden="1">30</definedName>
    <definedName name="solver_mni" localSheetId="2" hidden="1">30</definedName>
    <definedName name="solver_mni" localSheetId="3" hidden="1">30</definedName>
    <definedName name="solver_mni" localSheetId="13" hidden="1">30</definedName>
    <definedName name="solver_mrt" localSheetId="8" hidden="1">0.075</definedName>
    <definedName name="solver_mrt" localSheetId="9" hidden="1">0.075</definedName>
    <definedName name="solver_mrt" localSheetId="12" hidden="1">0.075</definedName>
    <definedName name="solver_mrt" localSheetId="10" hidden="1">0.075</definedName>
    <definedName name="solver_mrt" localSheetId="11" hidden="1">0.075</definedName>
    <definedName name="solver_mrt" localSheetId="7" hidden="1">0.075</definedName>
    <definedName name="solver_mrt" localSheetId="5" hidden="1">0.075</definedName>
    <definedName name="solver_mrt" localSheetId="6" hidden="1">0.075</definedName>
    <definedName name="solver_mrt" localSheetId="4" hidden="1">0.075</definedName>
    <definedName name="solver_mrt" localSheetId="2" hidden="1">0.075</definedName>
    <definedName name="solver_mrt" localSheetId="3" hidden="1">0.075</definedName>
    <definedName name="solver_mrt" localSheetId="13" hidden="1">0.075</definedName>
    <definedName name="solver_msl" localSheetId="8" hidden="1">2</definedName>
    <definedName name="solver_msl" localSheetId="9" hidden="1">2</definedName>
    <definedName name="solver_msl" localSheetId="12" hidden="1">2</definedName>
    <definedName name="solver_msl" localSheetId="10" hidden="1">2</definedName>
    <definedName name="solver_msl" localSheetId="11" hidden="1">2</definedName>
    <definedName name="solver_msl" localSheetId="7" hidden="1">2</definedName>
    <definedName name="solver_msl" localSheetId="5" hidden="1">2</definedName>
    <definedName name="solver_msl" localSheetId="6" hidden="1">2</definedName>
    <definedName name="solver_msl" localSheetId="4" hidden="1">2</definedName>
    <definedName name="solver_msl" localSheetId="2" hidden="1">2</definedName>
    <definedName name="solver_msl" localSheetId="3" hidden="1">2</definedName>
    <definedName name="solver_msl" localSheetId="13" hidden="1">2</definedName>
    <definedName name="solver_neg" localSheetId="8" hidden="1">1</definedName>
    <definedName name="solver_neg" localSheetId="9" hidden="1">1</definedName>
    <definedName name="solver_neg" localSheetId="12" hidden="1">1</definedName>
    <definedName name="solver_neg" localSheetId="10" hidden="1">1</definedName>
    <definedName name="solver_neg" localSheetId="11" hidden="1">1</definedName>
    <definedName name="solver_neg" localSheetId="7" hidden="1">1</definedName>
    <definedName name="solver_neg" localSheetId="5" hidden="1">1</definedName>
    <definedName name="solver_neg" localSheetId="6" hidden="1">1</definedName>
    <definedName name="solver_neg" localSheetId="4" hidden="1">1</definedName>
    <definedName name="solver_neg" localSheetId="2" hidden="1">1</definedName>
    <definedName name="solver_neg" localSheetId="3" hidden="1">1</definedName>
    <definedName name="solver_neg" localSheetId="13" hidden="1">1</definedName>
    <definedName name="solver_nod" localSheetId="8" hidden="1">2147483647</definedName>
    <definedName name="solver_nod" localSheetId="9" hidden="1">2147483647</definedName>
    <definedName name="solver_nod" localSheetId="12" hidden="1">2147483647</definedName>
    <definedName name="solver_nod" localSheetId="10" hidden="1">2147483647</definedName>
    <definedName name="solver_nod" localSheetId="11" hidden="1">2147483647</definedName>
    <definedName name="solver_nod" localSheetId="7" hidden="1">2147483647</definedName>
    <definedName name="solver_nod" localSheetId="5" hidden="1">2147483647</definedName>
    <definedName name="solver_nod" localSheetId="6" hidden="1">2147483647</definedName>
    <definedName name="solver_nod" localSheetId="4" hidden="1">2147483647</definedName>
    <definedName name="solver_nod" localSheetId="2" hidden="1">2147483647</definedName>
    <definedName name="solver_nod" localSheetId="3" hidden="1">2147483647</definedName>
    <definedName name="solver_nod" localSheetId="13" hidden="1">2147483647</definedName>
    <definedName name="solver_num" localSheetId="8" hidden="1">1</definedName>
    <definedName name="solver_num" localSheetId="9" hidden="1">1</definedName>
    <definedName name="solver_num" localSheetId="12" hidden="1">1</definedName>
    <definedName name="solver_num" localSheetId="10" hidden="1">1</definedName>
    <definedName name="solver_num" localSheetId="11" hidden="1">1</definedName>
    <definedName name="solver_num" localSheetId="7" hidden="1">1</definedName>
    <definedName name="solver_num" localSheetId="5" hidden="1">2</definedName>
    <definedName name="solver_num" localSheetId="6" hidden="1">1</definedName>
    <definedName name="solver_num" localSheetId="4" hidden="1">1</definedName>
    <definedName name="solver_num" localSheetId="2" hidden="1">1</definedName>
    <definedName name="solver_num" localSheetId="3" hidden="1">2</definedName>
    <definedName name="solver_num" localSheetId="13" hidden="1">1</definedName>
    <definedName name="solver_opt" localSheetId="8" hidden="1">'M&amp;Z'!$L$17</definedName>
    <definedName name="solver_opt" localSheetId="9" hidden="1">MoM!$E$3</definedName>
    <definedName name="solver_opt" localSheetId="12" hidden="1">'NBD for Severity of Accident'!$F$3</definedName>
    <definedName name="solver_opt" localSheetId="10" hidden="1">'NBD Model'!$E$3</definedName>
    <definedName name="solver_opt" localSheetId="11" hidden="1">'NBD Model 1st 33 year (not used'!$E$3</definedName>
    <definedName name="solver_opt" localSheetId="7" hidden="1">'NBD Model later 33 year (no use'!$E$3</definedName>
    <definedName name="solver_opt" localSheetId="5" hidden="1">'NBD with spike (not used) '!$F$3</definedName>
    <definedName name="solver_opt" localSheetId="6" hidden="1">'Original Data Accident Counts'!$E$3</definedName>
    <definedName name="solver_opt" localSheetId="4" hidden="1">'Poisson Model'!$E$3</definedName>
    <definedName name="solver_opt" localSheetId="2" hidden="1">'Poisson Model minus severity 1'!$E$3</definedName>
    <definedName name="solver_opt" localSheetId="3" hidden="1">'Poisson Model w spike'!$F$3</definedName>
    <definedName name="solver_opt" localSheetId="13" hidden="1">'Power Plants by Country'!$D$3</definedName>
    <definedName name="solver_pre" localSheetId="8" hidden="1">0.000001</definedName>
    <definedName name="solver_pre" localSheetId="9" hidden="1">0.000001</definedName>
    <definedName name="solver_pre" localSheetId="12" hidden="1">0.000001</definedName>
    <definedName name="solver_pre" localSheetId="10" hidden="1">0.000001</definedName>
    <definedName name="solver_pre" localSheetId="11" hidden="1">0.000001</definedName>
    <definedName name="solver_pre" localSheetId="7" hidden="1">0.000001</definedName>
    <definedName name="solver_pre" localSheetId="5" hidden="1">0.000001</definedName>
    <definedName name="solver_pre" localSheetId="6" hidden="1">0.000001</definedName>
    <definedName name="solver_pre" localSheetId="4" hidden="1">0.000001</definedName>
    <definedName name="solver_pre" localSheetId="2" hidden="1">0.000001</definedName>
    <definedName name="solver_pre" localSheetId="3" hidden="1">0.000001</definedName>
    <definedName name="solver_pre" localSheetId="13" hidden="1">0.000001</definedName>
    <definedName name="solver_rbv" localSheetId="8" hidden="1">1</definedName>
    <definedName name="solver_rbv" localSheetId="9" hidden="1">1</definedName>
    <definedName name="solver_rbv" localSheetId="12" hidden="1">1</definedName>
    <definedName name="solver_rbv" localSheetId="10" hidden="1">1</definedName>
    <definedName name="solver_rbv" localSheetId="11" hidden="1">1</definedName>
    <definedName name="solver_rbv" localSheetId="7" hidden="1">1</definedName>
    <definedName name="solver_rbv" localSheetId="5" hidden="1">1</definedName>
    <definedName name="solver_rbv" localSheetId="6" hidden="1">1</definedName>
    <definedName name="solver_rbv" localSheetId="4" hidden="1">1</definedName>
    <definedName name="solver_rbv" localSheetId="2" hidden="1">1</definedName>
    <definedName name="solver_rbv" localSheetId="3" hidden="1">1</definedName>
    <definedName name="solver_rbv" localSheetId="13" hidden="1">1</definedName>
    <definedName name="solver_rel1" localSheetId="8" hidden="1">3</definedName>
    <definedName name="solver_rel1" localSheetId="9" hidden="1">3</definedName>
    <definedName name="solver_rel1" localSheetId="12" hidden="1">3</definedName>
    <definedName name="solver_rel1" localSheetId="10" hidden="1">3</definedName>
    <definedName name="solver_rel1" localSheetId="11" hidden="1">3</definedName>
    <definedName name="solver_rel1" localSheetId="7" hidden="1">3</definedName>
    <definedName name="solver_rel1" localSheetId="5" hidden="1">3</definedName>
    <definedName name="solver_rel1" localSheetId="6" hidden="1">3</definedName>
    <definedName name="solver_rel1" localSheetId="4" hidden="1">3</definedName>
    <definedName name="solver_rel1" localSheetId="2" hidden="1">3</definedName>
    <definedName name="solver_rel1" localSheetId="3" hidden="1">3</definedName>
    <definedName name="solver_rel1" localSheetId="13" hidden="1">3</definedName>
    <definedName name="solver_rel2" localSheetId="5" hidden="1">1</definedName>
    <definedName name="solver_rel2" localSheetId="3" hidden="1">1</definedName>
    <definedName name="solver_rhs1" localSheetId="8" hidden="1">0.00000000001</definedName>
    <definedName name="solver_rhs1" localSheetId="9" hidden="1">0.00000000001</definedName>
    <definedName name="solver_rhs1" localSheetId="12" hidden="1">0.000000001</definedName>
    <definedName name="solver_rhs1" localSheetId="10" hidden="1">0.00000000001</definedName>
    <definedName name="solver_rhs1" localSheetId="11" hidden="1">0.00000000001</definedName>
    <definedName name="solver_rhs1" localSheetId="7" hidden="1">0.00000000001</definedName>
    <definedName name="solver_rhs1" localSheetId="5" hidden="1">0.00000000001</definedName>
    <definedName name="solver_rhs1" localSheetId="6" hidden="1">0.00000000001</definedName>
    <definedName name="solver_rhs1" localSheetId="4" hidden="1">0.00000000001</definedName>
    <definedName name="solver_rhs1" localSheetId="2" hidden="1">0.00000000001</definedName>
    <definedName name="solver_rhs1" localSheetId="3" hidden="1">0.00000000001</definedName>
    <definedName name="solver_rhs1" localSheetId="13" hidden="1">0.0000000001</definedName>
    <definedName name="solver_rhs2" localSheetId="5" hidden="1">0.9999999999</definedName>
    <definedName name="solver_rhs2" localSheetId="3" hidden="1">0.999999999</definedName>
    <definedName name="solver_rlx" localSheetId="8" hidden="1">2</definedName>
    <definedName name="solver_rlx" localSheetId="9" hidden="1">2</definedName>
    <definedName name="solver_rlx" localSheetId="12" hidden="1">2</definedName>
    <definedName name="solver_rlx" localSheetId="10" hidden="1">2</definedName>
    <definedName name="solver_rlx" localSheetId="11" hidden="1">2</definedName>
    <definedName name="solver_rlx" localSheetId="7" hidden="1">2</definedName>
    <definedName name="solver_rlx" localSheetId="5" hidden="1">2</definedName>
    <definedName name="solver_rlx" localSheetId="6" hidden="1">2</definedName>
    <definedName name="solver_rlx" localSheetId="4" hidden="1">2</definedName>
    <definedName name="solver_rlx" localSheetId="2" hidden="1">2</definedName>
    <definedName name="solver_rlx" localSheetId="3" hidden="1">2</definedName>
    <definedName name="solver_rlx" localSheetId="13" hidden="1">2</definedName>
    <definedName name="solver_rsd" localSheetId="8" hidden="1">0</definedName>
    <definedName name="solver_rsd" localSheetId="9" hidden="1">0</definedName>
    <definedName name="solver_rsd" localSheetId="12" hidden="1">0</definedName>
    <definedName name="solver_rsd" localSheetId="10" hidden="1">0</definedName>
    <definedName name="solver_rsd" localSheetId="11" hidden="1">0</definedName>
    <definedName name="solver_rsd" localSheetId="7" hidden="1">0</definedName>
    <definedName name="solver_rsd" localSheetId="5" hidden="1">0</definedName>
    <definedName name="solver_rsd" localSheetId="6" hidden="1">0</definedName>
    <definedName name="solver_rsd" localSheetId="4" hidden="1">0</definedName>
    <definedName name="solver_rsd" localSheetId="2" hidden="1">0</definedName>
    <definedName name="solver_rsd" localSheetId="3" hidden="1">0</definedName>
    <definedName name="solver_rsd" localSheetId="13" hidden="1">0</definedName>
    <definedName name="solver_scl" localSheetId="8" hidden="1">1</definedName>
    <definedName name="solver_scl" localSheetId="9" hidden="1">1</definedName>
    <definedName name="solver_scl" localSheetId="12" hidden="1">1</definedName>
    <definedName name="solver_scl" localSheetId="10" hidden="1">1</definedName>
    <definedName name="solver_scl" localSheetId="11" hidden="1">1</definedName>
    <definedName name="solver_scl" localSheetId="7" hidden="1">1</definedName>
    <definedName name="solver_scl" localSheetId="5" hidden="1">1</definedName>
    <definedName name="solver_scl" localSheetId="6" hidden="1">1</definedName>
    <definedName name="solver_scl" localSheetId="4" hidden="1">1</definedName>
    <definedName name="solver_scl" localSheetId="2" hidden="1">1</definedName>
    <definedName name="solver_scl" localSheetId="3" hidden="1">1</definedName>
    <definedName name="solver_scl" localSheetId="13" hidden="1">1</definedName>
    <definedName name="solver_sho" localSheetId="8" hidden="1">2</definedName>
    <definedName name="solver_sho" localSheetId="9" hidden="1">2</definedName>
    <definedName name="solver_sho" localSheetId="12" hidden="1">2</definedName>
    <definedName name="solver_sho" localSheetId="10" hidden="1">2</definedName>
    <definedName name="solver_sho" localSheetId="11" hidden="1">2</definedName>
    <definedName name="solver_sho" localSheetId="7" hidden="1">2</definedName>
    <definedName name="solver_sho" localSheetId="5" hidden="1">2</definedName>
    <definedName name="solver_sho" localSheetId="6" hidden="1">2</definedName>
    <definedName name="solver_sho" localSheetId="4" hidden="1">2</definedName>
    <definedName name="solver_sho" localSheetId="2" hidden="1">2</definedName>
    <definedName name="solver_sho" localSheetId="3" hidden="1">2</definedName>
    <definedName name="solver_sho" localSheetId="13" hidden="1">2</definedName>
    <definedName name="solver_ssz" localSheetId="8" hidden="1">100</definedName>
    <definedName name="solver_ssz" localSheetId="9" hidden="1">100</definedName>
    <definedName name="solver_ssz" localSheetId="12" hidden="1">100</definedName>
    <definedName name="solver_ssz" localSheetId="10" hidden="1">100</definedName>
    <definedName name="solver_ssz" localSheetId="11" hidden="1">100</definedName>
    <definedName name="solver_ssz" localSheetId="7" hidden="1">100</definedName>
    <definedName name="solver_ssz" localSheetId="5" hidden="1">100</definedName>
    <definedName name="solver_ssz" localSheetId="6" hidden="1">100</definedName>
    <definedName name="solver_ssz" localSheetId="4" hidden="1">100</definedName>
    <definedName name="solver_ssz" localSheetId="2" hidden="1">100</definedName>
    <definedName name="solver_ssz" localSheetId="3" hidden="1">100</definedName>
    <definedName name="solver_ssz" localSheetId="13" hidden="1">100</definedName>
    <definedName name="solver_tim" localSheetId="8" hidden="1">2147483647</definedName>
    <definedName name="solver_tim" localSheetId="9" hidden="1">2147483647</definedName>
    <definedName name="solver_tim" localSheetId="12" hidden="1">2147483647</definedName>
    <definedName name="solver_tim" localSheetId="10" hidden="1">2147483647</definedName>
    <definedName name="solver_tim" localSheetId="11" hidden="1">2147483647</definedName>
    <definedName name="solver_tim" localSheetId="7" hidden="1">2147483647</definedName>
    <definedName name="solver_tim" localSheetId="5" hidden="1">2147483647</definedName>
    <definedName name="solver_tim" localSheetId="6" hidden="1">2147483647</definedName>
    <definedName name="solver_tim" localSheetId="4" hidden="1">2147483647</definedName>
    <definedName name="solver_tim" localSheetId="2" hidden="1">2147483647</definedName>
    <definedName name="solver_tim" localSheetId="3" hidden="1">2147483647</definedName>
    <definedName name="solver_tim" localSheetId="13" hidden="1">2147483647</definedName>
    <definedName name="solver_tol" localSheetId="8" hidden="1">0.01</definedName>
    <definedName name="solver_tol" localSheetId="9" hidden="1">0.01</definedName>
    <definedName name="solver_tol" localSheetId="12" hidden="1">0.01</definedName>
    <definedName name="solver_tol" localSheetId="10" hidden="1">0.01</definedName>
    <definedName name="solver_tol" localSheetId="11" hidden="1">0.01</definedName>
    <definedName name="solver_tol" localSheetId="7" hidden="1">0.01</definedName>
    <definedName name="solver_tol" localSheetId="5" hidden="1">0.01</definedName>
    <definedName name="solver_tol" localSheetId="6" hidden="1">0.01</definedName>
    <definedName name="solver_tol" localSheetId="4" hidden="1">0.01</definedName>
    <definedName name="solver_tol" localSheetId="2" hidden="1">0.01</definedName>
    <definedName name="solver_tol" localSheetId="3" hidden="1">0.01</definedName>
    <definedName name="solver_tol" localSheetId="13" hidden="1">0.01</definedName>
    <definedName name="solver_typ" localSheetId="8" hidden="1">3</definedName>
    <definedName name="solver_typ" localSheetId="9" hidden="1">1</definedName>
    <definedName name="solver_typ" localSheetId="12" hidden="1">1</definedName>
    <definedName name="solver_typ" localSheetId="10" hidden="1">1</definedName>
    <definedName name="solver_typ" localSheetId="11" hidden="1">1</definedName>
    <definedName name="solver_typ" localSheetId="7" hidden="1">1</definedName>
    <definedName name="solver_typ" localSheetId="5" hidden="1">1</definedName>
    <definedName name="solver_typ" localSheetId="6" hidden="1">1</definedName>
    <definedName name="solver_typ" localSheetId="4" hidden="1">1</definedName>
    <definedName name="solver_typ" localSheetId="2" hidden="1">1</definedName>
    <definedName name="solver_typ" localSheetId="3" hidden="1">1</definedName>
    <definedName name="solver_typ" localSheetId="13" hidden="1">1</definedName>
    <definedName name="solver_val" localSheetId="8" hidden="1">0</definedName>
    <definedName name="solver_val" localSheetId="9" hidden="1">0</definedName>
    <definedName name="solver_val" localSheetId="12" hidden="1">0</definedName>
    <definedName name="solver_val" localSheetId="10" hidden="1">0</definedName>
    <definedName name="solver_val" localSheetId="11" hidden="1">0</definedName>
    <definedName name="solver_val" localSheetId="7" hidden="1">0</definedName>
    <definedName name="solver_val" localSheetId="5" hidden="1">0</definedName>
    <definedName name="solver_val" localSheetId="6" hidden="1">0</definedName>
    <definedName name="solver_val" localSheetId="4" hidden="1">0</definedName>
    <definedName name="solver_val" localSheetId="2" hidden="1">0</definedName>
    <definedName name="solver_val" localSheetId="3" hidden="1">0</definedName>
    <definedName name="solver_val" localSheetId="13" hidden="1">0</definedName>
    <definedName name="solver_ver" localSheetId="8" hidden="1">2</definedName>
    <definedName name="solver_ver" localSheetId="9" hidden="1">2</definedName>
    <definedName name="solver_ver" localSheetId="12" hidden="1">2</definedName>
    <definedName name="solver_ver" localSheetId="10" hidden="1">2</definedName>
    <definedName name="solver_ver" localSheetId="11" hidden="1">2</definedName>
    <definedName name="solver_ver" localSheetId="7" hidden="1">2</definedName>
    <definedName name="solver_ver" localSheetId="5" hidden="1">2</definedName>
    <definedName name="solver_ver" localSheetId="6" hidden="1">2</definedName>
    <definedName name="solver_ver" localSheetId="4" hidden="1">2</definedName>
    <definedName name="solver_ver" localSheetId="2" hidden="1">2</definedName>
    <definedName name="solver_ver" localSheetId="3" hidden="1">2</definedName>
    <definedName name="solver_ver" localSheetId="13" hidden="1">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12" i="3" l="1"/>
  <c r="K8" i="3"/>
  <c r="K9" i="3"/>
  <c r="K7" i="3"/>
  <c r="K6" i="3"/>
  <c r="K5" i="3"/>
  <c r="J9" i="3"/>
  <c r="J8" i="3"/>
  <c r="J7" i="3"/>
  <c r="J6" i="3"/>
  <c r="J5" i="3"/>
  <c r="L3" i="3"/>
  <c r="L2" i="3"/>
  <c r="L1" i="3"/>
  <c r="H2" i="3"/>
  <c r="H1" i="3"/>
  <c r="H3" i="4"/>
  <c r="H2" i="4"/>
  <c r="L12" i="4"/>
  <c r="L8" i="4"/>
  <c r="L6" i="4"/>
  <c r="L5" i="4"/>
  <c r="K9" i="4"/>
  <c r="K8" i="4"/>
  <c r="K7" i="4"/>
  <c r="K6" i="4"/>
  <c r="K5" i="4"/>
  <c r="L1" i="16"/>
  <c r="L2" i="17"/>
  <c r="L1" i="17"/>
  <c r="R13" i="17"/>
  <c r="R11" i="17"/>
  <c r="R6" i="17"/>
  <c r="R7" i="17"/>
  <c r="R8" i="17"/>
  <c r="R9" i="17"/>
  <c r="R5" i="17"/>
  <c r="L16" i="17"/>
  <c r="L17" i="17"/>
  <c r="N6" i="17"/>
  <c r="P6" i="17"/>
  <c r="N7" i="17"/>
  <c r="P7" i="17"/>
  <c r="N8" i="17"/>
  <c r="P8" i="17"/>
  <c r="N9" i="17"/>
  <c r="P9" i="17"/>
  <c r="N5" i="17"/>
  <c r="P5" i="17"/>
  <c r="O6" i="17"/>
  <c r="O7" i="17"/>
  <c r="O8" i="17"/>
  <c r="O9" i="17"/>
  <c r="O5" i="17"/>
  <c r="C6" i="17"/>
  <c r="M13" i="17"/>
  <c r="M5" i="17"/>
  <c r="M6" i="17"/>
  <c r="M7" i="17"/>
  <c r="M8" i="17"/>
  <c r="M9" i="17"/>
  <c r="M11" i="17"/>
  <c r="M12" i="17"/>
  <c r="C71" i="17"/>
  <c r="E71" i="17"/>
  <c r="D71" i="17"/>
  <c r="C70" i="17"/>
  <c r="E70" i="17"/>
  <c r="D70" i="17"/>
  <c r="C69" i="17"/>
  <c r="E69" i="17"/>
  <c r="D69" i="17"/>
  <c r="C68" i="17"/>
  <c r="E68" i="17"/>
  <c r="D68" i="17"/>
  <c r="C67" i="17"/>
  <c r="E67" i="17"/>
  <c r="D67" i="17"/>
  <c r="C66" i="17"/>
  <c r="E66" i="17"/>
  <c r="D66" i="17"/>
  <c r="C65" i="17"/>
  <c r="E65" i="17"/>
  <c r="D65" i="17"/>
  <c r="C64" i="17"/>
  <c r="E64" i="17"/>
  <c r="D64" i="17"/>
  <c r="C63" i="17"/>
  <c r="E63" i="17"/>
  <c r="D63" i="17"/>
  <c r="C62" i="17"/>
  <c r="E62" i="17"/>
  <c r="D62" i="17"/>
  <c r="C61" i="17"/>
  <c r="E61" i="17"/>
  <c r="D61" i="17"/>
  <c r="C60" i="17"/>
  <c r="E60" i="17"/>
  <c r="D60" i="17"/>
  <c r="C59" i="17"/>
  <c r="E59" i="17"/>
  <c r="D59" i="17"/>
  <c r="C58" i="17"/>
  <c r="E58" i="17"/>
  <c r="D58" i="17"/>
  <c r="C57" i="17"/>
  <c r="E57" i="17"/>
  <c r="D57" i="17"/>
  <c r="C56" i="17"/>
  <c r="E56" i="17"/>
  <c r="D56" i="17"/>
  <c r="C55" i="17"/>
  <c r="E55" i="17"/>
  <c r="D55" i="17"/>
  <c r="C54" i="17"/>
  <c r="E54" i="17"/>
  <c r="D54" i="17"/>
  <c r="C53" i="17"/>
  <c r="E53" i="17"/>
  <c r="D53" i="17"/>
  <c r="C52" i="17"/>
  <c r="E52" i="17"/>
  <c r="D52" i="17"/>
  <c r="C51" i="17"/>
  <c r="E51" i="17"/>
  <c r="D51" i="17"/>
  <c r="C50" i="17"/>
  <c r="E50" i="17"/>
  <c r="D50" i="17"/>
  <c r="C49" i="17"/>
  <c r="E49" i="17"/>
  <c r="D49" i="17"/>
  <c r="C48" i="17"/>
  <c r="E48" i="17"/>
  <c r="D48" i="17"/>
  <c r="C47" i="17"/>
  <c r="E47" i="17"/>
  <c r="D47" i="17"/>
  <c r="C46" i="17"/>
  <c r="E46" i="17"/>
  <c r="D46" i="17"/>
  <c r="C45" i="17"/>
  <c r="E45" i="17"/>
  <c r="D45" i="17"/>
  <c r="C44" i="17"/>
  <c r="E44" i="17"/>
  <c r="D44" i="17"/>
  <c r="C43" i="17"/>
  <c r="E43" i="17"/>
  <c r="D43" i="17"/>
  <c r="C42" i="17"/>
  <c r="E42" i="17"/>
  <c r="D42" i="17"/>
  <c r="C41" i="17"/>
  <c r="E41" i="17"/>
  <c r="D41" i="17"/>
  <c r="C40" i="17"/>
  <c r="E40" i="17"/>
  <c r="D40" i="17"/>
  <c r="C39" i="17"/>
  <c r="E39" i="17"/>
  <c r="D39" i="17"/>
  <c r="C38" i="17"/>
  <c r="E38" i="17"/>
  <c r="D38" i="17"/>
  <c r="C37" i="17"/>
  <c r="E37" i="17"/>
  <c r="D37" i="17"/>
  <c r="C36" i="17"/>
  <c r="E36" i="17"/>
  <c r="D36" i="17"/>
  <c r="C35" i="17"/>
  <c r="E35" i="17"/>
  <c r="D35" i="17"/>
  <c r="C34" i="17"/>
  <c r="E34" i="17"/>
  <c r="D34" i="17"/>
  <c r="C33" i="17"/>
  <c r="E33" i="17"/>
  <c r="D33" i="17"/>
  <c r="C32" i="17"/>
  <c r="E32" i="17"/>
  <c r="D32" i="17"/>
  <c r="C31" i="17"/>
  <c r="E31" i="17"/>
  <c r="D31" i="17"/>
  <c r="C30" i="17"/>
  <c r="E30" i="17"/>
  <c r="D30" i="17"/>
  <c r="C29" i="17"/>
  <c r="E29" i="17"/>
  <c r="D29" i="17"/>
  <c r="C28" i="17"/>
  <c r="E28" i="17"/>
  <c r="D28" i="17"/>
  <c r="C27" i="17"/>
  <c r="E27" i="17"/>
  <c r="D27" i="17"/>
  <c r="C26" i="17"/>
  <c r="E26" i="17"/>
  <c r="D26" i="17"/>
  <c r="C25" i="17"/>
  <c r="E25" i="17"/>
  <c r="D25" i="17"/>
  <c r="C24" i="17"/>
  <c r="E24" i="17"/>
  <c r="D24" i="17"/>
  <c r="C23" i="17"/>
  <c r="E23" i="17"/>
  <c r="D23" i="17"/>
  <c r="C22" i="17"/>
  <c r="E22" i="17"/>
  <c r="D22" i="17"/>
  <c r="C21" i="17"/>
  <c r="E21" i="17"/>
  <c r="D21" i="17"/>
  <c r="C20" i="17"/>
  <c r="E20" i="17"/>
  <c r="D20" i="17"/>
  <c r="C19" i="17"/>
  <c r="E19" i="17"/>
  <c r="D19" i="17"/>
  <c r="C18" i="17"/>
  <c r="E18" i="17"/>
  <c r="D18" i="17"/>
  <c r="C17" i="17"/>
  <c r="E17" i="17"/>
  <c r="D17" i="17"/>
  <c r="C16" i="17"/>
  <c r="E16" i="17"/>
  <c r="D16" i="17"/>
  <c r="C15" i="17"/>
  <c r="E15" i="17"/>
  <c r="D15" i="17"/>
  <c r="C14" i="17"/>
  <c r="E14" i="17"/>
  <c r="D14" i="17"/>
  <c r="C13" i="17"/>
  <c r="E13" i="17"/>
  <c r="D13" i="17"/>
  <c r="E6" i="17"/>
  <c r="J5" i="17"/>
  <c r="K5" i="17"/>
  <c r="C8" i="17"/>
  <c r="E8" i="17"/>
  <c r="J6" i="17"/>
  <c r="K6" i="17"/>
  <c r="J7" i="17"/>
  <c r="K7" i="17"/>
  <c r="J8" i="17"/>
  <c r="K8" i="17"/>
  <c r="J9" i="17"/>
  <c r="K9" i="17"/>
  <c r="K10" i="17"/>
  <c r="K12" i="17"/>
  <c r="C12" i="17"/>
  <c r="E12" i="17"/>
  <c r="D12" i="17"/>
  <c r="C11" i="17"/>
  <c r="E11" i="17"/>
  <c r="D11" i="17"/>
  <c r="C10" i="17"/>
  <c r="E10" i="17"/>
  <c r="D10" i="17"/>
  <c r="C9" i="17"/>
  <c r="E9" i="17"/>
  <c r="D9" i="17"/>
  <c r="D8" i="17"/>
  <c r="C7" i="17"/>
  <c r="E7" i="17"/>
  <c r="D7" i="17"/>
  <c r="D6" i="17"/>
  <c r="V13" i="16"/>
  <c r="V11" i="16"/>
  <c r="V8" i="16"/>
  <c r="V6" i="16"/>
  <c r="V7" i="16"/>
  <c r="V9" i="16"/>
  <c r="V5" i="16"/>
  <c r="T6" i="16"/>
  <c r="T7" i="16"/>
  <c r="T8" i="16"/>
  <c r="T9" i="16"/>
  <c r="T5" i="16"/>
  <c r="S6" i="16"/>
  <c r="S7" i="16"/>
  <c r="S8" i="16"/>
  <c r="S9" i="16"/>
  <c r="S5" i="16"/>
  <c r="R9" i="16"/>
  <c r="R6" i="16"/>
  <c r="R7" i="16"/>
  <c r="R8" i="16"/>
  <c r="R5" i="16"/>
  <c r="C6" i="16"/>
  <c r="M15" i="16"/>
  <c r="M16" i="16"/>
  <c r="N6" i="16"/>
  <c r="N7" i="16"/>
  <c r="N8" i="16"/>
  <c r="N9" i="16"/>
  <c r="N5" i="16"/>
  <c r="O5" i="16"/>
  <c r="M13" i="16"/>
  <c r="Q6" i="16"/>
  <c r="Q7" i="16"/>
  <c r="Q8" i="16"/>
  <c r="Q9" i="16"/>
  <c r="Q5" i="16"/>
  <c r="P6" i="16"/>
  <c r="P7" i="16"/>
  <c r="P8" i="16"/>
  <c r="P9" i="16"/>
  <c r="P5" i="16"/>
  <c r="O6" i="16"/>
  <c r="O7" i="16"/>
  <c r="O8" i="16"/>
  <c r="O9" i="16"/>
  <c r="M12" i="16"/>
  <c r="M11" i="16"/>
  <c r="M6" i="16"/>
  <c r="M7" i="16"/>
  <c r="M8" i="16"/>
  <c r="M9" i="16"/>
  <c r="M5" i="16"/>
  <c r="C71" i="16"/>
  <c r="E71" i="16"/>
  <c r="D71" i="16"/>
  <c r="C70" i="16"/>
  <c r="E70" i="16"/>
  <c r="D70" i="16"/>
  <c r="C69" i="16"/>
  <c r="E69" i="16"/>
  <c r="D69" i="16"/>
  <c r="C68" i="16"/>
  <c r="E68" i="16"/>
  <c r="D68" i="16"/>
  <c r="C67" i="16"/>
  <c r="E67" i="16"/>
  <c r="D67" i="16"/>
  <c r="C66" i="16"/>
  <c r="E66" i="16"/>
  <c r="D66" i="16"/>
  <c r="C65" i="16"/>
  <c r="E65" i="16"/>
  <c r="D65" i="16"/>
  <c r="C64" i="16"/>
  <c r="E64" i="16"/>
  <c r="D64" i="16"/>
  <c r="C63" i="16"/>
  <c r="E63" i="16"/>
  <c r="D63" i="16"/>
  <c r="C62" i="16"/>
  <c r="E62" i="16"/>
  <c r="D62" i="16"/>
  <c r="C61" i="16"/>
  <c r="E61" i="16"/>
  <c r="D61" i="16"/>
  <c r="C60" i="16"/>
  <c r="E60" i="16"/>
  <c r="D60" i="16"/>
  <c r="C59" i="16"/>
  <c r="E59" i="16"/>
  <c r="D59" i="16"/>
  <c r="C58" i="16"/>
  <c r="E58" i="16"/>
  <c r="D58" i="16"/>
  <c r="C57" i="16"/>
  <c r="E57" i="16"/>
  <c r="D57" i="16"/>
  <c r="C56" i="16"/>
  <c r="E56" i="16"/>
  <c r="D56" i="16"/>
  <c r="C55" i="16"/>
  <c r="E55" i="16"/>
  <c r="D55" i="16"/>
  <c r="C54" i="16"/>
  <c r="E54" i="16"/>
  <c r="D54" i="16"/>
  <c r="C53" i="16"/>
  <c r="E53" i="16"/>
  <c r="D53" i="16"/>
  <c r="C52" i="16"/>
  <c r="E52" i="16"/>
  <c r="D52" i="16"/>
  <c r="C51" i="16"/>
  <c r="E51" i="16"/>
  <c r="D51" i="16"/>
  <c r="C50" i="16"/>
  <c r="E50" i="16"/>
  <c r="D50" i="16"/>
  <c r="C49" i="16"/>
  <c r="E49" i="16"/>
  <c r="D49" i="16"/>
  <c r="C48" i="16"/>
  <c r="E48" i="16"/>
  <c r="D48" i="16"/>
  <c r="C47" i="16"/>
  <c r="E47" i="16"/>
  <c r="D47" i="16"/>
  <c r="C46" i="16"/>
  <c r="E46" i="16"/>
  <c r="D46" i="16"/>
  <c r="C45" i="16"/>
  <c r="E45" i="16"/>
  <c r="D45" i="16"/>
  <c r="C44" i="16"/>
  <c r="E44" i="16"/>
  <c r="D44" i="16"/>
  <c r="C43" i="16"/>
  <c r="E43" i="16"/>
  <c r="D43" i="16"/>
  <c r="C42" i="16"/>
  <c r="E42" i="16"/>
  <c r="D42" i="16"/>
  <c r="C41" i="16"/>
  <c r="E41" i="16"/>
  <c r="D41" i="16"/>
  <c r="C40" i="16"/>
  <c r="E40" i="16"/>
  <c r="D40" i="16"/>
  <c r="C39" i="16"/>
  <c r="E39" i="16"/>
  <c r="D39" i="16"/>
  <c r="C38" i="16"/>
  <c r="E38" i="16"/>
  <c r="D38" i="16"/>
  <c r="C37" i="16"/>
  <c r="E37" i="16"/>
  <c r="D37" i="16"/>
  <c r="C36" i="16"/>
  <c r="E36" i="16"/>
  <c r="D36" i="16"/>
  <c r="C35" i="16"/>
  <c r="E35" i="16"/>
  <c r="D35" i="16"/>
  <c r="C34" i="16"/>
  <c r="E34" i="16"/>
  <c r="D34" i="16"/>
  <c r="C33" i="16"/>
  <c r="E33" i="16"/>
  <c r="D33" i="16"/>
  <c r="C32" i="16"/>
  <c r="E32" i="16"/>
  <c r="D32" i="16"/>
  <c r="C31" i="16"/>
  <c r="E31" i="16"/>
  <c r="D31" i="16"/>
  <c r="C30" i="16"/>
  <c r="E30" i="16"/>
  <c r="D30" i="16"/>
  <c r="C29" i="16"/>
  <c r="E29" i="16"/>
  <c r="D29" i="16"/>
  <c r="C28" i="16"/>
  <c r="E28" i="16"/>
  <c r="D28" i="16"/>
  <c r="C27" i="16"/>
  <c r="E27" i="16"/>
  <c r="D27" i="16"/>
  <c r="C26" i="16"/>
  <c r="E26" i="16"/>
  <c r="D26" i="16"/>
  <c r="C25" i="16"/>
  <c r="E25" i="16"/>
  <c r="D25" i="16"/>
  <c r="C24" i="16"/>
  <c r="E24" i="16"/>
  <c r="D24" i="16"/>
  <c r="C23" i="16"/>
  <c r="E23" i="16"/>
  <c r="D23" i="16"/>
  <c r="C22" i="16"/>
  <c r="E22" i="16"/>
  <c r="D22" i="16"/>
  <c r="C21" i="16"/>
  <c r="E21" i="16"/>
  <c r="D21" i="16"/>
  <c r="C20" i="16"/>
  <c r="E20" i="16"/>
  <c r="D20" i="16"/>
  <c r="C19" i="16"/>
  <c r="E19" i="16"/>
  <c r="D19" i="16"/>
  <c r="C18" i="16"/>
  <c r="E18" i="16"/>
  <c r="D18" i="16"/>
  <c r="C17" i="16"/>
  <c r="E17" i="16"/>
  <c r="D17" i="16"/>
  <c r="C16" i="16"/>
  <c r="E16" i="16"/>
  <c r="D16" i="16"/>
  <c r="C15" i="16"/>
  <c r="E15" i="16"/>
  <c r="D15" i="16"/>
  <c r="C14" i="16"/>
  <c r="E14" i="16"/>
  <c r="D14" i="16"/>
  <c r="C13" i="16"/>
  <c r="E13" i="16"/>
  <c r="D13" i="16"/>
  <c r="E6" i="16"/>
  <c r="J5" i="16"/>
  <c r="K5" i="16"/>
  <c r="C8" i="16"/>
  <c r="E8" i="16"/>
  <c r="J6" i="16"/>
  <c r="K6" i="16"/>
  <c r="J7" i="16"/>
  <c r="K7" i="16"/>
  <c r="J8" i="16"/>
  <c r="K8" i="16"/>
  <c r="J9" i="16"/>
  <c r="K9" i="16"/>
  <c r="K10" i="16"/>
  <c r="K12" i="16"/>
  <c r="C12" i="16"/>
  <c r="E12" i="16"/>
  <c r="D12" i="16"/>
  <c r="C11" i="16"/>
  <c r="E11" i="16"/>
  <c r="D11" i="16"/>
  <c r="C10" i="16"/>
  <c r="E10" i="16"/>
  <c r="D10" i="16"/>
  <c r="C9" i="16"/>
  <c r="E9" i="16"/>
  <c r="D9" i="16"/>
  <c r="D8" i="16"/>
  <c r="C7" i="16"/>
  <c r="E7" i="16"/>
  <c r="D7" i="16"/>
  <c r="D6" i="16"/>
  <c r="C40" i="15"/>
  <c r="E40" i="15"/>
  <c r="H9" i="15"/>
  <c r="C9" i="15"/>
  <c r="E9" i="15"/>
  <c r="C10" i="15"/>
  <c r="E10" i="15"/>
  <c r="C11" i="15"/>
  <c r="E11" i="15"/>
  <c r="C12" i="15"/>
  <c r="E12" i="15"/>
  <c r="C13" i="15"/>
  <c r="E13" i="15"/>
  <c r="C14" i="15"/>
  <c r="E14" i="15"/>
  <c r="C15" i="15"/>
  <c r="E15" i="15"/>
  <c r="C16" i="15"/>
  <c r="E16" i="15"/>
  <c r="C17" i="15"/>
  <c r="E17" i="15"/>
  <c r="C18" i="15"/>
  <c r="E18" i="15"/>
  <c r="C19" i="15"/>
  <c r="E19" i="15"/>
  <c r="C20" i="15"/>
  <c r="E20" i="15"/>
  <c r="C21" i="15"/>
  <c r="E21" i="15"/>
  <c r="C22" i="15"/>
  <c r="E22" i="15"/>
  <c r="C23" i="15"/>
  <c r="E23" i="15"/>
  <c r="C24" i="15"/>
  <c r="E24" i="15"/>
  <c r="C25" i="15"/>
  <c r="E25" i="15"/>
  <c r="C26" i="15"/>
  <c r="E26" i="15"/>
  <c r="C27" i="15"/>
  <c r="E27" i="15"/>
  <c r="C28" i="15"/>
  <c r="E28" i="15"/>
  <c r="C29" i="15"/>
  <c r="E29" i="15"/>
  <c r="C30" i="15"/>
  <c r="E30" i="15"/>
  <c r="C31" i="15"/>
  <c r="E31" i="15"/>
  <c r="C32" i="15"/>
  <c r="E32" i="15"/>
  <c r="C33" i="15"/>
  <c r="E33" i="15"/>
  <c r="C34" i="15"/>
  <c r="E34" i="15"/>
  <c r="C35" i="15"/>
  <c r="E35" i="15"/>
  <c r="C36" i="15"/>
  <c r="E36" i="15"/>
  <c r="C37" i="15"/>
  <c r="E37" i="15"/>
  <c r="C38" i="15"/>
  <c r="E38" i="15"/>
  <c r="C39" i="15"/>
  <c r="E39" i="15"/>
  <c r="C41" i="15"/>
  <c r="E41" i="15"/>
  <c r="C42" i="15"/>
  <c r="E42" i="15"/>
  <c r="C8" i="15"/>
  <c r="E8" i="15"/>
  <c r="I12" i="15"/>
  <c r="I11" i="15"/>
  <c r="I10" i="15"/>
  <c r="I9" i="15"/>
  <c r="H20" i="15"/>
  <c r="D42" i="15"/>
  <c r="H19" i="15"/>
  <c r="H18" i="15"/>
  <c r="D41" i="15"/>
  <c r="H17" i="15"/>
  <c r="H15" i="15"/>
  <c r="H16" i="15"/>
  <c r="H14" i="15"/>
  <c r="H13" i="15"/>
  <c r="H12" i="15"/>
  <c r="H11" i="15"/>
  <c r="H10"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40" i="15"/>
  <c r="D3" i="15"/>
  <c r="C7" i="13"/>
  <c r="E7" i="13"/>
  <c r="C8" i="13"/>
  <c r="E8" i="13"/>
  <c r="C9" i="13"/>
  <c r="E9" i="13"/>
  <c r="C10" i="13"/>
  <c r="E10" i="13"/>
  <c r="C11" i="13"/>
  <c r="E11" i="13"/>
  <c r="C12" i="13"/>
  <c r="E12" i="13"/>
  <c r="C13" i="13"/>
  <c r="E13" i="13"/>
  <c r="C14" i="13"/>
  <c r="E14" i="13"/>
  <c r="C15" i="13"/>
  <c r="E15" i="13"/>
  <c r="C16" i="13"/>
  <c r="E16" i="13"/>
  <c r="C17" i="13"/>
  <c r="E17" i="13"/>
  <c r="C18" i="13"/>
  <c r="E18" i="13"/>
  <c r="C19" i="13"/>
  <c r="E19" i="13"/>
  <c r="C20" i="13"/>
  <c r="E20" i="13"/>
  <c r="C21" i="13"/>
  <c r="E21" i="13"/>
  <c r="C22" i="13"/>
  <c r="E22" i="13"/>
  <c r="C23" i="13"/>
  <c r="E23" i="13"/>
  <c r="C24" i="13"/>
  <c r="E24" i="13"/>
  <c r="C25" i="13"/>
  <c r="E25" i="13"/>
  <c r="C26" i="13"/>
  <c r="E26" i="13"/>
  <c r="C27" i="13"/>
  <c r="E27" i="13"/>
  <c r="C28" i="13"/>
  <c r="E28" i="13"/>
  <c r="C29" i="13"/>
  <c r="E29" i="13"/>
  <c r="C30" i="13"/>
  <c r="E30" i="13"/>
  <c r="C31" i="13"/>
  <c r="E31" i="13"/>
  <c r="C32" i="13"/>
  <c r="E32" i="13"/>
  <c r="C33" i="13"/>
  <c r="E33" i="13"/>
  <c r="C34" i="13"/>
  <c r="E34" i="13"/>
  <c r="C35" i="13"/>
  <c r="E35" i="13"/>
  <c r="C36" i="13"/>
  <c r="E36" i="13"/>
  <c r="C37" i="13"/>
  <c r="E37" i="13"/>
  <c r="C38" i="13"/>
  <c r="E38" i="13"/>
  <c r="C39" i="13"/>
  <c r="E39" i="13"/>
  <c r="C40" i="13"/>
  <c r="E40" i="13"/>
  <c r="C6" i="13"/>
  <c r="E6" i="13"/>
  <c r="C7" i="14"/>
  <c r="E7" i="14"/>
  <c r="C8" i="14"/>
  <c r="E8" i="14"/>
  <c r="C9" i="14"/>
  <c r="E9" i="14"/>
  <c r="C10" i="14"/>
  <c r="E10" i="14"/>
  <c r="C11" i="14"/>
  <c r="E11" i="14"/>
  <c r="C12" i="14"/>
  <c r="E12" i="14"/>
  <c r="C13" i="14"/>
  <c r="E13" i="14"/>
  <c r="C14" i="14"/>
  <c r="E14" i="14"/>
  <c r="C15" i="14"/>
  <c r="E15" i="14"/>
  <c r="C16" i="14"/>
  <c r="E16" i="14"/>
  <c r="C17" i="14"/>
  <c r="E17" i="14"/>
  <c r="C18" i="14"/>
  <c r="E18" i="14"/>
  <c r="C19" i="14"/>
  <c r="E19" i="14"/>
  <c r="C20" i="14"/>
  <c r="E20" i="14"/>
  <c r="C21" i="14"/>
  <c r="E21" i="14"/>
  <c r="C22" i="14"/>
  <c r="E22" i="14"/>
  <c r="C23" i="14"/>
  <c r="E23" i="14"/>
  <c r="C24" i="14"/>
  <c r="E24" i="14"/>
  <c r="C25" i="14"/>
  <c r="E25" i="14"/>
  <c r="C26" i="14"/>
  <c r="E26" i="14"/>
  <c r="C27" i="14"/>
  <c r="E27" i="14"/>
  <c r="C28" i="14"/>
  <c r="E28" i="14"/>
  <c r="C29" i="14"/>
  <c r="E29" i="14"/>
  <c r="C30" i="14"/>
  <c r="E30" i="14"/>
  <c r="C31" i="14"/>
  <c r="E31" i="14"/>
  <c r="C32" i="14"/>
  <c r="E32" i="14"/>
  <c r="C33" i="14"/>
  <c r="E33" i="14"/>
  <c r="C34" i="14"/>
  <c r="E34" i="14"/>
  <c r="C35" i="14"/>
  <c r="E35" i="14"/>
  <c r="C36" i="14"/>
  <c r="E36" i="14"/>
  <c r="C37" i="14"/>
  <c r="E37" i="14"/>
  <c r="C38" i="14"/>
  <c r="E38" i="14"/>
  <c r="C6" i="14"/>
  <c r="E6" i="14"/>
  <c r="D39" i="15"/>
  <c r="C6" i="3"/>
  <c r="B72" i="7"/>
  <c r="J9" i="13"/>
  <c r="J8" i="13"/>
  <c r="D40" i="13"/>
  <c r="D39" i="13"/>
  <c r="J7" i="13"/>
  <c r="J6" i="13"/>
  <c r="J5"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6" i="13"/>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J5" i="14"/>
  <c r="K5" i="14"/>
  <c r="J6" i="14"/>
  <c r="K6" i="14"/>
  <c r="J7" i="14"/>
  <c r="K7" i="14"/>
  <c r="J8" i="14"/>
  <c r="K8" i="14"/>
  <c r="J9" i="14"/>
  <c r="K9" i="14"/>
  <c r="K10" i="14"/>
  <c r="K12" i="14"/>
  <c r="D12" i="14"/>
  <c r="D11" i="14"/>
  <c r="D10" i="14"/>
  <c r="D9" i="14"/>
  <c r="D8" i="14"/>
  <c r="D7" i="14"/>
  <c r="D6" i="14"/>
  <c r="E3" i="14"/>
  <c r="E2" i="14"/>
  <c r="L1" i="14"/>
  <c r="F1" i="14"/>
  <c r="K5" i="13"/>
  <c r="K6" i="13"/>
  <c r="K7" i="13"/>
  <c r="K8" i="13"/>
  <c r="K9" i="13"/>
  <c r="K10" i="13"/>
  <c r="K12" i="13"/>
  <c r="E3" i="13"/>
  <c r="E2" i="13"/>
  <c r="L1" i="13"/>
  <c r="F1" i="13"/>
  <c r="N10" i="8"/>
  <c r="N9" i="8"/>
  <c r="C71" i="11"/>
  <c r="E71" i="11"/>
  <c r="D71" i="11"/>
  <c r="C70" i="11"/>
  <c r="E70" i="11"/>
  <c r="D70" i="11"/>
  <c r="C69" i="11"/>
  <c r="E69" i="11"/>
  <c r="D69" i="11"/>
  <c r="C68" i="11"/>
  <c r="E68" i="11"/>
  <c r="D68" i="11"/>
  <c r="C67" i="11"/>
  <c r="E67" i="11"/>
  <c r="D67" i="11"/>
  <c r="C66" i="11"/>
  <c r="E66" i="11"/>
  <c r="D66" i="11"/>
  <c r="C65" i="11"/>
  <c r="E65" i="11"/>
  <c r="D65" i="11"/>
  <c r="C64" i="11"/>
  <c r="E64" i="11"/>
  <c r="D64" i="11"/>
  <c r="C63" i="11"/>
  <c r="E63" i="11"/>
  <c r="D63" i="11"/>
  <c r="C62" i="11"/>
  <c r="E62" i="11"/>
  <c r="D62" i="11"/>
  <c r="C61" i="11"/>
  <c r="E61" i="11"/>
  <c r="D61" i="11"/>
  <c r="C60" i="11"/>
  <c r="E60" i="11"/>
  <c r="D60" i="11"/>
  <c r="C59" i="11"/>
  <c r="E59" i="11"/>
  <c r="D59" i="11"/>
  <c r="C58" i="11"/>
  <c r="E58" i="11"/>
  <c r="D58" i="11"/>
  <c r="C57" i="11"/>
  <c r="E57" i="11"/>
  <c r="D57" i="11"/>
  <c r="C56" i="11"/>
  <c r="E56" i="11"/>
  <c r="D56" i="11"/>
  <c r="C55" i="11"/>
  <c r="E55" i="11"/>
  <c r="D55" i="11"/>
  <c r="C54" i="11"/>
  <c r="E54" i="11"/>
  <c r="D54" i="11"/>
  <c r="C53" i="11"/>
  <c r="E53" i="11"/>
  <c r="D53" i="11"/>
  <c r="C52" i="11"/>
  <c r="E52" i="11"/>
  <c r="D52" i="11"/>
  <c r="C51" i="11"/>
  <c r="E51" i="11"/>
  <c r="D51" i="11"/>
  <c r="C50" i="11"/>
  <c r="E50" i="11"/>
  <c r="D50" i="11"/>
  <c r="C49" i="11"/>
  <c r="E49" i="11"/>
  <c r="D49" i="11"/>
  <c r="C48" i="11"/>
  <c r="E48" i="11"/>
  <c r="D48" i="11"/>
  <c r="C47" i="11"/>
  <c r="E47" i="11"/>
  <c r="D47" i="11"/>
  <c r="C46" i="11"/>
  <c r="E46" i="11"/>
  <c r="D46" i="11"/>
  <c r="C45" i="11"/>
  <c r="E45" i="11"/>
  <c r="D45" i="11"/>
  <c r="C44" i="11"/>
  <c r="E44" i="11"/>
  <c r="D44" i="11"/>
  <c r="C43" i="11"/>
  <c r="E43" i="11"/>
  <c r="D43" i="11"/>
  <c r="C42" i="11"/>
  <c r="E42" i="11"/>
  <c r="D42" i="11"/>
  <c r="C41" i="11"/>
  <c r="E41" i="11"/>
  <c r="D41" i="11"/>
  <c r="C40" i="11"/>
  <c r="E40" i="11"/>
  <c r="D40" i="11"/>
  <c r="C39" i="11"/>
  <c r="E39" i="11"/>
  <c r="D39" i="11"/>
  <c r="C38" i="11"/>
  <c r="E38" i="11"/>
  <c r="D38" i="11"/>
  <c r="C37" i="11"/>
  <c r="E37" i="11"/>
  <c r="D37" i="11"/>
  <c r="C36" i="11"/>
  <c r="E36" i="11"/>
  <c r="D36" i="11"/>
  <c r="C35" i="11"/>
  <c r="E35" i="11"/>
  <c r="D35" i="11"/>
  <c r="C34" i="11"/>
  <c r="E34" i="11"/>
  <c r="D34" i="11"/>
  <c r="C33" i="11"/>
  <c r="E33" i="11"/>
  <c r="D33" i="11"/>
  <c r="C32" i="11"/>
  <c r="E32" i="11"/>
  <c r="D32" i="11"/>
  <c r="C31" i="11"/>
  <c r="E31" i="11"/>
  <c r="D31" i="11"/>
  <c r="C30" i="11"/>
  <c r="E30" i="11"/>
  <c r="D30" i="11"/>
  <c r="C29" i="11"/>
  <c r="E29" i="11"/>
  <c r="D29" i="11"/>
  <c r="C28" i="11"/>
  <c r="E28" i="11"/>
  <c r="D28" i="11"/>
  <c r="C27" i="11"/>
  <c r="E27" i="11"/>
  <c r="D27" i="11"/>
  <c r="C26" i="11"/>
  <c r="E26" i="11"/>
  <c r="D26" i="11"/>
  <c r="C25" i="11"/>
  <c r="E25" i="11"/>
  <c r="D25" i="11"/>
  <c r="C24" i="11"/>
  <c r="E24" i="11"/>
  <c r="D24" i="11"/>
  <c r="C23" i="11"/>
  <c r="E23" i="11"/>
  <c r="D23" i="11"/>
  <c r="C22" i="11"/>
  <c r="E22" i="11"/>
  <c r="D22" i="11"/>
  <c r="C21" i="11"/>
  <c r="E21" i="11"/>
  <c r="D21" i="11"/>
  <c r="C20" i="11"/>
  <c r="E20" i="11"/>
  <c r="D20" i="11"/>
  <c r="C19" i="11"/>
  <c r="E19" i="11"/>
  <c r="D19" i="11"/>
  <c r="C18" i="11"/>
  <c r="E18" i="11"/>
  <c r="D18" i="11"/>
  <c r="C17" i="11"/>
  <c r="E17" i="11"/>
  <c r="D17" i="11"/>
  <c r="C16" i="11"/>
  <c r="E16" i="11"/>
  <c r="D16" i="11"/>
  <c r="C15" i="11"/>
  <c r="E15" i="11"/>
  <c r="D15" i="11"/>
  <c r="C14" i="11"/>
  <c r="E14" i="11"/>
  <c r="D14" i="11"/>
  <c r="C13" i="11"/>
  <c r="E13" i="11"/>
  <c r="D13" i="11"/>
  <c r="C6" i="11"/>
  <c r="E6" i="11"/>
  <c r="K5" i="11"/>
  <c r="L5" i="11"/>
  <c r="C8" i="11"/>
  <c r="E8" i="11"/>
  <c r="K6" i="11"/>
  <c r="L6" i="11"/>
  <c r="K7" i="11"/>
  <c r="L7" i="11"/>
  <c r="K8" i="11"/>
  <c r="L8" i="11"/>
  <c r="K9" i="11"/>
  <c r="L9" i="11"/>
  <c r="L10" i="11"/>
  <c r="L12" i="11"/>
  <c r="C12" i="11"/>
  <c r="E12" i="11"/>
  <c r="D12" i="11"/>
  <c r="C11" i="11"/>
  <c r="E11" i="11"/>
  <c r="D11" i="11"/>
  <c r="C10" i="11"/>
  <c r="E10" i="11"/>
  <c r="D10" i="11"/>
  <c r="C9" i="11"/>
  <c r="E9" i="11"/>
  <c r="D9" i="11"/>
  <c r="D8" i="11"/>
  <c r="C7" i="11"/>
  <c r="E7" i="11"/>
  <c r="D7" i="11"/>
  <c r="D6" i="11"/>
  <c r="E3" i="11"/>
  <c r="H3" i="11"/>
  <c r="D10" i="8"/>
  <c r="D6" i="8"/>
  <c r="F6" i="8"/>
  <c r="C7" i="10"/>
  <c r="D7" i="10"/>
  <c r="F7" i="10"/>
  <c r="C8" i="10"/>
  <c r="D8" i="10"/>
  <c r="F8" i="10"/>
  <c r="C9" i="10"/>
  <c r="D9" i="10"/>
  <c r="F9" i="10"/>
  <c r="C10" i="10"/>
  <c r="D10" i="10"/>
  <c r="F10" i="10"/>
  <c r="C11" i="10"/>
  <c r="D11" i="10"/>
  <c r="F11" i="10"/>
  <c r="C12" i="10"/>
  <c r="D12" i="10"/>
  <c r="F12" i="10"/>
  <c r="C13" i="10"/>
  <c r="D13" i="10"/>
  <c r="F13" i="10"/>
  <c r="C14" i="10"/>
  <c r="D14" i="10"/>
  <c r="F14" i="10"/>
  <c r="C15" i="10"/>
  <c r="D15" i="10"/>
  <c r="F15" i="10"/>
  <c r="C16" i="10"/>
  <c r="D16" i="10"/>
  <c r="F16" i="10"/>
  <c r="C17" i="10"/>
  <c r="D17" i="10"/>
  <c r="F17" i="10"/>
  <c r="C18" i="10"/>
  <c r="D18" i="10"/>
  <c r="F18" i="10"/>
  <c r="C19" i="10"/>
  <c r="D19" i="10"/>
  <c r="F19" i="10"/>
  <c r="C20" i="10"/>
  <c r="D20" i="10"/>
  <c r="F20" i="10"/>
  <c r="C21" i="10"/>
  <c r="D21" i="10"/>
  <c r="F21" i="10"/>
  <c r="C22" i="10"/>
  <c r="D22" i="10"/>
  <c r="F22" i="10"/>
  <c r="C23" i="10"/>
  <c r="D23" i="10"/>
  <c r="F23" i="10"/>
  <c r="C24" i="10"/>
  <c r="D24" i="10"/>
  <c r="F24" i="10"/>
  <c r="C25" i="10"/>
  <c r="D25" i="10"/>
  <c r="F25" i="10"/>
  <c r="C26" i="10"/>
  <c r="D26" i="10"/>
  <c r="F26" i="10"/>
  <c r="C27" i="10"/>
  <c r="D27" i="10"/>
  <c r="F27" i="10"/>
  <c r="C28" i="10"/>
  <c r="D28" i="10"/>
  <c r="F28" i="10"/>
  <c r="C29" i="10"/>
  <c r="D29" i="10"/>
  <c r="F29" i="10"/>
  <c r="C30" i="10"/>
  <c r="D30" i="10"/>
  <c r="F30" i="10"/>
  <c r="C31" i="10"/>
  <c r="D31" i="10"/>
  <c r="F31" i="10"/>
  <c r="C32" i="10"/>
  <c r="D32" i="10"/>
  <c r="F32" i="10"/>
  <c r="C33" i="10"/>
  <c r="D33" i="10"/>
  <c r="F33" i="10"/>
  <c r="C34" i="10"/>
  <c r="D34" i="10"/>
  <c r="F34" i="10"/>
  <c r="C35" i="10"/>
  <c r="D35" i="10"/>
  <c r="F35" i="10"/>
  <c r="C36" i="10"/>
  <c r="D36" i="10"/>
  <c r="F36" i="10"/>
  <c r="C37" i="10"/>
  <c r="D37" i="10"/>
  <c r="F37" i="10"/>
  <c r="C38" i="10"/>
  <c r="D38" i="10"/>
  <c r="F38" i="10"/>
  <c r="C39" i="10"/>
  <c r="D39" i="10"/>
  <c r="F39" i="10"/>
  <c r="C40" i="10"/>
  <c r="D40" i="10"/>
  <c r="F40" i="10"/>
  <c r="C41" i="10"/>
  <c r="D41" i="10"/>
  <c r="F41" i="10"/>
  <c r="C42" i="10"/>
  <c r="D42" i="10"/>
  <c r="F42" i="10"/>
  <c r="C43" i="10"/>
  <c r="D43" i="10"/>
  <c r="F43" i="10"/>
  <c r="C44" i="10"/>
  <c r="D44" i="10"/>
  <c r="F44" i="10"/>
  <c r="C45" i="10"/>
  <c r="D45" i="10"/>
  <c r="F45" i="10"/>
  <c r="C46" i="10"/>
  <c r="D46" i="10"/>
  <c r="F46" i="10"/>
  <c r="C47" i="10"/>
  <c r="D47" i="10"/>
  <c r="F47" i="10"/>
  <c r="C48" i="10"/>
  <c r="D48" i="10"/>
  <c r="F48" i="10"/>
  <c r="C49" i="10"/>
  <c r="D49" i="10"/>
  <c r="F49" i="10"/>
  <c r="C50" i="10"/>
  <c r="D50" i="10"/>
  <c r="F50" i="10"/>
  <c r="C51" i="10"/>
  <c r="D51" i="10"/>
  <c r="F51" i="10"/>
  <c r="C52" i="10"/>
  <c r="D52" i="10"/>
  <c r="F52" i="10"/>
  <c r="C53" i="10"/>
  <c r="D53" i="10"/>
  <c r="F53" i="10"/>
  <c r="C54" i="10"/>
  <c r="D54" i="10"/>
  <c r="F54" i="10"/>
  <c r="C55" i="10"/>
  <c r="D55" i="10"/>
  <c r="F55" i="10"/>
  <c r="C56" i="10"/>
  <c r="D56" i="10"/>
  <c r="F56" i="10"/>
  <c r="C57" i="10"/>
  <c r="D57" i="10"/>
  <c r="F57" i="10"/>
  <c r="C58" i="10"/>
  <c r="D58" i="10"/>
  <c r="F58" i="10"/>
  <c r="C59" i="10"/>
  <c r="D59" i="10"/>
  <c r="F59" i="10"/>
  <c r="C60" i="10"/>
  <c r="D60" i="10"/>
  <c r="F60" i="10"/>
  <c r="C61" i="10"/>
  <c r="D61" i="10"/>
  <c r="F61" i="10"/>
  <c r="C62" i="10"/>
  <c r="D62" i="10"/>
  <c r="F62" i="10"/>
  <c r="C63" i="10"/>
  <c r="D63" i="10"/>
  <c r="F63" i="10"/>
  <c r="C64" i="10"/>
  <c r="D64" i="10"/>
  <c r="F64" i="10"/>
  <c r="C65" i="10"/>
  <c r="D65" i="10"/>
  <c r="F65" i="10"/>
  <c r="C66" i="10"/>
  <c r="D66" i="10"/>
  <c r="F66" i="10"/>
  <c r="C67" i="10"/>
  <c r="D67" i="10"/>
  <c r="F67" i="10"/>
  <c r="C68" i="10"/>
  <c r="D68" i="10"/>
  <c r="F68" i="10"/>
  <c r="C69" i="10"/>
  <c r="D69" i="10"/>
  <c r="F69" i="10"/>
  <c r="C70" i="10"/>
  <c r="D70" i="10"/>
  <c r="F70" i="10"/>
  <c r="C71" i="10"/>
  <c r="D71" i="10"/>
  <c r="F71" i="10"/>
  <c r="C6" i="10"/>
  <c r="D6" i="10"/>
  <c r="F6" i="10"/>
  <c r="E9" i="10"/>
  <c r="E7" i="10"/>
  <c r="E8"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6" i="10"/>
  <c r="L5" i="10"/>
  <c r="M5" i="10"/>
  <c r="L6" i="10"/>
  <c r="M6" i="10"/>
  <c r="L7" i="10"/>
  <c r="M7" i="10"/>
  <c r="L8" i="10"/>
  <c r="M8" i="10"/>
  <c r="L9" i="10"/>
  <c r="M9" i="10"/>
  <c r="M10" i="10"/>
  <c r="M12" i="10"/>
  <c r="F3" i="10"/>
  <c r="I3" i="10"/>
  <c r="C6" i="4"/>
  <c r="D6" i="4"/>
  <c r="C7" i="4"/>
  <c r="D7" i="4"/>
  <c r="C8" i="4"/>
  <c r="D8" i="4"/>
  <c r="C9" i="4"/>
  <c r="D9" i="4"/>
  <c r="C10" i="4"/>
  <c r="D10" i="4"/>
  <c r="C11" i="4"/>
  <c r="D11" i="4"/>
  <c r="C12" i="4"/>
  <c r="D12" i="4"/>
  <c r="C13" i="4"/>
  <c r="D13" i="4"/>
  <c r="C14" i="4"/>
  <c r="D14" i="4"/>
  <c r="C15" i="4"/>
  <c r="D15" i="4"/>
  <c r="C16" i="4"/>
  <c r="D16" i="4"/>
  <c r="C17" i="4"/>
  <c r="D17" i="4"/>
  <c r="C18" i="4"/>
  <c r="D18" i="4"/>
  <c r="C19" i="4"/>
  <c r="D19" i="4"/>
  <c r="C20" i="4"/>
  <c r="D20" i="4"/>
  <c r="C21" i="4"/>
  <c r="D21" i="4"/>
  <c r="C22" i="4"/>
  <c r="D22" i="4"/>
  <c r="C23" i="4"/>
  <c r="D23" i="4"/>
  <c r="C24" i="4"/>
  <c r="D24" i="4"/>
  <c r="C25" i="4"/>
  <c r="D25" i="4"/>
  <c r="C26" i="4"/>
  <c r="D26" i="4"/>
  <c r="C27" i="4"/>
  <c r="D27" i="4"/>
  <c r="C28" i="4"/>
  <c r="D28" i="4"/>
  <c r="C29" i="4"/>
  <c r="D29" i="4"/>
  <c r="C30" i="4"/>
  <c r="D30" i="4"/>
  <c r="C31" i="4"/>
  <c r="D31" i="4"/>
  <c r="C32" i="4"/>
  <c r="D32" i="4"/>
  <c r="C33" i="4"/>
  <c r="D33" i="4"/>
  <c r="C34" i="4"/>
  <c r="D34" i="4"/>
  <c r="C35" i="4"/>
  <c r="D35" i="4"/>
  <c r="C36" i="4"/>
  <c r="D36" i="4"/>
  <c r="C37" i="4"/>
  <c r="D37" i="4"/>
  <c r="C38" i="4"/>
  <c r="D38" i="4"/>
  <c r="C39" i="4"/>
  <c r="D39" i="4"/>
  <c r="C40" i="4"/>
  <c r="D40" i="4"/>
  <c r="C41" i="4"/>
  <c r="D41" i="4"/>
  <c r="C42" i="4"/>
  <c r="D42" i="4"/>
  <c r="C43" i="4"/>
  <c r="D43" i="4"/>
  <c r="C44" i="4"/>
  <c r="D44" i="4"/>
  <c r="C45" i="4"/>
  <c r="D45" i="4"/>
  <c r="C46" i="4"/>
  <c r="D46" i="4"/>
  <c r="C47" i="4"/>
  <c r="D47" i="4"/>
  <c r="C48" i="4"/>
  <c r="D48" i="4"/>
  <c r="C49" i="4"/>
  <c r="D49" i="4"/>
  <c r="C50" i="4"/>
  <c r="D50" i="4"/>
  <c r="C51" i="4"/>
  <c r="D51" i="4"/>
  <c r="C52" i="4"/>
  <c r="D52" i="4"/>
  <c r="C53" i="4"/>
  <c r="D53" i="4"/>
  <c r="C54" i="4"/>
  <c r="D54" i="4"/>
  <c r="C55" i="4"/>
  <c r="D55" i="4"/>
  <c r="C56" i="4"/>
  <c r="D56" i="4"/>
  <c r="C57" i="4"/>
  <c r="D57" i="4"/>
  <c r="C58" i="4"/>
  <c r="D58" i="4"/>
  <c r="C59" i="4"/>
  <c r="D59" i="4"/>
  <c r="C60" i="4"/>
  <c r="D60" i="4"/>
  <c r="C61" i="4"/>
  <c r="D61" i="4"/>
  <c r="C62" i="4"/>
  <c r="D62" i="4"/>
  <c r="C63" i="4"/>
  <c r="D63" i="4"/>
  <c r="C64" i="4"/>
  <c r="D64" i="4"/>
  <c r="C65" i="4"/>
  <c r="D65" i="4"/>
  <c r="C66" i="4"/>
  <c r="D66" i="4"/>
  <c r="C67" i="4"/>
  <c r="D67" i="4"/>
  <c r="C68" i="4"/>
  <c r="D68" i="4"/>
  <c r="C69" i="4"/>
  <c r="D69" i="4"/>
  <c r="C70" i="4"/>
  <c r="D70" i="4"/>
  <c r="C71" i="4"/>
  <c r="D71" i="4"/>
  <c r="E3" i="4"/>
  <c r="E6" i="4"/>
  <c r="E8" i="4"/>
  <c r="E13" i="4"/>
  <c r="L7" i="4"/>
  <c r="E61" i="4"/>
  <c r="E55" i="4"/>
  <c r="L9" i="4"/>
  <c r="L10" i="4"/>
  <c r="D7" i="8"/>
  <c r="F7" i="8"/>
  <c r="J7" i="8"/>
  <c r="K7" i="8"/>
  <c r="D9" i="8"/>
  <c r="F9" i="8"/>
  <c r="J8" i="8"/>
  <c r="K8" i="8"/>
  <c r="D11" i="8"/>
  <c r="F11" i="8"/>
  <c r="J9" i="8"/>
  <c r="K9" i="8"/>
  <c r="D8" i="8"/>
  <c r="F8" i="8"/>
  <c r="J10" i="8"/>
  <c r="K10" i="8"/>
  <c r="J11" i="8"/>
  <c r="K11" i="8"/>
  <c r="D36" i="8"/>
  <c r="F36" i="8"/>
  <c r="J12" i="8"/>
  <c r="K12" i="8"/>
  <c r="D23" i="8"/>
  <c r="F23" i="8"/>
  <c r="J13" i="8"/>
  <c r="K13" i="8"/>
  <c r="K14" i="8"/>
  <c r="K16" i="8"/>
  <c r="D30" i="8"/>
  <c r="F30" i="8"/>
  <c r="F10" i="8"/>
  <c r="D12" i="8"/>
  <c r="F12" i="8"/>
  <c r="D13" i="8"/>
  <c r="F13" i="8"/>
  <c r="D14" i="8"/>
  <c r="F14" i="8"/>
  <c r="D15" i="8"/>
  <c r="F15" i="8"/>
  <c r="D16" i="8"/>
  <c r="F16" i="8"/>
  <c r="D17" i="8"/>
  <c r="F17" i="8"/>
  <c r="D18" i="8"/>
  <c r="F18" i="8"/>
  <c r="D19" i="8"/>
  <c r="F19" i="8"/>
  <c r="D20" i="8"/>
  <c r="F20" i="8"/>
  <c r="D21" i="8"/>
  <c r="F21" i="8"/>
  <c r="D22" i="8"/>
  <c r="F22" i="8"/>
  <c r="D24" i="8"/>
  <c r="F24" i="8"/>
  <c r="D25" i="8"/>
  <c r="F25" i="8"/>
  <c r="D26" i="8"/>
  <c r="F26" i="8"/>
  <c r="D27" i="8"/>
  <c r="F27" i="8"/>
  <c r="D28" i="8"/>
  <c r="F28" i="8"/>
  <c r="D29" i="8"/>
  <c r="F29" i="8"/>
  <c r="D31" i="8"/>
  <c r="F31" i="8"/>
  <c r="D32" i="8"/>
  <c r="F32" i="8"/>
  <c r="D33" i="8"/>
  <c r="F33" i="8"/>
  <c r="D34" i="8"/>
  <c r="F34" i="8"/>
  <c r="D35" i="8"/>
  <c r="F35" i="8"/>
  <c r="D37" i="8"/>
  <c r="F37" i="8"/>
  <c r="D38" i="8"/>
  <c r="F38" i="8"/>
  <c r="E6"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F3" i="8"/>
  <c r="F2" i="8"/>
  <c r="G1" i="8"/>
  <c r="C62" i="3"/>
  <c r="E62" i="3"/>
  <c r="C13" i="3"/>
  <c r="E13" i="3"/>
  <c r="C8" i="3"/>
  <c r="E8" i="3"/>
  <c r="E6" i="3"/>
  <c r="C55" i="3"/>
  <c r="E55" i="3"/>
  <c r="K10" i="3"/>
  <c r="C6" i="6"/>
  <c r="D6" i="6"/>
  <c r="F6" i="6"/>
  <c r="K5" i="6"/>
  <c r="L5" i="6"/>
  <c r="C8" i="6"/>
  <c r="D8" i="6"/>
  <c r="F8" i="6"/>
  <c r="K6" i="6"/>
  <c r="L6" i="6"/>
  <c r="C13" i="6"/>
  <c r="D13" i="6"/>
  <c r="F13" i="6"/>
  <c r="K7" i="6"/>
  <c r="L7" i="6"/>
  <c r="C62" i="6"/>
  <c r="D62" i="6"/>
  <c r="F62" i="6"/>
  <c r="K8" i="6"/>
  <c r="L8" i="6"/>
  <c r="C55" i="6"/>
  <c r="D55" i="6"/>
  <c r="F55" i="6"/>
  <c r="K9" i="6"/>
  <c r="L9" i="6"/>
  <c r="L10" i="6"/>
  <c r="L12" i="6"/>
  <c r="F1" i="3"/>
  <c r="G1" i="6"/>
  <c r="C7" i="6"/>
  <c r="D7" i="6"/>
  <c r="F7" i="6"/>
  <c r="C9" i="6"/>
  <c r="D9" i="6"/>
  <c r="F9" i="6"/>
  <c r="C10" i="6"/>
  <c r="D10" i="6"/>
  <c r="F10" i="6"/>
  <c r="C11" i="6"/>
  <c r="D11" i="6"/>
  <c r="F11" i="6"/>
  <c r="C12" i="6"/>
  <c r="D12" i="6"/>
  <c r="F12" i="6"/>
  <c r="C14" i="6"/>
  <c r="D14" i="6"/>
  <c r="F14" i="6"/>
  <c r="C15" i="6"/>
  <c r="D15" i="6"/>
  <c r="F15" i="6"/>
  <c r="C16" i="6"/>
  <c r="D16" i="6"/>
  <c r="F16" i="6"/>
  <c r="C17" i="6"/>
  <c r="D17" i="6"/>
  <c r="F17" i="6"/>
  <c r="C18" i="6"/>
  <c r="D18" i="6"/>
  <c r="F18" i="6"/>
  <c r="C19" i="6"/>
  <c r="D19" i="6"/>
  <c r="F19" i="6"/>
  <c r="C20" i="6"/>
  <c r="D20" i="6"/>
  <c r="F20" i="6"/>
  <c r="C21" i="6"/>
  <c r="D21" i="6"/>
  <c r="F21" i="6"/>
  <c r="C22" i="6"/>
  <c r="D22" i="6"/>
  <c r="F22" i="6"/>
  <c r="C23" i="6"/>
  <c r="D23" i="6"/>
  <c r="F23" i="6"/>
  <c r="C24" i="6"/>
  <c r="D24" i="6"/>
  <c r="F24" i="6"/>
  <c r="C25" i="6"/>
  <c r="D25" i="6"/>
  <c r="F25" i="6"/>
  <c r="C26" i="6"/>
  <c r="D26" i="6"/>
  <c r="F26" i="6"/>
  <c r="C27" i="6"/>
  <c r="D27" i="6"/>
  <c r="F27" i="6"/>
  <c r="C28" i="6"/>
  <c r="D28" i="6"/>
  <c r="F28" i="6"/>
  <c r="C29" i="6"/>
  <c r="D29" i="6"/>
  <c r="F29" i="6"/>
  <c r="C30" i="6"/>
  <c r="D30" i="6"/>
  <c r="F30" i="6"/>
  <c r="C31" i="6"/>
  <c r="D31" i="6"/>
  <c r="F31" i="6"/>
  <c r="C32" i="6"/>
  <c r="D32" i="6"/>
  <c r="F32" i="6"/>
  <c r="C33" i="6"/>
  <c r="D33" i="6"/>
  <c r="F33" i="6"/>
  <c r="C34" i="6"/>
  <c r="D34" i="6"/>
  <c r="F34" i="6"/>
  <c r="C35" i="6"/>
  <c r="D35" i="6"/>
  <c r="F35" i="6"/>
  <c r="C36" i="6"/>
  <c r="D36" i="6"/>
  <c r="F36" i="6"/>
  <c r="C37" i="6"/>
  <c r="D37" i="6"/>
  <c r="F37" i="6"/>
  <c r="C38" i="6"/>
  <c r="D38" i="6"/>
  <c r="F38" i="6"/>
  <c r="C39" i="6"/>
  <c r="D39" i="6"/>
  <c r="F39" i="6"/>
  <c r="C40" i="6"/>
  <c r="D40" i="6"/>
  <c r="F40" i="6"/>
  <c r="C41" i="6"/>
  <c r="D41" i="6"/>
  <c r="F41" i="6"/>
  <c r="C42" i="6"/>
  <c r="D42" i="6"/>
  <c r="F42" i="6"/>
  <c r="C43" i="6"/>
  <c r="D43" i="6"/>
  <c r="F43" i="6"/>
  <c r="C44" i="6"/>
  <c r="D44" i="6"/>
  <c r="F44" i="6"/>
  <c r="C45" i="6"/>
  <c r="D45" i="6"/>
  <c r="F45" i="6"/>
  <c r="C46" i="6"/>
  <c r="D46" i="6"/>
  <c r="F46" i="6"/>
  <c r="C47" i="6"/>
  <c r="D47" i="6"/>
  <c r="F47" i="6"/>
  <c r="C48" i="6"/>
  <c r="D48" i="6"/>
  <c r="F48" i="6"/>
  <c r="C49" i="6"/>
  <c r="D49" i="6"/>
  <c r="F49" i="6"/>
  <c r="C50" i="6"/>
  <c r="D50" i="6"/>
  <c r="F50" i="6"/>
  <c r="C51" i="6"/>
  <c r="D51" i="6"/>
  <c r="F51" i="6"/>
  <c r="C52" i="6"/>
  <c r="D52" i="6"/>
  <c r="F52" i="6"/>
  <c r="C53" i="6"/>
  <c r="D53" i="6"/>
  <c r="F53" i="6"/>
  <c r="C54" i="6"/>
  <c r="D54" i="6"/>
  <c r="F54" i="6"/>
  <c r="C56" i="6"/>
  <c r="D56" i="6"/>
  <c r="F56" i="6"/>
  <c r="C57" i="6"/>
  <c r="D57" i="6"/>
  <c r="F57" i="6"/>
  <c r="C58" i="6"/>
  <c r="D58" i="6"/>
  <c r="F58" i="6"/>
  <c r="C59" i="6"/>
  <c r="D59" i="6"/>
  <c r="F59" i="6"/>
  <c r="C60" i="6"/>
  <c r="D60" i="6"/>
  <c r="F60" i="6"/>
  <c r="C61" i="6"/>
  <c r="D61" i="6"/>
  <c r="F61" i="6"/>
  <c r="C63" i="6"/>
  <c r="D63" i="6"/>
  <c r="F63" i="6"/>
  <c r="C64" i="6"/>
  <c r="D64" i="6"/>
  <c r="F64" i="6"/>
  <c r="C65" i="6"/>
  <c r="D65" i="6"/>
  <c r="F65" i="6"/>
  <c r="C66" i="6"/>
  <c r="D66" i="6"/>
  <c r="F66" i="6"/>
  <c r="C67" i="6"/>
  <c r="D67" i="6"/>
  <c r="F67" i="6"/>
  <c r="C68" i="6"/>
  <c r="D68" i="6"/>
  <c r="F68" i="6"/>
  <c r="C69" i="6"/>
  <c r="D69" i="6"/>
  <c r="F69" i="6"/>
  <c r="C70" i="6"/>
  <c r="D70" i="6"/>
  <c r="F70" i="6"/>
  <c r="C71" i="6"/>
  <c r="D71" i="6"/>
  <c r="F71"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6" i="6"/>
  <c r="F3" i="6"/>
  <c r="F2" i="6"/>
  <c r="E71" i="4"/>
  <c r="E70" i="4"/>
  <c r="E69" i="4"/>
  <c r="E68" i="4"/>
  <c r="E67" i="4"/>
  <c r="E66" i="4"/>
  <c r="E65" i="4"/>
  <c r="E64" i="4"/>
  <c r="E63" i="4"/>
  <c r="E62" i="4"/>
  <c r="E60" i="4"/>
  <c r="E59" i="4"/>
  <c r="E58" i="4"/>
  <c r="E57" i="4"/>
  <c r="E56"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2" i="4"/>
  <c r="E11" i="4"/>
  <c r="E10" i="4"/>
  <c r="E9" i="4"/>
  <c r="E7" i="4"/>
  <c r="E2" i="3"/>
  <c r="D6" i="3"/>
  <c r="C7" i="3"/>
  <c r="D7" i="3"/>
  <c r="D8" i="3"/>
  <c r="C9" i="3"/>
  <c r="D9" i="3"/>
  <c r="C10" i="3"/>
  <c r="D10" i="3"/>
  <c r="C11" i="3"/>
  <c r="D11" i="3"/>
  <c r="C12" i="3"/>
  <c r="D12" i="3"/>
  <c r="D13" i="3"/>
  <c r="C14" i="3"/>
  <c r="D14" i="3"/>
  <c r="C15" i="3"/>
  <c r="D15" i="3"/>
  <c r="C16" i="3"/>
  <c r="D16" i="3"/>
  <c r="C17" i="3"/>
  <c r="D17" i="3"/>
  <c r="C18" i="3"/>
  <c r="D18" i="3"/>
  <c r="C19" i="3"/>
  <c r="D19" i="3"/>
  <c r="C20" i="3"/>
  <c r="D20" i="3"/>
  <c r="C21" i="3"/>
  <c r="D21" i="3"/>
  <c r="C22"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D55" i="3"/>
  <c r="C56" i="3"/>
  <c r="D56" i="3"/>
  <c r="C57" i="3"/>
  <c r="D57" i="3"/>
  <c r="C58" i="3"/>
  <c r="D58" i="3"/>
  <c r="C59" i="3"/>
  <c r="D59" i="3"/>
  <c r="C60" i="3"/>
  <c r="D60" i="3"/>
  <c r="C61" i="3"/>
  <c r="D61" i="3"/>
  <c r="D62" i="3"/>
  <c r="C63" i="3"/>
  <c r="D63" i="3"/>
  <c r="C64" i="3"/>
  <c r="D64" i="3"/>
  <c r="C65" i="3"/>
  <c r="D65" i="3"/>
  <c r="C66" i="3"/>
  <c r="D66" i="3"/>
  <c r="C67" i="3"/>
  <c r="D67" i="3"/>
  <c r="C68" i="3"/>
  <c r="D68" i="3"/>
  <c r="C69" i="3"/>
  <c r="D69" i="3"/>
  <c r="C70" i="3"/>
  <c r="D70" i="3"/>
  <c r="C71" i="3"/>
  <c r="D71" i="3"/>
  <c r="E3" i="3"/>
  <c r="E7" i="3"/>
  <c r="E9" i="3"/>
  <c r="E10" i="3"/>
  <c r="E11" i="3"/>
  <c r="E12"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6" i="3"/>
  <c r="E57" i="3"/>
  <c r="E58" i="3"/>
  <c r="E59" i="3"/>
  <c r="E60" i="3"/>
  <c r="E61" i="3"/>
  <c r="E63" i="3"/>
  <c r="E64" i="3"/>
  <c r="E65" i="3"/>
  <c r="E66" i="3"/>
  <c r="E67" i="3"/>
  <c r="E68" i="3"/>
  <c r="E69" i="3"/>
  <c r="E70" i="3"/>
  <c r="E71" i="3"/>
</calcChain>
</file>

<file path=xl/sharedStrings.xml><?xml version="1.0" encoding="utf-8"?>
<sst xmlns="http://schemas.openxmlformats.org/spreadsheetml/2006/main" count="518" uniqueCount="241">
  <si>
    <t>Level</t>
  </si>
  <si>
    <t>Definition</t>
  </si>
  <si>
    <t>People and environment</t>
  </si>
  <si>
    <t>Radiological barriers &amp; control</t>
  </si>
  <si>
    <t>Defence in depth</t>
  </si>
  <si>
    <t>Example</t>
  </si>
  <si>
    <t>Major accident</t>
  </si>
  <si>
    <t>Major release of radio active material with widespread health and environmental effects requiring implementation of planned and extended countermeasures</t>
  </si>
  <si>
    <t>Chernobyl, Ukraine, 1986</t>
  </si>
  <si>
    <t>Serious accident</t>
  </si>
  <si>
    <t>Significant release of radioactive material likely to require implementation of planned countermeasures.</t>
  </si>
  <si>
    <t>Kyshtym, Russia, 1957</t>
  </si>
  <si>
    <t>Accident with wider consequences</t>
  </si>
  <si>
    <t>Limited release of radioactive material likely to require  implementation of
some planned countermeasures • Several deaths from radiation</t>
  </si>
  <si>
    <t>• Severe damage to reactor core.
• Release of large quantities of radioactive material within an installation
with a high  probability of
significant public  exposure. This
could arise from a major criticality accident or fire</t>
  </si>
  <si>
    <t>Windscale, UK, 1957; Three Mile Island, 1979</t>
  </si>
  <si>
    <t>Accident with local consequences</t>
  </si>
  <si>
    <t>• Minor release of radioactive material unlikely to result in implementation of planned countermeasures other than
local food controls.
• At least one death from  radiation.</t>
  </si>
  <si>
    <t>• Fuel melt or damage to fuel resulting in more than 0.1%  release of core inventory.
• Release of significant quantities of radioactive
material within an  installation with a high probability of significant
public exposure.</t>
  </si>
  <si>
    <t>FUKUSHIMA 1, 2011</t>
  </si>
  <si>
    <t>Serious incident</t>
  </si>
  <si>
    <t>• Exposure in excess of ten times the statutory annual limit for workers.
• Non-lethal deterministic health effect (e.g., burns) from radiation.</t>
  </si>
  <si>
    <t>• Exposure rates of more than 1 Sv/h in an  operating area.
• Severe contamination in an area not expected by design, with a
low probability
of significant public exposure.</t>
  </si>
  <si>
    <t>• Near accident at a nuclear power plant
with no safety provisions remaining.
• Lost or stolen highly radioactive sealed source.
• Misdelivered highly radioactive sealed source without adequate procedures in place to handle it.</t>
  </si>
  <si>
    <t>Sellafield, UK, 2005</t>
  </si>
  <si>
    <t>Incident</t>
  </si>
  <si>
    <t>• Exposure of a member of the public
in excess of 10 mSv.
• Exposure of a worker in excess of the
statutory annual limits</t>
  </si>
  <si>
    <t>• Radiation levels in an operating area
of more than 50 mSv/h.
• Significant contamination within the
facility into an area not expected by
design</t>
  </si>
  <si>
    <t>• Significant failures in safety provisions
but with no actual consequences.
• Found highly  radioactive sealed
orphan source, device or transport
package with safety provisions intact.
• Inadequate packaging of a highly
radioactive sealed  source.</t>
  </si>
  <si>
    <t>Atucha, Argentina, 2005</t>
  </si>
  <si>
    <t>Anomaly</t>
  </si>
  <si>
    <t>• Overexposure of a member of the
public in excess of statutory annual
limits.
• Minor problems with safety
components with significant
defence-in-depth remaining.
• Low activity lost or stolen radioactive
source, device or transport package</t>
  </si>
  <si>
    <t>Year</t>
  </si>
  <si>
    <t>INES level</t>
  </si>
  <si>
    <t>Country</t>
  </si>
  <si>
    <t>Location</t>
  </si>
  <si>
    <t>IAEA description</t>
  </si>
  <si>
    <t>Fukushima</t>
  </si>
  <si>
    <t>Japan</t>
  </si>
  <si>
    <t>37.319444, 141.021111</t>
  </si>
  <si>
    <t>Reactor shutdown after the 2011 Sendai earthquake and tsunami; failure of emergency cooling caused an explosion</t>
  </si>
  <si>
    <t>Onagawa</t>
  </si>
  <si>
    <t>38.401111, 141.499722</t>
  </si>
  <si>
    <t>Reactor shutdown after the 2011 Sendai earthquake and tsunami caused a fire</t>
  </si>
  <si>
    <t>Fleurus</t>
  </si>
  <si>
    <t>Belgium</t>
  </si>
  <si>
    <t>Fleurus, Belgium</t>
  </si>
  <si>
    <t>Severe health effects for a worker at a commercial irradiation facility as a result of high doses of radiation</t>
  </si>
  <si>
    <t>Forsmark</t>
  </si>
  <si>
    <t>Sweden</t>
  </si>
  <si>
    <t>60.403333, 18.166667</t>
  </si>
  <si>
    <t>Degraded safety functions for common cause failure in the emergency power supply system at nuclear power plant</t>
  </si>
  <si>
    <t>Erwin</t>
  </si>
  <si>
    <t>US</t>
  </si>
  <si>
    <t>36.145, -82.410833</t>
  </si>
  <si>
    <t>Thirty-five litres of a highly enriched uranium solution leaked during transfer</t>
  </si>
  <si>
    <t>Sellafield</t>
  </si>
  <si>
    <t>UK</t>
  </si>
  <si>
    <t>54.4205, -3.4975</t>
  </si>
  <si>
    <t>Release of large quantity of radioactive material, contained within the installation</t>
  </si>
  <si>
    <t>Atucha</t>
  </si>
  <si>
    <t>Argentina</t>
  </si>
  <si>
    <t>-33.967519, -59.205119</t>
  </si>
  <si>
    <t>Overexposure of a worker at a power reactor exceeding the annual limit</t>
  </si>
  <si>
    <t>Braidwood</t>
  </si>
  <si>
    <t>41.243611, -88.229167</t>
  </si>
  <si>
    <t>Nuclear material leak</t>
  </si>
  <si>
    <t>Paks</t>
  </si>
  <si>
    <t>Hungary</t>
  </si>
  <si>
    <t>46.5725, 18.854167</t>
  </si>
  <si>
    <t>Partially spent fuel rods undergoing cleaning in a tank of heavy water ruptured and spilled fuel pellets</t>
  </si>
  <si>
    <t>Tokaimura</t>
  </si>
  <si>
    <t>36.4667,  140.5667</t>
  </si>
  <si>
    <t>Fatal overexposures of workers following a criticality event at a nuclear facility</t>
  </si>
  <si>
    <t>Yanangio</t>
  </si>
  <si>
    <t>Peru</t>
  </si>
  <si>
    <t>Latitude -11.2156 Longitude -75.4853</t>
  </si>
  <si>
    <t>Incident with radiography source resulting in severe radiation burns</t>
  </si>
  <si>
    <t>Ikitelli</t>
  </si>
  <si>
    <t>Turkey</t>
  </si>
  <si>
    <t>41.0792, 28.7825</t>
  </si>
  <si>
    <t>Loss of a highly radioactive Co-60 source</t>
  </si>
  <si>
    <t>Ishikawa</t>
  </si>
  <si>
    <t>37.061111, 136.726389</t>
  </si>
  <si>
    <t>Control rod malfunction</t>
  </si>
  <si>
    <t>Tomsk</t>
  </si>
  <si>
    <t>Russia</t>
  </si>
  <si>
    <t>56.5, 84.966667</t>
  </si>
  <si>
    <t>Pressure buildup led to an explosive mechanical failure</t>
  </si>
  <si>
    <t>Cadarache</t>
  </si>
  <si>
    <t>France</t>
  </si>
  <si>
    <t>Cadarache, France</t>
  </si>
  <si>
    <t>Spread of contamination to an area not expected by design</t>
  </si>
  <si>
    <t>Vandellos</t>
  </si>
  <si>
    <t>Spain</t>
  </si>
  <si>
    <t>40.951389, 0.866667</t>
  </si>
  <si>
    <t>Near accident caused by fire resulting in loss of safety systems at the nuclear power station</t>
  </si>
  <si>
    <t>Greifswald</t>
  </si>
  <si>
    <t>Germany</t>
  </si>
  <si>
    <t>54.140586, 13.664422</t>
  </si>
  <si>
    <t>Excessive heating which damaged ten fuel rods</t>
  </si>
  <si>
    <t>Chernobyl</t>
  </si>
  <si>
    <t>Ukraine (USSR)</t>
  </si>
  <si>
    <t>51.389553, 30.099147</t>
  </si>
  <si>
    <t>Widespread health and environmental effects. External release of a significant fraction of reactor core inventory</t>
  </si>
  <si>
    <t>Hamm-Uentrop</t>
  </si>
  <si>
    <t>51.679167, 7.971667</t>
  </si>
  <si>
    <t>Spherical fuel pebble became lodged in the pipe used to deliver fuel elements to the reactor</t>
  </si>
  <si>
    <t>Tsuraga</t>
  </si>
  <si>
    <t>35.672778, 136.0775</t>
  </si>
  <si>
    <t>More than 100 workers were exposed to doses of up to 155 millirem per day radiation</t>
  </si>
  <si>
    <t>Saint Laurent des Eaux</t>
  </si>
  <si>
    <t>Saint Laurent des Eaux, France</t>
  </si>
  <si>
    <t>Melting of one channel of fuel in the reactor with no release outside the site</t>
  </si>
  <si>
    <t>Three Mile Island</t>
  </si>
  <si>
    <t>40.153889, -76.724722</t>
  </si>
  <si>
    <t>Severe damage to the reactor core</t>
  </si>
  <si>
    <t>Jaslovské Bohunice</t>
  </si>
  <si>
    <t>Czechoslovakia</t>
  </si>
  <si>
    <t>48.476111, 17.65</t>
  </si>
  <si>
    <t>Damaged fuel integrity, extensive corrosion damage of fuel cladding and release of radioactivity</t>
  </si>
  <si>
    <t>Lucens</t>
  </si>
  <si>
    <t>Switzerland</t>
  </si>
  <si>
    <t>Total loss of coolant led to a power excursion and explosion of experimental reactor</t>
  </si>
  <si>
    <t>Chapelcross</t>
  </si>
  <si>
    <t>55.01566, -3.22605</t>
  </si>
  <si>
    <t>Graphite debris partially blocked a fuel channel causing a fuel element to melt and catch fire</t>
  </si>
  <si>
    <t>Monroe</t>
  </si>
  <si>
    <t>41.889167, -83.345556</t>
  </si>
  <si>
    <t>Sodium cooling system malfunction</t>
  </si>
  <si>
    <t>Charlestown</t>
  </si>
  <si>
    <t> Lat: 41.44N, Lon: 71.69W</t>
  </si>
  <si>
    <t>Error by a worker at a United Nuclear Corporation fuel facility led to an accidental criticality</t>
  </si>
  <si>
    <t>Santa Susana Field Laboratory</t>
  </si>
  <si>
    <t>Santa Susana Field Laboratory, California</t>
  </si>
  <si>
    <t>Partial core meltdown</t>
  </si>
  <si>
    <t>Chalk River</t>
  </si>
  <si>
    <t>Canada</t>
  </si>
  <si>
    <t>Chalk River Nuclear Labs Chalk River, Ontario Canada K0J 1J0</t>
  </si>
  <si>
    <t>Due to inadequate cooling a damaged uranium fuel rod caught fire and was torn in two</t>
  </si>
  <si>
    <t>Vinča</t>
  </si>
  <si>
    <t>Yugoslavia</t>
  </si>
  <si>
    <t>Vinča belgrade serbia</t>
  </si>
  <si>
    <t>During a subcritical counting experiment a power buildup went undetected - six scientists received high doses</t>
  </si>
  <si>
    <t>Kyshtym</t>
  </si>
  <si>
    <t>Mayak, Russia</t>
  </si>
  <si>
    <t>Significant release of radioactive material
to the environment from explosion of a high activity waste tank.</t>
  </si>
  <si>
    <t>Windscale Pile</t>
  </si>
  <si>
    <t>Sellafield, Cumbria UK</t>
  </si>
  <si>
    <t>Release of radioactive material to the environment following a fire in a reactor core</t>
  </si>
  <si>
    <t>A reactor shutoff rod failure, combined with several operator errors, led to a major power excursion of more than double the reactor's rated output at AECL's NRX reactor</t>
  </si>
  <si>
    <t>year</t>
  </si>
  <si>
    <t>#accidents</t>
  </si>
  <si>
    <t>r</t>
  </si>
  <si>
    <t>alpha</t>
  </si>
  <si>
    <t>P(X=x)</t>
  </si>
  <si>
    <t>LL</t>
  </si>
  <si>
    <t>sumLL</t>
  </si>
  <si>
    <t>mean=r/alpha</t>
  </si>
  <si>
    <t>lamda</t>
  </si>
  <si>
    <t>spike @0</t>
  </si>
  <si>
    <t>w. spike</t>
  </si>
  <si>
    <t>variance</t>
  </si>
  <si>
    <t>(r/alpha) + (r/alpha^2)</t>
  </si>
  <si>
    <t>"=mean</t>
  </si>
  <si>
    <t>"=variance</t>
  </si>
  <si>
    <t>freq</t>
  </si>
  <si>
    <t>ChiSquare Test</t>
  </si>
  <si>
    <t>obs freq</t>
  </si>
  <si>
    <t>exp freq</t>
  </si>
  <si>
    <t>chiSq</t>
  </si>
  <si>
    <t>sum:</t>
  </si>
  <si>
    <t>df:</t>
  </si>
  <si>
    <t>p-value:</t>
  </si>
  <si>
    <t>exp</t>
  </si>
  <si>
    <t>Test Statistics</t>
  </si>
  <si>
    <t>Chi Sq Test:</t>
  </si>
  <si>
    <t>spike@0</t>
  </si>
  <si>
    <t>lambda</t>
  </si>
  <si>
    <t>w spike</t>
  </si>
  <si>
    <t>Fatalities</t>
  </si>
  <si>
    <t>incidents</t>
  </si>
  <si>
    <t>accidents</t>
  </si>
  <si>
    <t>Accidents</t>
  </si>
  <si>
    <t>Death Toll</t>
  </si>
  <si>
    <t>http://world-nuclear.org/information-library/safety-and-security/safety-of-plants/tokaimura-criticality-accident.aspx</t>
  </si>
  <si>
    <t>http://www.nuclearfaq.ca/cnf_sectionD.htm#x</t>
  </si>
  <si>
    <t>http://www.unscear.org/unscear/en/fukushima.html</t>
  </si>
  <si>
    <t>http://www.ans.org/pi/resources/sptopics/tmi/faq.php</t>
  </si>
  <si>
    <t>"The study showed that there was no increased number of cancer deaths in the
progeny of exposed persons compared to the persons in the control group."</t>
  </si>
  <si>
    <t>http://www.mdpi.com/1660-4601/6/1/174</t>
  </si>
  <si>
    <t>Sources</t>
  </si>
  <si>
    <t>"The immediate significant health effect of the accident was the death toll (mostly due to high radiation exposure) among the workers at the plant itself. Of this group, 31 died either at shortly after the accident, and 19 died subsequently over the next two decades (some not attributable to the accident however)."</t>
  </si>
  <si>
    <t>"No one died as a result of the TMI-2 accident.  The accident caused concerns about the possibility of radiation-induced health effects, principally cancer, in the area surrounding the plant.  Because of those concerns, the Pennsylvania Department of Health maintained for 18 years a registry of more than 30,000 people who lived within five miles of Three Mile Island at the time of the accident.  The state's registry was discontinued in June 1997 without any evidence of unusual health trends."</t>
  </si>
  <si>
    <t>Armenia</t>
  </si>
  <si>
    <t>Brazil</t>
  </si>
  <si>
    <t>Bulgaria</t>
  </si>
  <si>
    <t>China</t>
  </si>
  <si>
    <t>Czech Republic</t>
  </si>
  <si>
    <t>Finland</t>
  </si>
  <si>
    <t>India</t>
  </si>
  <si>
    <t>Iran</t>
  </si>
  <si>
    <t>Korea, Republic</t>
  </si>
  <si>
    <t>Mexico</t>
  </si>
  <si>
    <t>Netherlands</t>
  </si>
  <si>
    <t>Pakistan</t>
  </si>
  <si>
    <t>Romania</t>
  </si>
  <si>
    <t>Russian Federation</t>
  </si>
  <si>
    <t>Slovakian Republic</t>
  </si>
  <si>
    <t>Slovenia</t>
  </si>
  <si>
    <t>South Africa</t>
  </si>
  <si>
    <t>Taiwan, China</t>
  </si>
  <si>
    <t>Ukraine</t>
  </si>
  <si>
    <t>United Kingdom</t>
  </si>
  <si>
    <t>USA</t>
  </si>
  <si>
    <t>Total</t>
  </si>
  <si>
    <t>Number of Plants In operation</t>
  </si>
  <si>
    <t>all others</t>
  </si>
  <si>
    <t>Number Plants</t>
  </si>
  <si>
    <t>Exp</t>
  </si>
  <si>
    <t>Obs</t>
  </si>
  <si>
    <t>x*n</t>
  </si>
  <si>
    <t>mean: sum/n:</t>
  </si>
  <si>
    <t>x-mean</t>
  </si>
  <si>
    <t>(x-mean)^2</t>
  </si>
  <si>
    <t>p(x)</t>
  </si>
  <si>
    <t>p(x)*(x-mean)^2</t>
  </si>
  <si>
    <t>variance:</t>
  </si>
  <si>
    <t>r = mean^2/(var-mean)</t>
  </si>
  <si>
    <t>alpha = mean/(var-mean)</t>
  </si>
  <si>
    <t xml:space="preserve">exp </t>
  </si>
  <si>
    <t>ChiSq</t>
  </si>
  <si>
    <t>sum</t>
  </si>
  <si>
    <t>df</t>
  </si>
  <si>
    <t>p</t>
  </si>
  <si>
    <t>P(0):</t>
  </si>
  <si>
    <t>model =</t>
  </si>
  <si>
    <t>diff^2</t>
  </si>
  <si>
    <t>p value</t>
  </si>
  <si>
    <t>https://www.euronuclear.org/info/encyclopedia/n/nuclear-power-plant-world-wide.htm</t>
  </si>
  <si>
    <t>source:</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</si>
</sst>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color rgb="FF000000"/>
      <name val="Arial"/>
    </font>
    <font>
      <b/>
      <sz val="10"/>
      <color rgb="FF000000"/>
      <name val="Verdana"/>
    </font>
    <font>
      <b/>
      <sz val="10"/>
      <color rgb="FFFF00FF"/>
      <name val="Verdana"/>
    </font>
    <font>
      <sz val="10"/>
      <color rgb="FF000000"/>
      <name val="Verdana"/>
    </font>
    <font>
      <b/>
      <sz val="10"/>
      <color rgb="FFFF0000"/>
      <name val="Verdana"/>
    </font>
    <font>
      <b/>
      <sz val="10"/>
      <color rgb="FFFF6600"/>
      <name val="Verdana"/>
    </font>
    <font>
      <b/>
      <sz val="10"/>
      <color rgb="FFFF9900"/>
      <name val="Verdana"/>
    </font>
    <font>
      <b/>
      <sz val="10"/>
      <color rgb="FFFFCC00"/>
      <name val="Verdana"/>
    </font>
    <font>
      <b/>
      <sz val="10"/>
      <color rgb="FF99CC00"/>
      <name val="Verdana"/>
    </font>
    <font>
      <b/>
      <sz val="10"/>
      <color rgb="FF008000"/>
      <name val="Verdana"/>
    </font>
    <font>
      <sz val="10"/>
      <color rgb="FFFF9900"/>
      <name val="Verdana"/>
    </font>
    <font>
      <sz val="10"/>
      <color rgb="FF99CC00"/>
      <name val="Verdana"/>
    </font>
    <font>
      <sz val="10"/>
      <color rgb="FFFFCC00"/>
      <name val="Verdana"/>
    </font>
    <font>
      <sz val="10"/>
      <color rgb="FFFF00FF"/>
      <name val="Verdana"/>
    </font>
    <font>
      <sz val="10"/>
      <color rgb="FFFF6600"/>
      <name val="Verdana"/>
    </font>
    <font>
      <sz val="10"/>
      <name val="Verdana"/>
    </font>
    <font>
      <sz val="8"/>
      <color rgb="FF000000"/>
      <name val="Verdana"/>
    </font>
    <font>
      <sz val="10"/>
      <color rgb="FFFF0000"/>
      <name val="Verdana"/>
    </font>
    <font>
      <u/>
      <sz val="10"/>
      <color theme="10"/>
      <name val="Arial"/>
    </font>
    <font>
      <u/>
      <sz val="10"/>
      <color theme="11"/>
      <name val="Arial"/>
    </font>
    <font>
      <b/>
      <sz val="10"/>
      <color rgb="FF000000"/>
      <name val="Arial"/>
    </font>
    <font>
      <b/>
      <sz val="14"/>
      <color rgb="FF000000"/>
      <name val="Arial"/>
    </font>
    <font>
      <sz val="14"/>
      <color rgb="FF000000"/>
      <name val="Arial"/>
    </font>
    <font>
      <sz val="12"/>
      <color rgb="FF000000"/>
      <name val="Arial"/>
    </font>
    <font>
      <b/>
      <sz val="12"/>
      <color rgb="FF000000"/>
      <name val="Arial"/>
    </font>
    <font>
      <b/>
      <sz val="12"/>
      <color rgb="FFFF9900"/>
      <name val="Verdana"/>
    </font>
    <font>
      <sz val="12"/>
      <color rgb="FFFF9900"/>
      <name val="Verdana"/>
    </font>
    <font>
      <sz val="12"/>
      <color rgb="FFFF00FF"/>
      <name val="Verdana"/>
    </font>
    <font>
      <b/>
      <sz val="12"/>
      <color rgb="FFFF6600"/>
      <name val="Verdana"/>
    </font>
    <font>
      <sz val="12"/>
      <color rgb="FFFF0000"/>
      <name val="Verdana"/>
    </font>
    <font>
      <sz val="12"/>
      <color rgb="FFFF6600"/>
      <name val="Verdana"/>
    </font>
    <font>
      <u/>
      <sz val="12"/>
      <color theme="10"/>
      <name val="Arial"/>
    </font>
    <font>
      <sz val="12"/>
      <color rgb="FF333333"/>
      <name val="Verdana"/>
    </font>
    <font>
      <b/>
      <sz val="12"/>
      <color rgb="FF333333"/>
      <name val="Verdana"/>
    </font>
    <font>
      <b/>
      <sz val="12"/>
      <color rgb="FF999999"/>
      <name val="Verdana"/>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10">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77">
    <xf numFmtId="0" fontId="0"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 fillId="0" borderId="0" xfId="0" applyFont="1" applyAlignment="1"/>
    <xf numFmtId="0" fontId="6" fillId="0" borderId="0" xfId="0" applyFont="1" applyAlignment="1"/>
    <xf numFmtId="0" fontId="5" fillId="0" borderId="0" xfId="0" applyFont="1" applyAlignment="1"/>
    <xf numFmtId="0" fontId="3" fillId="0" borderId="0" xfId="0" applyFont="1" applyAlignment="1"/>
    <xf numFmtId="0" fontId="10" fillId="0" borderId="0" xfId="0" applyFont="1" applyAlignment="1"/>
    <xf numFmtId="0" fontId="11" fillId="0" borderId="0" xfId="0" applyFont="1" applyAlignment="1"/>
    <xf numFmtId="0" fontId="8" fillId="0" borderId="0" xfId="0" applyFont="1" applyAlignment="1"/>
    <xf numFmtId="0" fontId="12" fillId="0" borderId="0" xfId="0" applyFont="1" applyAlignment="1"/>
    <xf numFmtId="0" fontId="7" fillId="0" borderId="0" xfId="0" applyFont="1" applyAlignment="1"/>
    <xf numFmtId="0" fontId="13" fillId="0" borderId="0" xfId="0" applyFont="1" applyAlignment="1"/>
    <xf numFmtId="0" fontId="2" fillId="0" borderId="0" xfId="0" applyFont="1" applyAlignment="1"/>
    <xf numFmtId="0" fontId="14" fillId="0" borderId="0" xfId="0" applyFont="1" applyAlignment="1"/>
    <xf numFmtId="0" fontId="15" fillId="0" borderId="0" xfId="0" applyFont="1" applyAlignment="1"/>
    <xf numFmtId="0" fontId="16" fillId="0" borderId="0" xfId="0" applyFont="1" applyAlignment="1"/>
    <xf numFmtId="0" fontId="17" fillId="0" borderId="0" xfId="0" applyFont="1" applyAlignment="1"/>
    <xf numFmtId="0" fontId="4" fillId="0" borderId="0" xfId="0" applyFont="1" applyAlignment="1"/>
    <xf numFmtId="0" fontId="20" fillId="0" borderId="2" xfId="0" applyFont="1" applyBorder="1" applyAlignment="1">
      <alignment wrapText="1"/>
    </xf>
    <xf numFmtId="0" fontId="0" fillId="0" borderId="3" xfId="0" applyFont="1" applyBorder="1" applyAlignment="1">
      <alignment wrapText="1"/>
    </xf>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wrapText="1"/>
    </xf>
    <xf numFmtId="0" fontId="0" fillId="0" borderId="6" xfId="0" applyFont="1" applyBorder="1" applyAlignment="1">
      <alignment wrapText="1"/>
    </xf>
    <xf numFmtId="0" fontId="20" fillId="0" borderId="0" xfId="0" applyFont="1" applyBorder="1" applyAlignment="1">
      <alignment wrapText="1"/>
    </xf>
    <xf numFmtId="0" fontId="0" fillId="0" borderId="7" xfId="0" applyFont="1" applyBorder="1" applyAlignment="1">
      <alignment wrapText="1"/>
    </xf>
    <xf numFmtId="0" fontId="0" fillId="0" borderId="8" xfId="0" applyFont="1" applyBorder="1" applyAlignment="1">
      <alignment wrapText="1"/>
    </xf>
    <xf numFmtId="0" fontId="0" fillId="0" borderId="9" xfId="0" applyFont="1" applyBorder="1" applyAlignment="1">
      <alignment wrapText="1"/>
    </xf>
    <xf numFmtId="0" fontId="20" fillId="0" borderId="1" xfId="0" applyFont="1" applyBorder="1" applyAlignment="1">
      <alignment wrapText="1"/>
    </xf>
    <xf numFmtId="0" fontId="21" fillId="0" borderId="1" xfId="0" applyFont="1" applyBorder="1" applyAlignment="1">
      <alignment wrapText="1"/>
    </xf>
    <xf numFmtId="0" fontId="22" fillId="0" borderId="3" xfId="0" applyFont="1" applyBorder="1" applyAlignment="1">
      <alignment wrapText="1"/>
    </xf>
    <xf numFmtId="0" fontId="22" fillId="0" borderId="4" xfId="0" applyFont="1" applyBorder="1" applyAlignment="1">
      <alignment wrapText="1"/>
    </xf>
    <xf numFmtId="0" fontId="22" fillId="0" borderId="5" xfId="0" applyFont="1" applyBorder="1" applyAlignment="1">
      <alignment wrapText="1"/>
    </xf>
    <xf numFmtId="0" fontId="22" fillId="0" borderId="0" xfId="0" applyFont="1" applyBorder="1" applyAlignment="1">
      <alignment wrapText="1"/>
    </xf>
    <xf numFmtId="0" fontId="22" fillId="0" borderId="6" xfId="0" applyFont="1" applyBorder="1" applyAlignment="1">
      <alignment wrapText="1"/>
    </xf>
    <xf numFmtId="0" fontId="21" fillId="0" borderId="0" xfId="0" applyFont="1" applyBorder="1" applyAlignment="1">
      <alignment wrapText="1"/>
    </xf>
    <xf numFmtId="0" fontId="21" fillId="0" borderId="2" xfId="0" applyFont="1" applyBorder="1" applyAlignment="1">
      <alignment wrapText="1"/>
    </xf>
    <xf numFmtId="0" fontId="22" fillId="0" borderId="7" xfId="0" applyFont="1" applyBorder="1" applyAlignment="1">
      <alignment wrapText="1"/>
    </xf>
    <xf numFmtId="0" fontId="22" fillId="0" borderId="8" xfId="0" applyFont="1" applyBorder="1" applyAlignment="1">
      <alignment wrapText="1"/>
    </xf>
    <xf numFmtId="0" fontId="22" fillId="0" borderId="9" xfId="0" applyFont="1" applyBorder="1" applyAlignment="1">
      <alignment wrapText="1"/>
    </xf>
    <xf numFmtId="0" fontId="22" fillId="0" borderId="0" xfId="0" applyFont="1" applyAlignment="1">
      <alignment wrapText="1"/>
    </xf>
    <xf numFmtId="0" fontId="24" fillId="0" borderId="2" xfId="0" applyFont="1" applyBorder="1" applyAlignment="1">
      <alignment wrapText="1"/>
    </xf>
    <xf numFmtId="0" fontId="24" fillId="0" borderId="3" xfId="0" applyFont="1" applyBorder="1" applyAlignment="1">
      <alignment wrapText="1"/>
    </xf>
    <xf numFmtId="0" fontId="23" fillId="0" borderId="4" xfId="0" applyFont="1" applyBorder="1" applyAlignment="1">
      <alignment wrapText="1"/>
    </xf>
    <xf numFmtId="0" fontId="25" fillId="0" borderId="5" xfId="0" applyFont="1" applyBorder="1" applyAlignment="1"/>
    <xf numFmtId="0" fontId="23" fillId="0" borderId="0" xfId="0" applyFont="1" applyBorder="1" applyAlignment="1">
      <alignment wrapText="1"/>
    </xf>
    <xf numFmtId="0" fontId="23" fillId="0" borderId="6" xfId="0" applyFont="1" applyBorder="1" applyAlignment="1">
      <alignment wrapText="1"/>
    </xf>
    <xf numFmtId="0" fontId="26" fillId="0" borderId="5" xfId="0" applyFont="1" applyBorder="1" applyAlignment="1"/>
    <xf numFmtId="0" fontId="27" fillId="0" borderId="5" xfId="0" applyFont="1" applyBorder="1" applyAlignment="1"/>
    <xf numFmtId="0" fontId="28" fillId="0" borderId="5" xfId="0" applyFont="1" applyBorder="1" applyAlignment="1"/>
    <xf numFmtId="0" fontId="24" fillId="0" borderId="0" xfId="0" applyFont="1" applyBorder="1" applyAlignment="1">
      <alignment wrapText="1"/>
    </xf>
    <xf numFmtId="0" fontId="29" fillId="0" borderId="5" xfId="0" applyFont="1" applyBorder="1" applyAlignment="1"/>
    <xf numFmtId="0" fontId="30" fillId="0" borderId="5" xfId="0" applyFont="1" applyBorder="1" applyAlignment="1"/>
    <xf numFmtId="0" fontId="30" fillId="0" borderId="7" xfId="0" applyFont="1" applyBorder="1" applyAlignment="1"/>
    <xf numFmtId="0" fontId="23" fillId="0" borderId="8" xfId="0" applyFont="1" applyBorder="1" applyAlignment="1">
      <alignment wrapText="1"/>
    </xf>
    <xf numFmtId="0" fontId="31" fillId="0" borderId="8" xfId="99" applyFont="1" applyBorder="1" applyAlignment="1">
      <alignment wrapText="1"/>
    </xf>
    <xf numFmtId="0" fontId="23" fillId="0" borderId="9" xfId="0" applyFont="1" applyBorder="1" applyAlignment="1">
      <alignment wrapText="1"/>
    </xf>
    <xf numFmtId="0" fontId="24" fillId="0" borderId="4" xfId="0" applyFont="1" applyBorder="1" applyAlignment="1">
      <alignment wrapText="1"/>
    </xf>
    <xf numFmtId="0" fontId="24" fillId="0" borderId="6" xfId="0" applyFont="1" applyBorder="1" applyAlignment="1">
      <alignment wrapText="1"/>
    </xf>
    <xf numFmtId="0" fontId="23" fillId="0" borderId="3" xfId="0" applyFont="1" applyBorder="1" applyAlignment="1">
      <alignment wrapText="1"/>
    </xf>
    <xf numFmtId="0" fontId="24" fillId="0" borderId="7" xfId="0" applyFont="1" applyBorder="1" applyAlignment="1">
      <alignment wrapText="1"/>
    </xf>
    <xf numFmtId="0" fontId="24" fillId="0" borderId="5" xfId="0" applyFont="1" applyBorder="1" applyAlignment="1">
      <alignment wrapText="1"/>
    </xf>
    <xf numFmtId="0" fontId="23" fillId="0" borderId="5" xfId="0" applyFont="1" applyBorder="1" applyAlignment="1">
      <alignment wrapText="1"/>
    </xf>
    <xf numFmtId="0" fontId="23" fillId="0" borderId="7" xfId="0" applyFont="1" applyBorder="1" applyAlignment="1">
      <alignment wrapText="1"/>
    </xf>
    <xf numFmtId="0" fontId="33" fillId="0" borderId="0" xfId="0" applyFont="1" applyAlignment="1">
      <alignment wrapText="1"/>
    </xf>
    <xf numFmtId="0" fontId="32" fillId="0" borderId="0" xfId="0" applyFont="1" applyAlignment="1">
      <alignment wrapText="1"/>
    </xf>
    <xf numFmtId="0" fontId="33" fillId="0" borderId="0" xfId="0" applyFont="1" applyAlignment="1">
      <alignment wrapText="1"/>
    </xf>
    <xf numFmtId="0" fontId="34" fillId="0" borderId="0" xfId="0" applyFont="1" applyAlignment="1">
      <alignment wrapText="1"/>
    </xf>
    <xf numFmtId="0" fontId="0" fillId="0" borderId="0" xfId="0"/>
  </cellXfs>
  <cellStyles count="11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v>Observed</c:v>
          </c:tx>
          <c:marker>
            <c:symbol val="none"/>
          </c:marker>
          <c:cat>
            <c:numRef>
              <c:f>'Poisson Model minus severity 1'!$I$5:$I$9</c:f>
              <c:numCache>
                <c:formatCode>General</c:formatCode>
                <c:ptCount val="5"/>
                <c:pt idx="0">
                  <c:v>0.0</c:v>
                </c:pt>
                <c:pt idx="1">
                  <c:v>1.0</c:v>
                </c:pt>
                <c:pt idx="2">
                  <c:v>2.0</c:v>
                </c:pt>
                <c:pt idx="3">
                  <c:v>3.0</c:v>
                </c:pt>
                <c:pt idx="4">
                  <c:v>4.0</c:v>
                </c:pt>
              </c:numCache>
            </c:numRef>
          </c:cat>
          <c:val>
            <c:numRef>
              <c:f>'Poisson Model minus severity 1'!$J$5:$J$9</c:f>
              <c:numCache>
                <c:formatCode>General</c:formatCode>
                <c:ptCount val="5"/>
                <c:pt idx="0">
                  <c:v>46.0</c:v>
                </c:pt>
                <c:pt idx="1">
                  <c:v>11.0</c:v>
                </c:pt>
                <c:pt idx="2">
                  <c:v>6.0</c:v>
                </c:pt>
                <c:pt idx="3">
                  <c:v>2.0</c:v>
                </c:pt>
                <c:pt idx="4">
                  <c:v>1.0</c:v>
                </c:pt>
              </c:numCache>
            </c:numRef>
          </c:val>
          <c:smooth val="0"/>
        </c:ser>
        <c:ser>
          <c:idx val="1"/>
          <c:order val="1"/>
          <c:tx>
            <c:v>Expected</c:v>
          </c:tx>
          <c:marker>
            <c:symbol val="none"/>
          </c:marker>
          <c:cat>
            <c:numRef>
              <c:f>'Poisson Model minus severity 1'!$I$5:$I$9</c:f>
              <c:numCache>
                <c:formatCode>General</c:formatCode>
                <c:ptCount val="5"/>
                <c:pt idx="0">
                  <c:v>0.0</c:v>
                </c:pt>
                <c:pt idx="1">
                  <c:v>1.0</c:v>
                </c:pt>
                <c:pt idx="2">
                  <c:v>2.0</c:v>
                </c:pt>
                <c:pt idx="3">
                  <c:v>3.0</c:v>
                </c:pt>
                <c:pt idx="4">
                  <c:v>4.0</c:v>
                </c:pt>
              </c:numCache>
            </c:numRef>
          </c:cat>
          <c:val>
            <c:numRef>
              <c:f>'Poisson Model minus severity 1'!$K$5:$K$9</c:f>
              <c:numCache>
                <c:formatCode>General</c:formatCode>
                <c:ptCount val="5"/>
                <c:pt idx="0">
                  <c:v>47.29106639505667</c:v>
                </c:pt>
                <c:pt idx="1">
                  <c:v>15.76368890116565</c:v>
                </c:pt>
                <c:pt idx="2">
                  <c:v>2.627281500663178</c:v>
                </c:pt>
                <c:pt idx="3">
                  <c:v>2.627281500663178</c:v>
                </c:pt>
                <c:pt idx="4">
                  <c:v>0.0243266808790215</c:v>
                </c:pt>
              </c:numCache>
            </c:numRef>
          </c:val>
          <c:smooth val="0"/>
        </c:ser>
        <c:dLbls>
          <c:showLegendKey val="0"/>
          <c:showVal val="0"/>
          <c:showCatName val="0"/>
          <c:showSerName val="0"/>
          <c:showPercent val="0"/>
          <c:showBubbleSize val="0"/>
        </c:dLbls>
        <c:marker val="1"/>
        <c:smooth val="0"/>
        <c:axId val="2117586696"/>
        <c:axId val="2117593848"/>
      </c:lineChart>
      <c:catAx>
        <c:axId val="2117586696"/>
        <c:scaling>
          <c:orientation val="minMax"/>
        </c:scaling>
        <c:delete val="0"/>
        <c:axPos val="b"/>
        <c:majorGridlines/>
        <c:title>
          <c:tx>
            <c:rich>
              <a:bodyPr/>
              <a:lstStyle/>
              <a:p>
                <a:pPr>
                  <a:defRPr/>
                </a:pPr>
                <a:r>
                  <a:rPr lang="en-US"/>
                  <a:t>(In</a:t>
                </a:r>
                <a:r>
                  <a:rPr lang="en-US" baseline="0"/>
                  <a:t> each given year) Number of Accidents that Occured</a:t>
                </a:r>
                <a:endParaRPr lang="en-US"/>
              </a:p>
            </c:rich>
          </c:tx>
          <c:layout/>
          <c:overlay val="0"/>
        </c:title>
        <c:numFmt formatCode="General" sourceLinked="1"/>
        <c:majorTickMark val="out"/>
        <c:minorTickMark val="none"/>
        <c:tickLblPos val="nextTo"/>
        <c:crossAx val="2117593848"/>
        <c:crosses val="autoZero"/>
        <c:auto val="1"/>
        <c:lblAlgn val="ctr"/>
        <c:lblOffset val="100"/>
        <c:noMultiLvlLbl val="0"/>
      </c:catAx>
      <c:valAx>
        <c:axId val="2117593848"/>
        <c:scaling>
          <c:orientation val="minMax"/>
        </c:scaling>
        <c:delete val="0"/>
        <c:axPos val="l"/>
        <c:majorGridlines/>
        <c:title>
          <c:tx>
            <c:rich>
              <a:bodyPr rot="-5400000" vert="horz"/>
              <a:lstStyle/>
              <a:p>
                <a:pPr>
                  <a:defRPr/>
                </a:pPr>
                <a:r>
                  <a:rPr lang="en-US"/>
                  <a:t>Number</a:t>
                </a:r>
                <a:r>
                  <a:rPr lang="en-US" baseline="0"/>
                  <a:t> of Years (1950-2015)</a:t>
                </a:r>
              </a:p>
            </c:rich>
          </c:tx>
          <c:layout/>
          <c:overlay val="0"/>
        </c:title>
        <c:numFmt formatCode="General" sourceLinked="1"/>
        <c:majorTickMark val="out"/>
        <c:minorTickMark val="none"/>
        <c:tickLblPos val="nextTo"/>
        <c:crossAx val="211758669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1"/>
          <c:order val="0"/>
          <c:tx>
            <c:strRef>
              <c:f>'NBD Model 1st 33 year (not used'!$I$4</c:f>
              <c:strCache>
                <c:ptCount val="1"/>
                <c:pt idx="0">
                  <c:v>obs freq</c:v>
                </c:pt>
              </c:strCache>
            </c:strRef>
          </c:tx>
          <c:marker>
            <c:symbol val="none"/>
          </c:marker>
          <c:cat>
            <c:numRef>
              <c:f>'NBD Model 1st 33 year (not used'!$H$5:$H$9</c:f>
              <c:numCache>
                <c:formatCode>General</c:formatCode>
                <c:ptCount val="5"/>
                <c:pt idx="0">
                  <c:v>0.0</c:v>
                </c:pt>
                <c:pt idx="1">
                  <c:v>1.0</c:v>
                </c:pt>
                <c:pt idx="2">
                  <c:v>2.0</c:v>
                </c:pt>
                <c:pt idx="3">
                  <c:v>3.0</c:v>
                </c:pt>
                <c:pt idx="4">
                  <c:v>4.0</c:v>
                </c:pt>
              </c:numCache>
            </c:numRef>
          </c:cat>
          <c:val>
            <c:numRef>
              <c:f>'NBD Model 1st 33 year (not used'!$I$5:$I$9</c:f>
              <c:numCache>
                <c:formatCode>General</c:formatCode>
                <c:ptCount val="5"/>
                <c:pt idx="0">
                  <c:v>46.0</c:v>
                </c:pt>
                <c:pt idx="1">
                  <c:v>11.0</c:v>
                </c:pt>
                <c:pt idx="2">
                  <c:v>6.0</c:v>
                </c:pt>
                <c:pt idx="3">
                  <c:v>0.0</c:v>
                </c:pt>
                <c:pt idx="4">
                  <c:v>0.0</c:v>
                </c:pt>
              </c:numCache>
            </c:numRef>
          </c:val>
          <c:smooth val="0"/>
        </c:ser>
        <c:ser>
          <c:idx val="2"/>
          <c:order val="1"/>
          <c:tx>
            <c:strRef>
              <c:f>'NBD Model 1st 33 year (not used'!$J$4</c:f>
              <c:strCache>
                <c:ptCount val="1"/>
                <c:pt idx="0">
                  <c:v>exp freq</c:v>
                </c:pt>
              </c:strCache>
            </c:strRef>
          </c:tx>
          <c:marker>
            <c:symbol val="none"/>
          </c:marker>
          <c:cat>
            <c:numRef>
              <c:f>'NBD Model 1st 33 year (not used'!$H$5:$H$9</c:f>
              <c:numCache>
                <c:formatCode>General</c:formatCode>
                <c:ptCount val="5"/>
                <c:pt idx="0">
                  <c:v>0.0</c:v>
                </c:pt>
                <c:pt idx="1">
                  <c:v>1.0</c:v>
                </c:pt>
                <c:pt idx="2">
                  <c:v>2.0</c:v>
                </c:pt>
                <c:pt idx="3">
                  <c:v>3.0</c:v>
                </c:pt>
                <c:pt idx="4">
                  <c:v>4.0</c:v>
                </c:pt>
              </c:numCache>
            </c:numRef>
          </c:cat>
          <c:val>
            <c:numRef>
              <c:f>'NBD Model 1st 33 year (not used'!$J$5:$J$9</c:f>
              <c:numCache>
                <c:formatCode>General</c:formatCode>
                <c:ptCount val="5"/>
                <c:pt idx="0">
                  <c:v>21.57987033753234</c:v>
                </c:pt>
                <c:pt idx="1">
                  <c:v>9.165560915266546</c:v>
                </c:pt>
                <c:pt idx="2">
                  <c:v>1.946847983447224</c:v>
                </c:pt>
                <c:pt idx="3">
                  <c:v>0.275744290156695</c:v>
                </c:pt>
                <c:pt idx="4">
                  <c:v>0.0292978000422862</c:v>
                </c:pt>
              </c:numCache>
            </c:numRef>
          </c:val>
          <c:smooth val="0"/>
        </c:ser>
        <c:dLbls>
          <c:showLegendKey val="0"/>
          <c:showVal val="0"/>
          <c:showCatName val="0"/>
          <c:showSerName val="0"/>
          <c:showPercent val="0"/>
          <c:showBubbleSize val="0"/>
        </c:dLbls>
        <c:marker val="1"/>
        <c:smooth val="0"/>
        <c:axId val="2117143800"/>
        <c:axId val="2117137736"/>
      </c:lineChart>
      <c:catAx>
        <c:axId val="2117143800"/>
        <c:scaling>
          <c:orientation val="minMax"/>
        </c:scaling>
        <c:delete val="0"/>
        <c:axPos val="b"/>
        <c:majorGridlines/>
        <c:title>
          <c:tx>
            <c:rich>
              <a:bodyPr/>
              <a:lstStyle/>
              <a:p>
                <a:pPr>
                  <a:defRPr/>
                </a:pPr>
                <a:r>
                  <a:rPr lang="en-US"/>
                  <a:t>(In each</a:t>
                </a:r>
                <a:r>
                  <a:rPr lang="en-US" baseline="0"/>
                  <a:t> given year</a:t>
                </a:r>
                <a:r>
                  <a:rPr lang="en-US"/>
                  <a:t>)</a:t>
                </a:r>
                <a:r>
                  <a:rPr lang="en-US" baseline="0"/>
                  <a:t> The Number of Accidents that Occured</a:t>
                </a:r>
                <a:endParaRPr lang="en-US"/>
              </a:p>
            </c:rich>
          </c:tx>
          <c:layout/>
          <c:overlay val="0"/>
        </c:title>
        <c:numFmt formatCode="General" sourceLinked="1"/>
        <c:majorTickMark val="out"/>
        <c:minorTickMark val="none"/>
        <c:tickLblPos val="nextTo"/>
        <c:crossAx val="2117137736"/>
        <c:crosses val="autoZero"/>
        <c:auto val="1"/>
        <c:lblAlgn val="ctr"/>
        <c:lblOffset val="100"/>
        <c:noMultiLvlLbl val="0"/>
      </c:catAx>
      <c:valAx>
        <c:axId val="2117137736"/>
        <c:scaling>
          <c:orientation val="minMax"/>
        </c:scaling>
        <c:delete val="0"/>
        <c:axPos val="l"/>
        <c:majorGridlines/>
        <c:title>
          <c:tx>
            <c:rich>
              <a:bodyPr rot="-5400000" vert="horz"/>
              <a:lstStyle/>
              <a:p>
                <a:pPr>
                  <a:defRPr/>
                </a:pPr>
                <a:r>
                  <a:rPr lang="en-US"/>
                  <a:t>Number of Years (1950-2015)</a:t>
                </a:r>
              </a:p>
            </c:rich>
          </c:tx>
          <c:layout/>
          <c:overlay val="0"/>
        </c:title>
        <c:numFmt formatCode="General" sourceLinked="1"/>
        <c:majorTickMark val="out"/>
        <c:minorTickMark val="none"/>
        <c:tickLblPos val="nextTo"/>
        <c:crossAx val="211714380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val>
            <c:numRef>
              <c:f>'NBD for Severity of Accident'!$I$7:$I$13</c:f>
              <c:numCache>
                <c:formatCode>General</c:formatCode>
                <c:ptCount val="7"/>
                <c:pt idx="0">
                  <c:v>12.0</c:v>
                </c:pt>
                <c:pt idx="1">
                  <c:v>5.0</c:v>
                </c:pt>
                <c:pt idx="2">
                  <c:v>5.0</c:v>
                </c:pt>
                <c:pt idx="3">
                  <c:v>5.0</c:v>
                </c:pt>
                <c:pt idx="4">
                  <c:v>4.0</c:v>
                </c:pt>
                <c:pt idx="5">
                  <c:v>1.0</c:v>
                </c:pt>
                <c:pt idx="6">
                  <c:v>1.0</c:v>
                </c:pt>
              </c:numCache>
            </c:numRef>
          </c:val>
        </c:ser>
        <c:dLbls>
          <c:showLegendKey val="0"/>
          <c:showVal val="0"/>
          <c:showCatName val="0"/>
          <c:showSerName val="0"/>
          <c:showPercent val="0"/>
          <c:showBubbleSize val="0"/>
        </c:dLbls>
        <c:gapWidth val="150"/>
        <c:axId val="2119911096"/>
        <c:axId val="2119916616"/>
      </c:barChart>
      <c:catAx>
        <c:axId val="2119911096"/>
        <c:scaling>
          <c:orientation val="minMax"/>
        </c:scaling>
        <c:delete val="0"/>
        <c:axPos val="b"/>
        <c:majorGridlines/>
        <c:title>
          <c:tx>
            <c:rich>
              <a:bodyPr/>
              <a:lstStyle/>
              <a:p>
                <a:pPr>
                  <a:defRPr/>
                </a:pPr>
                <a:r>
                  <a:rPr lang="en-US"/>
                  <a:t>Severity of Accident</a:t>
                </a:r>
              </a:p>
            </c:rich>
          </c:tx>
          <c:layout/>
          <c:overlay val="0"/>
        </c:title>
        <c:majorTickMark val="out"/>
        <c:minorTickMark val="none"/>
        <c:tickLblPos val="nextTo"/>
        <c:crossAx val="2119916616"/>
        <c:crosses val="autoZero"/>
        <c:auto val="1"/>
        <c:lblAlgn val="ctr"/>
        <c:lblOffset val="100"/>
        <c:noMultiLvlLbl val="0"/>
      </c:catAx>
      <c:valAx>
        <c:axId val="2119916616"/>
        <c:scaling>
          <c:orientation val="minMax"/>
        </c:scaling>
        <c:delete val="0"/>
        <c:axPos val="l"/>
        <c:majorGridlines/>
        <c:title>
          <c:tx>
            <c:rich>
              <a:bodyPr rot="-5400000" vert="horz"/>
              <a:lstStyle/>
              <a:p>
                <a:pPr>
                  <a:defRPr/>
                </a:pPr>
                <a:r>
                  <a:rPr lang="en-US"/>
                  <a:t>Number</a:t>
                </a:r>
                <a:r>
                  <a:rPr lang="en-US" baseline="0"/>
                  <a:t> of Accidents</a:t>
                </a:r>
                <a:endParaRPr lang="en-US"/>
              </a:p>
            </c:rich>
          </c:tx>
          <c:layout/>
          <c:overlay val="0"/>
        </c:title>
        <c:numFmt formatCode="General" sourceLinked="1"/>
        <c:majorTickMark val="out"/>
        <c:minorTickMark val="none"/>
        <c:tickLblPos val="nextTo"/>
        <c:crossAx val="2119911096"/>
        <c:crosses val="autoZero"/>
        <c:crossBetween val="between"/>
      </c:valAx>
    </c:plotArea>
    <c:plotVisOnly val="1"/>
    <c:dispBlanksAs val="gap"/>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'Power Plants by Country'!$H$9:$H$20</c:f>
              <c:numCache>
                <c:formatCode>General</c:formatCode>
                <c:ptCount val="12"/>
                <c:pt idx="0">
                  <c:v>157.780977341205</c:v>
                </c:pt>
                <c:pt idx="1">
                  <c:v>7.062961526661022</c:v>
                </c:pt>
                <c:pt idx="2">
                  <c:v>3.621967776932013</c:v>
                </c:pt>
                <c:pt idx="3">
                  <c:v>2.4224705568767</c:v>
                </c:pt>
                <c:pt idx="4">
                  <c:v>1.809185929813115</c:v>
                </c:pt>
                <c:pt idx="5">
                  <c:v>1.435841902448119</c:v>
                </c:pt>
                <c:pt idx="6">
                  <c:v>1.184344014928007</c:v>
                </c:pt>
                <c:pt idx="7">
                  <c:v>1.00329437622273</c:v>
                </c:pt>
                <c:pt idx="8">
                  <c:v>0.866692676247612</c:v>
                </c:pt>
                <c:pt idx="9">
                  <c:v>0.759957869142614</c:v>
                </c:pt>
                <c:pt idx="10">
                  <c:v>0.674272009041416</c:v>
                </c:pt>
                <c:pt idx="11">
                  <c:v>0.603985318243432</c:v>
                </c:pt>
              </c:numCache>
            </c:numRef>
          </c:val>
          <c:smooth val="0"/>
        </c:ser>
        <c:ser>
          <c:idx val="1"/>
          <c:order val="1"/>
          <c:marker>
            <c:symbol val="none"/>
          </c:marker>
          <c:val>
            <c:numRef>
              <c:f>'Power Plants by Country'!$I$9:$I$20</c:f>
              <c:numCache>
                <c:formatCode>General</c:formatCode>
                <c:ptCount val="12"/>
                <c:pt idx="0">
                  <c:v>158.0</c:v>
                </c:pt>
                <c:pt idx="1">
                  <c:v>3.0</c:v>
                </c:pt>
                <c:pt idx="2">
                  <c:v>5.0</c:v>
                </c:pt>
                <c:pt idx="3">
                  <c:v>2.0</c:v>
                </c:pt>
                <c:pt idx="4">
                  <c:v>2.0</c:v>
                </c:pt>
                <c:pt idx="5">
                  <c:v>1.0</c:v>
                </c:pt>
                <c:pt idx="6">
                  <c:v>2.0</c:v>
                </c:pt>
                <c:pt idx="7">
                  <c:v>2.0</c:v>
                </c:pt>
                <c:pt idx="8">
                  <c:v>1.0</c:v>
                </c:pt>
                <c:pt idx="9">
                  <c:v>0.0</c:v>
                </c:pt>
                <c:pt idx="10">
                  <c:v>1.0</c:v>
                </c:pt>
                <c:pt idx="11">
                  <c:v>0.0</c:v>
                </c:pt>
              </c:numCache>
            </c:numRef>
          </c:val>
          <c:smooth val="0"/>
        </c:ser>
        <c:dLbls>
          <c:showLegendKey val="0"/>
          <c:showVal val="0"/>
          <c:showCatName val="0"/>
          <c:showSerName val="0"/>
          <c:showPercent val="0"/>
          <c:showBubbleSize val="0"/>
        </c:dLbls>
        <c:marker val="1"/>
        <c:smooth val="0"/>
        <c:axId val="2147267688"/>
        <c:axId val="2147239192"/>
      </c:lineChart>
      <c:catAx>
        <c:axId val="2147267688"/>
        <c:scaling>
          <c:orientation val="minMax"/>
        </c:scaling>
        <c:delete val="0"/>
        <c:axPos val="b"/>
        <c:majorTickMark val="out"/>
        <c:minorTickMark val="none"/>
        <c:tickLblPos val="nextTo"/>
        <c:crossAx val="2147239192"/>
        <c:crosses val="autoZero"/>
        <c:auto val="1"/>
        <c:lblAlgn val="ctr"/>
        <c:lblOffset val="100"/>
        <c:noMultiLvlLbl val="0"/>
      </c:catAx>
      <c:valAx>
        <c:axId val="2147239192"/>
        <c:scaling>
          <c:orientation val="minMax"/>
        </c:scaling>
        <c:delete val="0"/>
        <c:axPos val="l"/>
        <c:majorGridlines/>
        <c:numFmt formatCode="General" sourceLinked="1"/>
        <c:majorTickMark val="out"/>
        <c:minorTickMark val="none"/>
        <c:tickLblPos val="nextTo"/>
        <c:crossAx val="214726768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Empirical</a:t>
            </a:r>
            <a:r>
              <a:rPr lang="en-US" baseline="0"/>
              <a:t> and Poisson Distributions of the Number of Nuclear Accidents in a Given Year</a:t>
            </a:r>
            <a:endParaRPr lang="en-US"/>
          </a:p>
        </c:rich>
      </c:tx>
      <c:layout>
        <c:manualLayout>
          <c:xMode val="edge"/>
          <c:yMode val="edge"/>
          <c:x val="0.0858822983212004"/>
          <c:y val="0.0"/>
        </c:manualLayout>
      </c:layout>
      <c:overlay val="0"/>
    </c:title>
    <c:autoTitleDeleted val="0"/>
    <c:plotArea>
      <c:layout/>
      <c:lineChart>
        <c:grouping val="standard"/>
        <c:varyColors val="0"/>
        <c:ser>
          <c:idx val="0"/>
          <c:order val="0"/>
          <c:tx>
            <c:v>Observed</c:v>
          </c:tx>
          <c:marker>
            <c:symbol val="none"/>
          </c:marker>
          <c:cat>
            <c:numRef>
              <c:f>'Poisson Model w spike'!$J$5:$J$9</c:f>
              <c:numCache>
                <c:formatCode>General</c:formatCode>
                <c:ptCount val="5"/>
                <c:pt idx="0">
                  <c:v>0.0</c:v>
                </c:pt>
                <c:pt idx="1">
                  <c:v>1.0</c:v>
                </c:pt>
                <c:pt idx="2">
                  <c:v>2.0</c:v>
                </c:pt>
                <c:pt idx="3">
                  <c:v>3.0</c:v>
                </c:pt>
                <c:pt idx="4">
                  <c:v>4.0</c:v>
                </c:pt>
              </c:numCache>
            </c:numRef>
          </c:cat>
          <c:val>
            <c:numRef>
              <c:f>'Poisson Model w spike'!$K$5:$K$9</c:f>
              <c:numCache>
                <c:formatCode>General</c:formatCode>
                <c:ptCount val="5"/>
                <c:pt idx="0">
                  <c:v>46.0</c:v>
                </c:pt>
                <c:pt idx="1">
                  <c:v>11.0</c:v>
                </c:pt>
                <c:pt idx="2">
                  <c:v>6.0</c:v>
                </c:pt>
                <c:pt idx="3">
                  <c:v>2.0</c:v>
                </c:pt>
                <c:pt idx="4">
                  <c:v>1.0</c:v>
                </c:pt>
              </c:numCache>
            </c:numRef>
          </c:val>
          <c:smooth val="0"/>
        </c:ser>
        <c:ser>
          <c:idx val="1"/>
          <c:order val="1"/>
          <c:tx>
            <c:v>Expected</c:v>
          </c:tx>
          <c:marker>
            <c:symbol val="none"/>
          </c:marker>
          <c:cat>
            <c:numRef>
              <c:f>'Poisson Model w spike'!$J$5:$J$9</c:f>
              <c:numCache>
                <c:formatCode>General</c:formatCode>
                <c:ptCount val="5"/>
                <c:pt idx="0">
                  <c:v>0.0</c:v>
                </c:pt>
                <c:pt idx="1">
                  <c:v>1.0</c:v>
                </c:pt>
                <c:pt idx="2">
                  <c:v>2.0</c:v>
                </c:pt>
                <c:pt idx="3">
                  <c:v>3.0</c:v>
                </c:pt>
                <c:pt idx="4">
                  <c:v>4.0</c:v>
                </c:pt>
              </c:numCache>
            </c:numRef>
          </c:cat>
          <c:val>
            <c:numRef>
              <c:f>'Poisson Model w spike'!$L$5:$L$9</c:f>
              <c:numCache>
                <c:formatCode>General</c:formatCode>
                <c:ptCount val="5"/>
                <c:pt idx="0">
                  <c:v>45.99996484417157</c:v>
                </c:pt>
                <c:pt idx="1">
                  <c:v>10.96620997137249</c:v>
                </c:pt>
                <c:pt idx="2">
                  <c:v>6.040686288236296</c:v>
                </c:pt>
                <c:pt idx="3">
                  <c:v>2.218322825488087</c:v>
                </c:pt>
                <c:pt idx="4">
                  <c:v>0.610976459040496</c:v>
                </c:pt>
              </c:numCache>
            </c:numRef>
          </c:val>
          <c:smooth val="0"/>
        </c:ser>
        <c:dLbls>
          <c:showLegendKey val="0"/>
          <c:showVal val="0"/>
          <c:showCatName val="0"/>
          <c:showSerName val="0"/>
          <c:showPercent val="0"/>
          <c:showBubbleSize val="0"/>
        </c:dLbls>
        <c:marker val="1"/>
        <c:smooth val="0"/>
        <c:axId val="2119634840"/>
        <c:axId val="2119637816"/>
      </c:lineChart>
      <c:catAx>
        <c:axId val="2119634840"/>
        <c:scaling>
          <c:orientation val="minMax"/>
        </c:scaling>
        <c:delete val="0"/>
        <c:axPos val="b"/>
        <c:majorGridlines/>
        <c:numFmt formatCode="General" sourceLinked="1"/>
        <c:majorTickMark val="out"/>
        <c:minorTickMark val="none"/>
        <c:tickLblPos val="nextTo"/>
        <c:crossAx val="2119637816"/>
        <c:crosses val="autoZero"/>
        <c:auto val="1"/>
        <c:lblAlgn val="ctr"/>
        <c:lblOffset val="100"/>
        <c:noMultiLvlLbl val="0"/>
      </c:catAx>
      <c:valAx>
        <c:axId val="2119637816"/>
        <c:scaling>
          <c:orientation val="minMax"/>
        </c:scaling>
        <c:delete val="0"/>
        <c:axPos val="l"/>
        <c:majorGridlines/>
        <c:numFmt formatCode="General" sourceLinked="1"/>
        <c:majorTickMark val="out"/>
        <c:minorTickMark val="none"/>
        <c:tickLblPos val="nextTo"/>
        <c:crossAx val="211963484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v>Observed</c:v>
          </c:tx>
          <c:marker>
            <c:symbol val="none"/>
          </c:marker>
          <c:cat>
            <c:numRef>
              <c:f>'Poisson Model'!$I$5:$I$9</c:f>
              <c:numCache>
                <c:formatCode>General</c:formatCode>
                <c:ptCount val="5"/>
                <c:pt idx="0">
                  <c:v>0.0</c:v>
                </c:pt>
                <c:pt idx="1">
                  <c:v>1.0</c:v>
                </c:pt>
                <c:pt idx="2">
                  <c:v>2.0</c:v>
                </c:pt>
                <c:pt idx="3">
                  <c:v>3.0</c:v>
                </c:pt>
                <c:pt idx="4">
                  <c:v>4.0</c:v>
                </c:pt>
              </c:numCache>
            </c:numRef>
          </c:cat>
          <c:val>
            <c:numRef>
              <c:f>'Poisson Model'!$J$5:$J$9</c:f>
              <c:numCache>
                <c:formatCode>General</c:formatCode>
                <c:ptCount val="5"/>
                <c:pt idx="0">
                  <c:v>46.0</c:v>
                </c:pt>
                <c:pt idx="1">
                  <c:v>11.0</c:v>
                </c:pt>
                <c:pt idx="2">
                  <c:v>6.0</c:v>
                </c:pt>
                <c:pt idx="3">
                  <c:v>2.0</c:v>
                </c:pt>
                <c:pt idx="4">
                  <c:v>1.0</c:v>
                </c:pt>
              </c:numCache>
            </c:numRef>
          </c:val>
          <c:smooth val="0"/>
        </c:ser>
        <c:ser>
          <c:idx val="1"/>
          <c:order val="1"/>
          <c:tx>
            <c:v>Expected</c:v>
          </c:tx>
          <c:marker>
            <c:symbol val="none"/>
          </c:marker>
          <c:cat>
            <c:numRef>
              <c:f>'Poisson Model'!$I$5:$I$9</c:f>
              <c:numCache>
                <c:formatCode>General</c:formatCode>
                <c:ptCount val="5"/>
                <c:pt idx="0">
                  <c:v>0.0</c:v>
                </c:pt>
                <c:pt idx="1">
                  <c:v>1.0</c:v>
                </c:pt>
                <c:pt idx="2">
                  <c:v>2.0</c:v>
                </c:pt>
                <c:pt idx="3">
                  <c:v>3.0</c:v>
                </c:pt>
                <c:pt idx="4">
                  <c:v>4.0</c:v>
                </c:pt>
              </c:numCache>
            </c:numRef>
          </c:cat>
          <c:val>
            <c:numRef>
              <c:f>'Poisson Model'!$K$5:$K$9</c:f>
              <c:numCache>
                <c:formatCode>General</c:formatCode>
                <c:ptCount val="5"/>
                <c:pt idx="0">
                  <c:v>40.03</c:v>
                </c:pt>
                <c:pt idx="1">
                  <c:v>20.02</c:v>
                </c:pt>
                <c:pt idx="2">
                  <c:v>5.0</c:v>
                </c:pt>
                <c:pt idx="3">
                  <c:v>0.83</c:v>
                </c:pt>
                <c:pt idx="4">
                  <c:v>0.1</c:v>
                </c:pt>
              </c:numCache>
            </c:numRef>
          </c:val>
          <c:smooth val="0"/>
        </c:ser>
        <c:dLbls>
          <c:showLegendKey val="0"/>
          <c:showVal val="0"/>
          <c:showCatName val="0"/>
          <c:showSerName val="0"/>
          <c:showPercent val="0"/>
          <c:showBubbleSize val="0"/>
        </c:dLbls>
        <c:marker val="1"/>
        <c:smooth val="0"/>
        <c:axId val="2095247352"/>
        <c:axId val="2095227864"/>
      </c:lineChart>
      <c:catAx>
        <c:axId val="2095247352"/>
        <c:scaling>
          <c:orientation val="minMax"/>
        </c:scaling>
        <c:delete val="0"/>
        <c:axPos val="b"/>
        <c:majorGridlines/>
        <c:title>
          <c:tx>
            <c:rich>
              <a:bodyPr/>
              <a:lstStyle/>
              <a:p>
                <a:pPr>
                  <a:defRPr/>
                </a:pPr>
                <a:r>
                  <a:rPr lang="en-US"/>
                  <a:t>(In</a:t>
                </a:r>
                <a:r>
                  <a:rPr lang="en-US" baseline="0"/>
                  <a:t> each given year) Number of Accidents that Occured</a:t>
                </a:r>
                <a:endParaRPr lang="en-US"/>
              </a:p>
            </c:rich>
          </c:tx>
          <c:layout/>
          <c:overlay val="0"/>
        </c:title>
        <c:numFmt formatCode="General" sourceLinked="1"/>
        <c:majorTickMark val="out"/>
        <c:minorTickMark val="none"/>
        <c:tickLblPos val="nextTo"/>
        <c:crossAx val="2095227864"/>
        <c:crosses val="autoZero"/>
        <c:auto val="1"/>
        <c:lblAlgn val="ctr"/>
        <c:lblOffset val="100"/>
        <c:noMultiLvlLbl val="0"/>
      </c:catAx>
      <c:valAx>
        <c:axId val="2095227864"/>
        <c:scaling>
          <c:orientation val="minMax"/>
        </c:scaling>
        <c:delete val="0"/>
        <c:axPos val="l"/>
        <c:majorGridlines/>
        <c:title>
          <c:tx>
            <c:rich>
              <a:bodyPr rot="-5400000" vert="horz"/>
              <a:lstStyle/>
              <a:p>
                <a:pPr>
                  <a:defRPr/>
                </a:pPr>
                <a:r>
                  <a:rPr lang="en-US"/>
                  <a:t>Number</a:t>
                </a:r>
                <a:r>
                  <a:rPr lang="en-US" baseline="0"/>
                  <a:t> of Years (1950-2015)</a:t>
                </a:r>
              </a:p>
            </c:rich>
          </c:tx>
          <c:layout/>
          <c:overlay val="0"/>
        </c:title>
        <c:numFmt formatCode="General" sourceLinked="1"/>
        <c:majorTickMark val="out"/>
        <c:minorTickMark val="none"/>
        <c:tickLblPos val="nextTo"/>
        <c:crossAx val="209524735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'NBD with spike (not used) '!$I$5:$I$9</c:f>
              <c:numCache>
                <c:formatCode>General</c:formatCode>
                <c:ptCount val="5"/>
                <c:pt idx="0">
                  <c:v>0.0</c:v>
                </c:pt>
                <c:pt idx="1">
                  <c:v>1.0</c:v>
                </c:pt>
                <c:pt idx="2">
                  <c:v>2.0</c:v>
                </c:pt>
                <c:pt idx="3">
                  <c:v>3.0</c:v>
                </c:pt>
                <c:pt idx="4">
                  <c:v>4.0</c:v>
                </c:pt>
              </c:numCache>
            </c:numRef>
          </c:cat>
          <c:val>
            <c:numRef>
              <c:f>'NBD with spike (not used) '!$K$5:$K$9</c:f>
              <c:numCache>
                <c:formatCode>General</c:formatCode>
                <c:ptCount val="5"/>
                <c:pt idx="0">
                  <c:v>45.99997906519022</c:v>
                </c:pt>
                <c:pt idx="1">
                  <c:v>10.96659751745534</c:v>
                </c:pt>
                <c:pt idx="2">
                  <c:v>6.040226891111796</c:v>
                </c:pt>
                <c:pt idx="3">
                  <c:v>2.218218503595314</c:v>
                </c:pt>
                <c:pt idx="4">
                  <c:v>0.61105124369544</c:v>
                </c:pt>
              </c:numCache>
            </c:numRef>
          </c:val>
          <c:smooth val="0"/>
        </c:ser>
        <c:ser>
          <c:idx val="1"/>
          <c:order val="1"/>
          <c:marker>
            <c:symbol val="none"/>
          </c:marker>
          <c:cat>
            <c:numRef>
              <c:f>'NBD with spike (not used) '!$I$5:$I$9</c:f>
              <c:numCache>
                <c:formatCode>General</c:formatCode>
                <c:ptCount val="5"/>
                <c:pt idx="0">
                  <c:v>0.0</c:v>
                </c:pt>
                <c:pt idx="1">
                  <c:v>1.0</c:v>
                </c:pt>
                <c:pt idx="2">
                  <c:v>2.0</c:v>
                </c:pt>
                <c:pt idx="3">
                  <c:v>3.0</c:v>
                </c:pt>
                <c:pt idx="4">
                  <c:v>4.0</c:v>
                </c:pt>
              </c:numCache>
            </c:numRef>
          </c:cat>
          <c:val>
            <c:numRef>
              <c:f>'NBD with spike (not used) '!$J$5:$J$9</c:f>
              <c:numCache>
                <c:formatCode>General</c:formatCode>
                <c:ptCount val="5"/>
                <c:pt idx="0">
                  <c:v>46.0</c:v>
                </c:pt>
                <c:pt idx="1">
                  <c:v>11.0</c:v>
                </c:pt>
                <c:pt idx="2">
                  <c:v>6.0</c:v>
                </c:pt>
                <c:pt idx="3">
                  <c:v>2.0</c:v>
                </c:pt>
                <c:pt idx="4">
                  <c:v>1.0</c:v>
                </c:pt>
              </c:numCache>
            </c:numRef>
          </c:val>
          <c:smooth val="0"/>
        </c:ser>
        <c:dLbls>
          <c:showLegendKey val="0"/>
          <c:showVal val="0"/>
          <c:showCatName val="0"/>
          <c:showSerName val="0"/>
          <c:showPercent val="0"/>
          <c:showBubbleSize val="0"/>
        </c:dLbls>
        <c:marker val="1"/>
        <c:smooth val="0"/>
        <c:axId val="2119698408"/>
        <c:axId val="2119701384"/>
      </c:lineChart>
      <c:catAx>
        <c:axId val="2119698408"/>
        <c:scaling>
          <c:orientation val="minMax"/>
        </c:scaling>
        <c:delete val="0"/>
        <c:axPos val="b"/>
        <c:numFmt formatCode="General" sourceLinked="1"/>
        <c:majorTickMark val="out"/>
        <c:minorTickMark val="none"/>
        <c:tickLblPos val="nextTo"/>
        <c:crossAx val="2119701384"/>
        <c:crosses val="autoZero"/>
        <c:auto val="1"/>
        <c:lblAlgn val="ctr"/>
        <c:lblOffset val="100"/>
        <c:noMultiLvlLbl val="0"/>
      </c:catAx>
      <c:valAx>
        <c:axId val="2119701384"/>
        <c:scaling>
          <c:orientation val="minMax"/>
        </c:scaling>
        <c:delete val="0"/>
        <c:axPos val="l"/>
        <c:majorGridlines/>
        <c:numFmt formatCode="General" sourceLinked="1"/>
        <c:majorTickMark val="out"/>
        <c:minorTickMark val="none"/>
        <c:tickLblPos val="nextTo"/>
        <c:crossAx val="211969840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manualLayout>
          <c:layoutTarget val="inner"/>
          <c:xMode val="edge"/>
          <c:yMode val="edge"/>
          <c:x val="0.0623713524779991"/>
          <c:y val="0.10174672489083"/>
          <c:w val="0.838730083371931"/>
          <c:h val="0.789398584670587"/>
        </c:manualLayout>
      </c:layout>
      <c:barChart>
        <c:barDir val="col"/>
        <c:grouping val="stacked"/>
        <c:varyColors val="0"/>
        <c:ser>
          <c:idx val="0"/>
          <c:order val="0"/>
          <c:tx>
            <c:strRef>
              <c:f>'Original Data Accident Counts'!$D$5</c:f>
              <c:strCache>
                <c:ptCount val="1"/>
                <c:pt idx="0">
                  <c:v>#accidents</c:v>
                </c:pt>
              </c:strCache>
            </c:strRef>
          </c:tx>
          <c:invertIfNegative val="0"/>
          <c:val>
            <c:numRef>
              <c:f>'Original Data Accident Counts'!$E$6:$E$10</c:f>
              <c:numCache>
                <c:formatCode>General</c:formatCode>
                <c:ptCount val="5"/>
                <c:pt idx="0">
                  <c:v>46.0</c:v>
                </c:pt>
                <c:pt idx="1">
                  <c:v>11.0</c:v>
                </c:pt>
                <c:pt idx="2">
                  <c:v>6.0</c:v>
                </c:pt>
                <c:pt idx="3">
                  <c:v>2.0</c:v>
                </c:pt>
                <c:pt idx="4">
                  <c:v>1.0</c:v>
                </c:pt>
              </c:numCache>
            </c:numRef>
          </c:val>
        </c:ser>
        <c:dLbls>
          <c:showLegendKey val="0"/>
          <c:showVal val="0"/>
          <c:showCatName val="0"/>
          <c:showSerName val="0"/>
          <c:showPercent val="0"/>
          <c:showBubbleSize val="0"/>
        </c:dLbls>
        <c:gapWidth val="150"/>
        <c:overlap val="100"/>
        <c:axId val="2119734904"/>
        <c:axId val="2119740632"/>
      </c:barChart>
      <c:catAx>
        <c:axId val="2119734904"/>
        <c:scaling>
          <c:orientation val="minMax"/>
        </c:scaling>
        <c:delete val="0"/>
        <c:axPos val="b"/>
        <c:title>
          <c:tx>
            <c:rich>
              <a:bodyPr/>
              <a:lstStyle/>
              <a:p>
                <a:pPr>
                  <a:defRPr/>
                </a:pPr>
                <a:r>
                  <a:rPr lang="en-US"/>
                  <a:t>(In a given year) Number</a:t>
                </a:r>
                <a:r>
                  <a:rPr lang="en-US" baseline="0"/>
                  <a:t> of Accidents</a:t>
                </a:r>
                <a:endParaRPr lang="en-US"/>
              </a:p>
            </c:rich>
          </c:tx>
          <c:layout/>
          <c:overlay val="0"/>
        </c:title>
        <c:majorTickMark val="out"/>
        <c:minorTickMark val="none"/>
        <c:tickLblPos val="nextTo"/>
        <c:crossAx val="2119740632"/>
        <c:crosses val="autoZero"/>
        <c:auto val="1"/>
        <c:lblAlgn val="ctr"/>
        <c:lblOffset val="100"/>
        <c:noMultiLvlLbl val="0"/>
      </c:catAx>
      <c:valAx>
        <c:axId val="2119740632"/>
        <c:scaling>
          <c:orientation val="minMax"/>
        </c:scaling>
        <c:delete val="0"/>
        <c:axPos val="l"/>
        <c:majorGridlines/>
        <c:title>
          <c:tx>
            <c:rich>
              <a:bodyPr rot="-5400000" vert="horz"/>
              <a:lstStyle/>
              <a:p>
                <a:pPr>
                  <a:defRPr/>
                </a:pPr>
                <a:r>
                  <a:rPr lang="en-US"/>
                  <a:t>Number of Years</a:t>
                </a:r>
              </a:p>
            </c:rich>
          </c:tx>
          <c:layout>
            <c:manualLayout>
              <c:xMode val="edge"/>
              <c:yMode val="edge"/>
              <c:x val="0.0"/>
              <c:y val="0.400478221867836"/>
            </c:manualLayout>
          </c:layout>
          <c:overlay val="0"/>
        </c:title>
        <c:numFmt formatCode="General" sourceLinked="1"/>
        <c:majorTickMark val="out"/>
        <c:minorTickMark val="none"/>
        <c:tickLblPos val="nextTo"/>
        <c:crossAx val="211973490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1"/>
          <c:order val="0"/>
          <c:tx>
            <c:strRef>
              <c:f>'NBD Model later 33 year (no use'!$I$4</c:f>
              <c:strCache>
                <c:ptCount val="1"/>
                <c:pt idx="0">
                  <c:v>obs freq</c:v>
                </c:pt>
              </c:strCache>
            </c:strRef>
          </c:tx>
          <c:marker>
            <c:symbol val="none"/>
          </c:marker>
          <c:cat>
            <c:numRef>
              <c:f>'NBD Model later 33 year (no use'!$H$5:$H$9</c:f>
              <c:numCache>
                <c:formatCode>General</c:formatCode>
                <c:ptCount val="5"/>
                <c:pt idx="0">
                  <c:v>0.0</c:v>
                </c:pt>
                <c:pt idx="1">
                  <c:v>1.0</c:v>
                </c:pt>
                <c:pt idx="2">
                  <c:v>2.0</c:v>
                </c:pt>
                <c:pt idx="3">
                  <c:v>3.0</c:v>
                </c:pt>
                <c:pt idx="4">
                  <c:v>4.0</c:v>
                </c:pt>
              </c:numCache>
            </c:numRef>
          </c:cat>
          <c:val>
            <c:numRef>
              <c:f>'NBD Model later 33 year (no use'!$I$5:$I$9</c:f>
              <c:numCache>
                <c:formatCode>General</c:formatCode>
                <c:ptCount val="5"/>
                <c:pt idx="0">
                  <c:v>25.0</c:v>
                </c:pt>
                <c:pt idx="1">
                  <c:v>1.0</c:v>
                </c:pt>
                <c:pt idx="2">
                  <c:v>4.0</c:v>
                </c:pt>
                <c:pt idx="3">
                  <c:v>2.0</c:v>
                </c:pt>
                <c:pt idx="4">
                  <c:v>1.0</c:v>
                </c:pt>
              </c:numCache>
            </c:numRef>
          </c:val>
          <c:smooth val="0"/>
        </c:ser>
        <c:ser>
          <c:idx val="2"/>
          <c:order val="1"/>
          <c:tx>
            <c:strRef>
              <c:f>'NBD Model later 33 year (no use'!$J$4</c:f>
              <c:strCache>
                <c:ptCount val="1"/>
                <c:pt idx="0">
                  <c:v>exp freq</c:v>
                </c:pt>
              </c:strCache>
            </c:strRef>
          </c:tx>
          <c:marker>
            <c:symbol val="none"/>
          </c:marker>
          <c:cat>
            <c:numRef>
              <c:f>'NBD Model later 33 year (no use'!$H$5:$H$9</c:f>
              <c:numCache>
                <c:formatCode>General</c:formatCode>
                <c:ptCount val="5"/>
                <c:pt idx="0">
                  <c:v>0.0</c:v>
                </c:pt>
                <c:pt idx="1">
                  <c:v>1.0</c:v>
                </c:pt>
                <c:pt idx="2">
                  <c:v>2.0</c:v>
                </c:pt>
                <c:pt idx="3">
                  <c:v>3.0</c:v>
                </c:pt>
                <c:pt idx="4">
                  <c:v>4.0</c:v>
                </c:pt>
              </c:numCache>
            </c:numRef>
          </c:cat>
          <c:val>
            <c:numRef>
              <c:f>'NBD Model later 33 year (no use'!$J$5:$J$9</c:f>
              <c:numCache>
                <c:formatCode>General</c:formatCode>
                <c:ptCount val="5"/>
                <c:pt idx="0">
                  <c:v>24.5333162360123</c:v>
                </c:pt>
                <c:pt idx="1">
                  <c:v>4.223055276037161</c:v>
                </c:pt>
                <c:pt idx="2">
                  <c:v>1.843711083744825</c:v>
                </c:pt>
                <c:pt idx="3">
                  <c:v>0.967452716177784</c:v>
                </c:pt>
                <c:pt idx="4">
                  <c:v>0.550292572290098</c:v>
                </c:pt>
              </c:numCache>
            </c:numRef>
          </c:val>
          <c:smooth val="0"/>
        </c:ser>
        <c:dLbls>
          <c:showLegendKey val="0"/>
          <c:showVal val="0"/>
          <c:showCatName val="0"/>
          <c:showSerName val="0"/>
          <c:showPercent val="0"/>
          <c:showBubbleSize val="0"/>
        </c:dLbls>
        <c:marker val="1"/>
        <c:smooth val="0"/>
        <c:axId val="2119825224"/>
        <c:axId val="2119831272"/>
      </c:lineChart>
      <c:catAx>
        <c:axId val="2119825224"/>
        <c:scaling>
          <c:orientation val="minMax"/>
        </c:scaling>
        <c:delete val="0"/>
        <c:axPos val="b"/>
        <c:majorGridlines/>
        <c:title>
          <c:tx>
            <c:rich>
              <a:bodyPr/>
              <a:lstStyle/>
              <a:p>
                <a:pPr>
                  <a:defRPr/>
                </a:pPr>
                <a:r>
                  <a:rPr lang="en-US"/>
                  <a:t>(In each</a:t>
                </a:r>
                <a:r>
                  <a:rPr lang="en-US" baseline="0"/>
                  <a:t> given year</a:t>
                </a:r>
                <a:r>
                  <a:rPr lang="en-US"/>
                  <a:t>)</a:t>
                </a:r>
                <a:r>
                  <a:rPr lang="en-US" baseline="0"/>
                  <a:t> The Number of Accidents that Occured</a:t>
                </a:r>
                <a:endParaRPr lang="en-US"/>
              </a:p>
            </c:rich>
          </c:tx>
          <c:layout/>
          <c:overlay val="0"/>
        </c:title>
        <c:numFmt formatCode="General" sourceLinked="1"/>
        <c:majorTickMark val="out"/>
        <c:minorTickMark val="none"/>
        <c:tickLblPos val="nextTo"/>
        <c:crossAx val="2119831272"/>
        <c:crosses val="autoZero"/>
        <c:auto val="1"/>
        <c:lblAlgn val="ctr"/>
        <c:lblOffset val="100"/>
        <c:noMultiLvlLbl val="0"/>
      </c:catAx>
      <c:valAx>
        <c:axId val="2119831272"/>
        <c:scaling>
          <c:orientation val="minMax"/>
        </c:scaling>
        <c:delete val="0"/>
        <c:axPos val="l"/>
        <c:majorGridlines/>
        <c:title>
          <c:tx>
            <c:rich>
              <a:bodyPr rot="-5400000" vert="horz"/>
              <a:lstStyle/>
              <a:p>
                <a:pPr>
                  <a:defRPr/>
                </a:pPr>
                <a:r>
                  <a:rPr lang="en-US"/>
                  <a:t>Number of Years (1950-2015)</a:t>
                </a:r>
              </a:p>
            </c:rich>
          </c:tx>
          <c:layout/>
          <c:overlay val="0"/>
        </c:title>
        <c:numFmt formatCode="General" sourceLinked="1"/>
        <c:majorTickMark val="out"/>
        <c:minorTickMark val="none"/>
        <c:tickLblPos val="nextTo"/>
        <c:crossAx val="211982522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'M&amp;Z'!$I$5:$I$9</c:f>
              <c:numCache>
                <c:formatCode>General</c:formatCode>
                <c:ptCount val="5"/>
                <c:pt idx="0">
                  <c:v>46.0</c:v>
                </c:pt>
                <c:pt idx="1">
                  <c:v>11.0</c:v>
                </c:pt>
                <c:pt idx="2">
                  <c:v>6.0</c:v>
                </c:pt>
                <c:pt idx="3">
                  <c:v>2.0</c:v>
                </c:pt>
                <c:pt idx="4">
                  <c:v>1.0</c:v>
                </c:pt>
              </c:numCache>
            </c:numRef>
          </c:val>
          <c:smooth val="0"/>
        </c:ser>
        <c:ser>
          <c:idx val="1"/>
          <c:order val="1"/>
          <c:marker>
            <c:symbol val="none"/>
          </c:marker>
          <c:val>
            <c:numRef>
              <c:f>'M&amp;Z'!$P$5:$P$9</c:f>
              <c:numCache>
                <c:formatCode>General</c:formatCode>
                <c:ptCount val="5"/>
                <c:pt idx="0">
                  <c:v>45.99982524013172</c:v>
                </c:pt>
                <c:pt idx="1">
                  <c:v>12.61951686116378</c:v>
                </c:pt>
                <c:pt idx="2">
                  <c:v>4.496521829164111</c:v>
                </c:pt>
                <c:pt idx="3">
                  <c:v>1.725047456977929</c:v>
                </c:pt>
                <c:pt idx="4">
                  <c:v>0.68536680632028</c:v>
                </c:pt>
              </c:numCache>
            </c:numRef>
          </c:val>
          <c:smooth val="0"/>
        </c:ser>
        <c:dLbls>
          <c:showLegendKey val="0"/>
          <c:showVal val="0"/>
          <c:showCatName val="0"/>
          <c:showSerName val="0"/>
          <c:showPercent val="0"/>
          <c:showBubbleSize val="0"/>
        </c:dLbls>
        <c:marker val="1"/>
        <c:smooth val="0"/>
        <c:axId val="-2101020168"/>
        <c:axId val="2139772392"/>
      </c:lineChart>
      <c:catAx>
        <c:axId val="-2101020168"/>
        <c:scaling>
          <c:orientation val="minMax"/>
        </c:scaling>
        <c:delete val="0"/>
        <c:axPos val="b"/>
        <c:majorTickMark val="out"/>
        <c:minorTickMark val="none"/>
        <c:tickLblPos val="nextTo"/>
        <c:crossAx val="2139772392"/>
        <c:crosses val="autoZero"/>
        <c:auto val="1"/>
        <c:lblAlgn val="ctr"/>
        <c:lblOffset val="100"/>
        <c:noMultiLvlLbl val="0"/>
      </c:catAx>
      <c:valAx>
        <c:axId val="2139772392"/>
        <c:scaling>
          <c:orientation val="minMax"/>
        </c:scaling>
        <c:delete val="0"/>
        <c:axPos val="l"/>
        <c:majorGridlines/>
        <c:numFmt formatCode="General" sourceLinked="1"/>
        <c:majorTickMark val="out"/>
        <c:minorTickMark val="none"/>
        <c:tickLblPos val="nextTo"/>
        <c:crossAx val="-210102016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MoM!$I$5:$I$9</c:f>
              <c:numCache>
                <c:formatCode>General</c:formatCode>
                <c:ptCount val="5"/>
                <c:pt idx="0">
                  <c:v>46.0</c:v>
                </c:pt>
                <c:pt idx="1">
                  <c:v>11.0</c:v>
                </c:pt>
                <c:pt idx="2">
                  <c:v>6.0</c:v>
                </c:pt>
                <c:pt idx="3">
                  <c:v>2.0</c:v>
                </c:pt>
                <c:pt idx="4">
                  <c:v>1.0</c:v>
                </c:pt>
              </c:numCache>
            </c:numRef>
          </c:val>
          <c:smooth val="0"/>
        </c:ser>
        <c:ser>
          <c:idx val="1"/>
          <c:order val="1"/>
          <c:marker>
            <c:symbol val="none"/>
          </c:marker>
          <c:val>
            <c:numRef>
              <c:f>MoM!$T$5:$T$9</c:f>
              <c:numCache>
                <c:formatCode>General</c:formatCode>
                <c:ptCount val="5"/>
                <c:pt idx="0">
                  <c:v>54.82077998006928</c:v>
                </c:pt>
                <c:pt idx="1">
                  <c:v>17.22938799373606</c:v>
                </c:pt>
                <c:pt idx="2">
                  <c:v>5.907218740709504</c:v>
                </c:pt>
                <c:pt idx="3">
                  <c:v>2.081591365773826</c:v>
                </c:pt>
                <c:pt idx="4">
                  <c:v>0.743425487776366</c:v>
                </c:pt>
              </c:numCache>
            </c:numRef>
          </c:val>
          <c:smooth val="0"/>
        </c:ser>
        <c:dLbls>
          <c:showLegendKey val="0"/>
          <c:showVal val="0"/>
          <c:showCatName val="0"/>
          <c:showSerName val="0"/>
          <c:showPercent val="0"/>
          <c:showBubbleSize val="0"/>
        </c:dLbls>
        <c:marker val="1"/>
        <c:smooth val="0"/>
        <c:axId val="-2101221032"/>
        <c:axId val="-2100961128"/>
      </c:lineChart>
      <c:catAx>
        <c:axId val="-2101221032"/>
        <c:scaling>
          <c:orientation val="minMax"/>
        </c:scaling>
        <c:delete val="0"/>
        <c:axPos val="b"/>
        <c:majorTickMark val="out"/>
        <c:minorTickMark val="none"/>
        <c:tickLblPos val="nextTo"/>
        <c:crossAx val="-2100961128"/>
        <c:crosses val="autoZero"/>
        <c:auto val="1"/>
        <c:lblAlgn val="ctr"/>
        <c:lblOffset val="100"/>
        <c:noMultiLvlLbl val="0"/>
      </c:catAx>
      <c:valAx>
        <c:axId val="-2100961128"/>
        <c:scaling>
          <c:orientation val="minMax"/>
        </c:scaling>
        <c:delete val="0"/>
        <c:axPos val="l"/>
        <c:majorGridlines/>
        <c:numFmt formatCode="General" sourceLinked="1"/>
        <c:majorTickMark val="out"/>
        <c:minorTickMark val="none"/>
        <c:tickLblPos val="nextTo"/>
        <c:crossAx val="-210122103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1"/>
          <c:order val="0"/>
          <c:tx>
            <c:strRef>
              <c:f>'NBD Model'!$I$4</c:f>
              <c:strCache>
                <c:ptCount val="1"/>
                <c:pt idx="0">
                  <c:v>obs freq</c:v>
                </c:pt>
              </c:strCache>
            </c:strRef>
          </c:tx>
          <c:marker>
            <c:symbol val="none"/>
          </c:marker>
          <c:cat>
            <c:numRef>
              <c:f>'NBD Model'!$H$5:$H$9</c:f>
              <c:numCache>
                <c:formatCode>General</c:formatCode>
                <c:ptCount val="5"/>
                <c:pt idx="0">
                  <c:v>0.0</c:v>
                </c:pt>
                <c:pt idx="1">
                  <c:v>1.0</c:v>
                </c:pt>
                <c:pt idx="2">
                  <c:v>2.0</c:v>
                </c:pt>
                <c:pt idx="3">
                  <c:v>3.0</c:v>
                </c:pt>
                <c:pt idx="4">
                  <c:v>4.0</c:v>
                </c:pt>
              </c:numCache>
            </c:numRef>
          </c:cat>
          <c:val>
            <c:numRef>
              <c:f>'NBD Model'!$I$5:$I$9</c:f>
              <c:numCache>
                <c:formatCode>General</c:formatCode>
                <c:ptCount val="5"/>
                <c:pt idx="0">
                  <c:v>46.0</c:v>
                </c:pt>
                <c:pt idx="1">
                  <c:v>11.0</c:v>
                </c:pt>
                <c:pt idx="2">
                  <c:v>6.0</c:v>
                </c:pt>
                <c:pt idx="3">
                  <c:v>2.0</c:v>
                </c:pt>
                <c:pt idx="4">
                  <c:v>1.0</c:v>
                </c:pt>
              </c:numCache>
            </c:numRef>
          </c:val>
          <c:smooth val="0"/>
        </c:ser>
        <c:ser>
          <c:idx val="2"/>
          <c:order val="1"/>
          <c:tx>
            <c:strRef>
              <c:f>'NBD Model'!$J$4</c:f>
              <c:strCache>
                <c:ptCount val="1"/>
                <c:pt idx="0">
                  <c:v>exp freq</c:v>
                </c:pt>
              </c:strCache>
            </c:strRef>
          </c:tx>
          <c:marker>
            <c:symbol val="none"/>
          </c:marker>
          <c:cat>
            <c:numRef>
              <c:f>'NBD Model'!$H$5:$H$9</c:f>
              <c:numCache>
                <c:formatCode>General</c:formatCode>
                <c:ptCount val="5"/>
                <c:pt idx="0">
                  <c:v>0.0</c:v>
                </c:pt>
                <c:pt idx="1">
                  <c:v>1.0</c:v>
                </c:pt>
                <c:pt idx="2">
                  <c:v>2.0</c:v>
                </c:pt>
                <c:pt idx="3">
                  <c:v>3.0</c:v>
                </c:pt>
                <c:pt idx="4">
                  <c:v>4.0</c:v>
                </c:pt>
              </c:numCache>
            </c:numRef>
          </c:cat>
          <c:val>
            <c:numRef>
              <c:f>'NBD Model'!$J$5:$J$9</c:f>
              <c:numCache>
                <c:formatCode>General</c:formatCode>
                <c:ptCount val="5"/>
                <c:pt idx="0">
                  <c:v>45.573</c:v>
                </c:pt>
                <c:pt idx="1">
                  <c:v>12.847</c:v>
                </c:pt>
                <c:pt idx="2">
                  <c:v>4.613</c:v>
                </c:pt>
                <c:pt idx="3">
                  <c:v>1.775</c:v>
                </c:pt>
                <c:pt idx="4">
                  <c:v>0.706</c:v>
                </c:pt>
              </c:numCache>
            </c:numRef>
          </c:val>
          <c:smooth val="0"/>
        </c:ser>
        <c:dLbls>
          <c:showLegendKey val="0"/>
          <c:showVal val="0"/>
          <c:showCatName val="0"/>
          <c:showSerName val="0"/>
          <c:showPercent val="0"/>
          <c:showBubbleSize val="0"/>
        </c:dLbls>
        <c:marker val="1"/>
        <c:smooth val="0"/>
        <c:axId val="2120356536"/>
        <c:axId val="2120362552"/>
      </c:lineChart>
      <c:catAx>
        <c:axId val="2120356536"/>
        <c:scaling>
          <c:orientation val="minMax"/>
        </c:scaling>
        <c:delete val="0"/>
        <c:axPos val="b"/>
        <c:majorGridlines/>
        <c:title>
          <c:tx>
            <c:rich>
              <a:bodyPr/>
              <a:lstStyle/>
              <a:p>
                <a:pPr>
                  <a:defRPr/>
                </a:pPr>
                <a:r>
                  <a:rPr lang="en-US"/>
                  <a:t>(In each</a:t>
                </a:r>
                <a:r>
                  <a:rPr lang="en-US" baseline="0"/>
                  <a:t> given year</a:t>
                </a:r>
                <a:r>
                  <a:rPr lang="en-US"/>
                  <a:t>)</a:t>
                </a:r>
                <a:r>
                  <a:rPr lang="en-US" baseline="0"/>
                  <a:t> The Number of Accidents that Occured</a:t>
                </a:r>
                <a:endParaRPr lang="en-US"/>
              </a:p>
            </c:rich>
          </c:tx>
          <c:layout/>
          <c:overlay val="0"/>
        </c:title>
        <c:numFmt formatCode="General" sourceLinked="1"/>
        <c:majorTickMark val="out"/>
        <c:minorTickMark val="none"/>
        <c:tickLblPos val="nextTo"/>
        <c:crossAx val="2120362552"/>
        <c:crosses val="autoZero"/>
        <c:auto val="1"/>
        <c:lblAlgn val="ctr"/>
        <c:lblOffset val="100"/>
        <c:noMultiLvlLbl val="0"/>
      </c:catAx>
      <c:valAx>
        <c:axId val="2120362552"/>
        <c:scaling>
          <c:orientation val="minMax"/>
        </c:scaling>
        <c:delete val="0"/>
        <c:axPos val="l"/>
        <c:majorGridlines/>
        <c:title>
          <c:tx>
            <c:rich>
              <a:bodyPr rot="-5400000" vert="horz"/>
              <a:lstStyle/>
              <a:p>
                <a:pPr>
                  <a:defRPr/>
                </a:pPr>
                <a:r>
                  <a:rPr lang="en-US"/>
                  <a:t>Number of Years (1950-2015)</a:t>
                </a:r>
              </a:p>
            </c:rich>
          </c:tx>
          <c:layout/>
          <c:overlay val="0"/>
        </c:title>
        <c:numFmt formatCode="General" sourceLinked="1"/>
        <c:majorTickMark val="out"/>
        <c:minorTickMark val="none"/>
        <c:tickLblPos val="nextTo"/>
        <c:crossAx val="212035653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8</xdr:col>
      <xdr:colOff>292100</xdr:colOff>
      <xdr:row>13</xdr:row>
      <xdr:rowOff>114300</xdr:rowOff>
    </xdr:from>
    <xdr:to>
      <xdr:col>15</xdr:col>
      <xdr:colOff>12700</xdr:colOff>
      <xdr:row>31</xdr:row>
      <xdr:rowOff>12700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330200</xdr:colOff>
      <xdr:row>12</xdr:row>
      <xdr:rowOff>139700</xdr:rowOff>
    </xdr:from>
    <xdr:to>
      <xdr:col>14</xdr:col>
      <xdr:colOff>685800</xdr:colOff>
      <xdr:row>45</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177800</xdr:colOff>
      <xdr:row>16</xdr:row>
      <xdr:rowOff>88900</xdr:rowOff>
    </xdr:from>
    <xdr:to>
      <xdr:col>12</xdr:col>
      <xdr:colOff>596900</xdr:colOff>
      <xdr:row>33</xdr:row>
      <xdr:rowOff>25400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9</xdr:col>
      <xdr:colOff>584200</xdr:colOff>
      <xdr:row>0</xdr:row>
      <xdr:rowOff>101600</xdr:rowOff>
    </xdr:from>
    <xdr:to>
      <xdr:col>17</xdr:col>
      <xdr:colOff>127000</xdr:colOff>
      <xdr:row>19</xdr:row>
      <xdr:rowOff>101600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1016000</xdr:colOff>
      <xdr:row>12</xdr:row>
      <xdr:rowOff>38100</xdr:rowOff>
    </xdr:from>
    <xdr:to>
      <xdr:col>15</xdr:col>
      <xdr:colOff>381000</xdr:colOff>
      <xdr:row>29</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292100</xdr:colOff>
      <xdr:row>13</xdr:row>
      <xdr:rowOff>114300</xdr:rowOff>
    </xdr:from>
    <xdr:to>
      <xdr:col>15</xdr:col>
      <xdr:colOff>12700</xdr:colOff>
      <xdr:row>31</xdr:row>
      <xdr:rowOff>12700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571500</xdr:colOff>
      <xdr:row>14</xdr:row>
      <xdr:rowOff>25400</xdr:rowOff>
    </xdr:from>
    <xdr:to>
      <xdr:col>18</xdr:col>
      <xdr:colOff>38100</xdr:colOff>
      <xdr:row>46</xdr:row>
      <xdr:rowOff>63500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457200</xdr:colOff>
      <xdr:row>1</xdr:row>
      <xdr:rowOff>101600</xdr:rowOff>
    </xdr:from>
    <xdr:to>
      <xdr:col>13</xdr:col>
      <xdr:colOff>685190</xdr:colOff>
      <xdr:row>34</xdr:row>
      <xdr:rowOff>88900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330200</xdr:colOff>
      <xdr:row>12</xdr:row>
      <xdr:rowOff>139700</xdr:rowOff>
    </xdr:from>
    <xdr:to>
      <xdr:col>14</xdr:col>
      <xdr:colOff>685800</xdr:colOff>
      <xdr:row>45</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584200</xdr:colOff>
      <xdr:row>22</xdr:row>
      <xdr:rowOff>101600</xdr:rowOff>
    </xdr:from>
    <xdr:to>
      <xdr:col>10</xdr:col>
      <xdr:colOff>939800</xdr:colOff>
      <xdr:row>43</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14</xdr:col>
      <xdr:colOff>342900</xdr:colOff>
      <xdr:row>14</xdr:row>
      <xdr:rowOff>127000</xdr:rowOff>
    </xdr:from>
    <xdr:to>
      <xdr:col>19</xdr:col>
      <xdr:colOff>685800</xdr:colOff>
      <xdr:row>32</xdr:row>
      <xdr:rowOff>127000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330200</xdr:colOff>
      <xdr:row>12</xdr:row>
      <xdr:rowOff>139700</xdr:rowOff>
    </xdr:from>
    <xdr:to>
      <xdr:col>14</xdr:col>
      <xdr:colOff>685800</xdr:colOff>
      <xdr:row>45</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hyperlink" Target="http://www.nuclearfaq.ca/cnf_sectionD.htm" TargetMode="External"/><Relationship Id="rId2"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pane xSplit="2" ySplit="1" topLeftCell="C2" activePane="bottomRight" state="frozen"/>
      <selection pane="topRight" activeCell="C1" sqref="C1"/>
      <selection pane="bottomLeft" activeCell="A2" sqref="A2"/>
      <selection pane="bottomRight" activeCell="C41" sqref="C41"/>
    </sheetView>
  </sheetViews>
  <sheetFormatPr baseColWidth="10" defaultColWidth="14.5" defaultRowHeight="12.75" customHeight="1" x14ac:dyDescent="0"/>
  <cols>
    <col min="1" max="1" width="12.5" customWidth="1"/>
    <col min="2" max="2" width="40.33203125" customWidth="1"/>
    <col min="3" max="3" width="28.33203125" customWidth="1"/>
    <col min="4" max="4" width="22.33203125" customWidth="1"/>
    <col min="5" max="5" width="39.83203125" customWidth="1"/>
    <col min="6" max="6" width="30.6640625" customWidth="1"/>
  </cols>
  <sheetData>
    <row r="1" spans="1:6" ht="12.75" customHeight="1">
      <c r="A1" s="1" t="s">
        <v>0</v>
      </c>
      <c r="B1" s="1" t="s">
        <v>1</v>
      </c>
      <c r="C1" s="1" t="s">
        <v>2</v>
      </c>
      <c r="D1" s="1" t="s">
        <v>3</v>
      </c>
      <c r="E1" s="1" t="s">
        <v>4</v>
      </c>
      <c r="F1" s="1" t="s">
        <v>5</v>
      </c>
    </row>
    <row r="2" spans="1:6" ht="12.75" customHeight="1">
      <c r="A2" s="2">
        <v>7</v>
      </c>
      <c r="B2" s="2" t="s">
        <v>6</v>
      </c>
      <c r="C2" s="3" t="s">
        <v>7</v>
      </c>
      <c r="F2" s="3" t="s">
        <v>8</v>
      </c>
    </row>
    <row r="3" spans="1:6" ht="12.75" customHeight="1">
      <c r="A3" s="4">
        <v>6</v>
      </c>
      <c r="B3" s="4" t="s">
        <v>9</v>
      </c>
      <c r="C3" s="3" t="s">
        <v>10</v>
      </c>
      <c r="F3" s="3" t="s">
        <v>11</v>
      </c>
    </row>
    <row r="4" spans="1:6" ht="12.75" customHeight="1">
      <c r="A4" s="5">
        <v>5</v>
      </c>
      <c r="B4" s="5" t="s">
        <v>12</v>
      </c>
      <c r="C4" s="3" t="s">
        <v>13</v>
      </c>
      <c r="D4" s="3" t="s">
        <v>14</v>
      </c>
      <c r="F4" s="3" t="s">
        <v>15</v>
      </c>
    </row>
    <row r="5" spans="1:6" ht="12.75" customHeight="1">
      <c r="A5" s="6">
        <v>4</v>
      </c>
      <c r="B5" s="6" t="s">
        <v>16</v>
      </c>
      <c r="C5" s="3" t="s">
        <v>17</v>
      </c>
      <c r="D5" s="3" t="s">
        <v>18</v>
      </c>
      <c r="F5" s="1" t="s">
        <v>19</v>
      </c>
    </row>
    <row r="6" spans="1:6" ht="12.75" customHeight="1">
      <c r="A6" s="7">
        <v>3</v>
      </c>
      <c r="B6" s="7" t="s">
        <v>20</v>
      </c>
      <c r="C6" s="3" t="s">
        <v>21</v>
      </c>
      <c r="D6" s="3" t="s">
        <v>22</v>
      </c>
      <c r="E6" s="3" t="s">
        <v>23</v>
      </c>
      <c r="F6" s="3" t="s">
        <v>24</v>
      </c>
    </row>
    <row r="7" spans="1:6" ht="12.75" customHeight="1">
      <c r="A7" s="8">
        <v>2</v>
      </c>
      <c r="B7" s="8" t="s">
        <v>25</v>
      </c>
      <c r="C7" s="3" t="s">
        <v>26</v>
      </c>
      <c r="D7" s="3" t="s">
        <v>27</v>
      </c>
      <c r="E7" s="3" t="s">
        <v>28</v>
      </c>
      <c r="F7" s="3" t="s">
        <v>29</v>
      </c>
    </row>
    <row r="8" spans="1:6" ht="12.75" customHeight="1">
      <c r="A8" s="9">
        <v>1</v>
      </c>
      <c r="B8" s="9" t="s">
        <v>30</v>
      </c>
      <c r="E8" s="3" t="s">
        <v>31</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1"/>
  <sheetViews>
    <sheetView workbookViewId="0">
      <selection activeCell="L1" sqref="L1"/>
    </sheetView>
  </sheetViews>
  <sheetFormatPr baseColWidth="10" defaultRowHeight="12" x14ac:dyDescent="0"/>
  <cols>
    <col min="3" max="3" width="11" bestFit="1" customWidth="1"/>
    <col min="4" max="5" width="11.6640625" bestFit="1" customWidth="1"/>
    <col min="6" max="6" width="11" bestFit="1" customWidth="1"/>
    <col min="8" max="8" width="14.83203125" bestFit="1" customWidth="1"/>
    <col min="9" max="9" width="11.33203125" bestFit="1" customWidth="1"/>
    <col min="10" max="10" width="16.5" customWidth="1"/>
    <col min="11" max="11" width="15.5" bestFit="1" customWidth="1"/>
    <col min="12" max="12" width="14.83203125" bestFit="1" customWidth="1"/>
    <col min="13" max="13" width="11" bestFit="1" customWidth="1"/>
    <col min="14" max="14" width="11" customWidth="1"/>
    <col min="16" max="18" width="11" bestFit="1" customWidth="1"/>
    <col min="19" max="19" width="11.6640625" bestFit="1" customWidth="1"/>
    <col min="20" max="20" width="11" bestFit="1" customWidth="1"/>
    <col min="22" max="22" width="11" bestFit="1" customWidth="1"/>
  </cols>
  <sheetData>
    <row r="1" spans="1:22" ht="30">
      <c r="A1" t="s">
        <v>153</v>
      </c>
      <c r="B1">
        <v>0.64626877583187525</v>
      </c>
      <c r="G1" s="49"/>
      <c r="H1" s="51"/>
      <c r="I1" s="67"/>
      <c r="J1" s="49" t="s">
        <v>162</v>
      </c>
      <c r="K1" s="67" t="s">
        <v>163</v>
      </c>
      <c r="L1" s="51">
        <f>(B1/B2)+(B1/(B2^2))</f>
        <v>0.88685496736583991</v>
      </c>
    </row>
    <row r="2" spans="1:22" ht="15">
      <c r="A2" t="s">
        <v>154</v>
      </c>
      <c r="B2">
        <v>1.292518259497847</v>
      </c>
      <c r="G2" s="68"/>
      <c r="H2" s="64"/>
      <c r="I2" s="53"/>
      <c r="J2" s="69" t="s">
        <v>158</v>
      </c>
      <c r="K2" s="53"/>
      <c r="L2" s="54">
        <v>0.50000746299999999</v>
      </c>
    </row>
    <row r="3" spans="1:22" ht="15">
      <c r="G3" s="70"/>
      <c r="H3" s="53"/>
      <c r="I3" s="53"/>
      <c r="J3" s="68" t="s">
        <v>157</v>
      </c>
      <c r="K3" s="62"/>
      <c r="L3" s="64">
        <v>-62.773057559999998</v>
      </c>
    </row>
    <row r="4" spans="1:22" ht="30">
      <c r="G4" s="49" t="s">
        <v>176</v>
      </c>
      <c r="H4" s="67" t="s">
        <v>152</v>
      </c>
      <c r="I4" s="67" t="s">
        <v>168</v>
      </c>
      <c r="J4" s="67" t="s">
        <v>169</v>
      </c>
      <c r="K4" s="51" t="s">
        <v>170</v>
      </c>
      <c r="L4" s="54"/>
      <c r="M4" t="s">
        <v>221</v>
      </c>
      <c r="N4" t="s">
        <v>223</v>
      </c>
      <c r="O4" t="s">
        <v>224</v>
      </c>
      <c r="P4" t="s">
        <v>225</v>
      </c>
      <c r="Q4" t="s">
        <v>226</v>
      </c>
      <c r="R4" t="s">
        <v>155</v>
      </c>
      <c r="S4" t="s">
        <v>156</v>
      </c>
      <c r="T4" t="s">
        <v>230</v>
      </c>
      <c r="V4" t="s">
        <v>231</v>
      </c>
    </row>
    <row r="5" spans="1:22" ht="15">
      <c r="A5" t="s">
        <v>151</v>
      </c>
      <c r="B5" t="s">
        <v>152</v>
      </c>
      <c r="C5" t="s">
        <v>155</v>
      </c>
      <c r="D5" t="s">
        <v>156</v>
      </c>
      <c r="G5" s="70"/>
      <c r="H5" s="53">
        <v>0</v>
      </c>
      <c r="I5" s="53">
        <v>46</v>
      </c>
      <c r="J5" s="53">
        <f>E6</f>
        <v>45.572522971110068</v>
      </c>
      <c r="K5" s="54">
        <f>((I5-J5)^2)/J5</f>
        <v>4.009797972879545E-3</v>
      </c>
      <c r="L5" s="54"/>
      <c r="M5">
        <f>H5*I5</f>
        <v>0</v>
      </c>
      <c r="N5">
        <f>H5-$M$12</f>
        <v>-0.5</v>
      </c>
      <c r="O5">
        <f>(H5-$M$12)^2</f>
        <v>0.25</v>
      </c>
      <c r="P5">
        <f>I5/66</f>
        <v>0.69696969696969702</v>
      </c>
      <c r="Q5">
        <f>O5*P5</f>
        <v>0.17424242424242425</v>
      </c>
      <c r="R5">
        <f>(($M$16/($M$16+1))^$M$15)*((1/($M$16+1))^H5)*(EXP(GAMMALN($M$15+H5)-GAMMALN($M$16)-GAMMALN(H5+1)))</f>
        <v>0.83061787848589819</v>
      </c>
      <c r="S5">
        <f>LN(R5)</f>
        <v>-0.18558542323276817</v>
      </c>
      <c r="T5">
        <f>R5*66</f>
        <v>54.820779980069283</v>
      </c>
      <c r="V5">
        <f>(I5-T5)^2/T5</f>
        <v>1.4192822408779731</v>
      </c>
    </row>
    <row r="6" spans="1:22" ht="15">
      <c r="A6">
        <v>1950</v>
      </c>
      <c r="B6">
        <v>0</v>
      </c>
      <c r="C6">
        <f>(($B$2/($B$2+1))^$B$1)*((1/($B$2+1))^B6)*(EXP(GAMMALN($B$1+B6)-GAMMALN($B$1)-GAMMALN(B6+1)))</f>
        <v>0.69049277228954653</v>
      </c>
      <c r="D6">
        <f>LN(C6)</f>
        <v>-0.37034977354521781</v>
      </c>
      <c r="E6">
        <f>C6*66</f>
        <v>45.572522971110068</v>
      </c>
      <c r="G6" s="70"/>
      <c r="H6" s="53">
        <v>1</v>
      </c>
      <c r="I6" s="53">
        <v>11</v>
      </c>
      <c r="J6" s="53">
        <f>E8</f>
        <v>12.847050840310647</v>
      </c>
      <c r="K6" s="54">
        <f>((I6-J6)^2)/J6</f>
        <v>0.26555486150857127</v>
      </c>
      <c r="L6" s="54"/>
      <c r="M6">
        <f t="shared" ref="M6:M9" si="0">H6*I6</f>
        <v>11</v>
      </c>
      <c r="N6">
        <f t="shared" ref="N6:N9" si="1">H6-$M$12</f>
        <v>0.5</v>
      </c>
      <c r="O6">
        <f t="shared" ref="O6:O9" si="2">(H6-$M$12)^2</f>
        <v>0.25</v>
      </c>
      <c r="P6">
        <f t="shared" ref="P6:P9" si="3">I6/66</f>
        <v>0.16666666666666666</v>
      </c>
      <c r="Q6">
        <f t="shared" ref="Q6:Q9" si="4">O6*P6</f>
        <v>4.1666666666666664E-2</v>
      </c>
      <c r="R6">
        <f>(($M$16/($M$16+1))^$M$15)*((1/($M$16+1))^H6)*(EXP(GAMMALN($M$15+H6)-GAMMALN($M$16)-GAMMALN(H6+1)))</f>
        <v>0.26105133323842511</v>
      </c>
      <c r="S6">
        <f t="shared" ref="S6:S9" si="5">LN(R6)</f>
        <v>-1.3430382119238113</v>
      </c>
      <c r="T6">
        <f t="shared" ref="T6:T9" si="6">R6*66</f>
        <v>17.229387993736058</v>
      </c>
      <c r="V6">
        <f t="shared" ref="V6:V9" si="7">(I6-T6)^2/T6</f>
        <v>2.2522723842896251</v>
      </c>
    </row>
    <row r="7" spans="1:22" ht="15">
      <c r="A7">
        <v>1951</v>
      </c>
      <c r="B7">
        <v>0</v>
      </c>
      <c r="C7">
        <f t="shared" ref="C7:C70" si="8">(($B$2/($B$2+1))^$B$1)*((1/($B$2+1))^B7)*(EXP(GAMMALN($B$1+B7)-GAMMALN($B$1)-GAMMALN(B7+1)))</f>
        <v>0.69049277228954653</v>
      </c>
      <c r="D7">
        <f t="shared" ref="D7:D70" si="9">LN(C7)</f>
        <v>-0.37034977354521781</v>
      </c>
      <c r="E7">
        <f t="shared" ref="E7:E70" si="10">C7*66</f>
        <v>45.572522971110068</v>
      </c>
      <c r="G7" s="70"/>
      <c r="H7" s="53">
        <v>2</v>
      </c>
      <c r="I7" s="53">
        <v>6</v>
      </c>
      <c r="J7" s="53">
        <f>E13</f>
        <v>4.6127655848116778</v>
      </c>
      <c r="K7" s="54">
        <f>((I7-J7)^2)/J7</f>
        <v>0.41719425956076489</v>
      </c>
      <c r="L7" s="54"/>
      <c r="M7">
        <f t="shared" si="0"/>
        <v>12</v>
      </c>
      <c r="N7">
        <f t="shared" si="1"/>
        <v>1.5</v>
      </c>
      <c r="O7">
        <f t="shared" si="2"/>
        <v>2.25</v>
      </c>
      <c r="P7">
        <f t="shared" si="3"/>
        <v>9.0909090909090912E-2</v>
      </c>
      <c r="Q7">
        <f t="shared" si="4"/>
        <v>0.20454545454545456</v>
      </c>
      <c r="R7">
        <f t="shared" ref="R6:R9" si="11">(($M$16/($M$16+1))^$M$15)*((1/($M$16+1))^H7)*(EXP(GAMMALN($M$15+H7)-GAMMALN($M$16)-GAMMALN(H7+1)))</f>
        <v>8.9503314253174315E-2</v>
      </c>
      <c r="S7">
        <f t="shared" si="5"/>
        <v>-2.4134796236252249</v>
      </c>
      <c r="T7">
        <f t="shared" si="6"/>
        <v>5.9072187407095047</v>
      </c>
      <c r="V7">
        <f t="shared" si="7"/>
        <v>1.4572614378075639E-3</v>
      </c>
    </row>
    <row r="8" spans="1:22" ht="15">
      <c r="A8">
        <v>1952</v>
      </c>
      <c r="B8">
        <v>1</v>
      </c>
      <c r="C8">
        <f t="shared" si="8"/>
        <v>0.19465228545925223</v>
      </c>
      <c r="D8">
        <f t="shared" si="9"/>
        <v>-1.6365404636164758</v>
      </c>
      <c r="E8">
        <f t="shared" si="10"/>
        <v>12.847050840310647</v>
      </c>
      <c r="G8" s="70"/>
      <c r="H8" s="53">
        <v>3</v>
      </c>
      <c r="I8" s="53">
        <v>2</v>
      </c>
      <c r="J8" s="53">
        <f>E62</f>
        <v>1.7748484643829681</v>
      </c>
      <c r="K8" s="54">
        <f>((I8-J8)^2)/J8</f>
        <v>2.8561995577651336E-2</v>
      </c>
      <c r="L8" s="54"/>
      <c r="M8">
        <f t="shared" si="0"/>
        <v>6</v>
      </c>
      <c r="N8">
        <f t="shared" si="1"/>
        <v>2.5</v>
      </c>
      <c r="O8">
        <f t="shared" si="2"/>
        <v>6.25</v>
      </c>
      <c r="P8">
        <f t="shared" si="3"/>
        <v>3.0303030303030304E-2</v>
      </c>
      <c r="Q8">
        <f t="shared" si="4"/>
        <v>0.18939393939393939</v>
      </c>
      <c r="R8">
        <f t="shared" si="11"/>
        <v>3.1539263117785238E-2</v>
      </c>
      <c r="S8">
        <f t="shared" si="5"/>
        <v>-3.4565220611385237</v>
      </c>
      <c r="T8">
        <f t="shared" si="6"/>
        <v>2.0815913657738259</v>
      </c>
      <c r="V8">
        <f>(I8-T8)^2/T8</f>
        <v>3.198106544011084E-3</v>
      </c>
    </row>
    <row r="9" spans="1:22" ht="15">
      <c r="A9">
        <v>1953</v>
      </c>
      <c r="B9">
        <v>0</v>
      </c>
      <c r="C9">
        <f t="shared" si="8"/>
        <v>0.69049277228954653</v>
      </c>
      <c r="D9">
        <f t="shared" si="9"/>
        <v>-0.37034977354521781</v>
      </c>
      <c r="E9">
        <f t="shared" si="10"/>
        <v>45.572522971110068</v>
      </c>
      <c r="G9" s="70"/>
      <c r="H9" s="53">
        <v>4</v>
      </c>
      <c r="I9" s="53">
        <v>1</v>
      </c>
      <c r="J9" s="53">
        <f>E55</f>
        <v>0.70572769820929326</v>
      </c>
      <c r="K9" s="54">
        <f>((I9-J9)^2)/J9</f>
        <v>0.12270481634903821</v>
      </c>
      <c r="L9" s="54"/>
      <c r="M9">
        <f t="shared" si="0"/>
        <v>4</v>
      </c>
      <c r="N9">
        <f t="shared" si="1"/>
        <v>3.5</v>
      </c>
      <c r="O9">
        <f t="shared" si="2"/>
        <v>12.25</v>
      </c>
      <c r="P9">
        <f t="shared" si="3"/>
        <v>1.5151515151515152E-2</v>
      </c>
      <c r="Q9">
        <f t="shared" si="4"/>
        <v>0.18560606060606061</v>
      </c>
      <c r="R9">
        <f>(($M$16/($M$16+1))^$M$15)*((1/($M$16+1))^H9)*(EXP(GAMMALN($M$15+H9)-GAMMALN($M$16)-GAMMALN(H9+1)))</f>
        <v>1.1264022542066158E-2</v>
      </c>
      <c r="S9">
        <f t="shared" si="5"/>
        <v>-4.4861414783196816</v>
      </c>
      <c r="T9">
        <f t="shared" si="6"/>
        <v>0.74342548777636641</v>
      </c>
      <c r="V9">
        <f t="shared" si="7"/>
        <v>8.8550206315495997E-2</v>
      </c>
    </row>
    <row r="10" spans="1:22" ht="15">
      <c r="A10">
        <v>1954</v>
      </c>
      <c r="B10">
        <v>0</v>
      </c>
      <c r="C10">
        <f t="shared" si="8"/>
        <v>0.69049277228954653</v>
      </c>
      <c r="D10">
        <f t="shared" si="9"/>
        <v>-0.37034977354521781</v>
      </c>
      <c r="E10">
        <f t="shared" si="10"/>
        <v>45.572522971110068</v>
      </c>
      <c r="G10" s="70"/>
      <c r="H10" s="53"/>
      <c r="I10" s="53"/>
      <c r="J10" s="53" t="s">
        <v>171</v>
      </c>
      <c r="K10" s="54">
        <f>SUM(K5:K9)</f>
        <v>0.8380257309689052</v>
      </c>
      <c r="L10" s="54"/>
    </row>
    <row r="11" spans="1:22" ht="15">
      <c r="A11">
        <v>1955</v>
      </c>
      <c r="B11">
        <v>0</v>
      </c>
      <c r="C11">
        <f t="shared" si="8"/>
        <v>0.69049277228954653</v>
      </c>
      <c r="D11">
        <f t="shared" si="9"/>
        <v>-0.37034977354521781</v>
      </c>
      <c r="E11">
        <f t="shared" si="10"/>
        <v>45.572522971110068</v>
      </c>
      <c r="G11" s="70"/>
      <c r="H11" s="53"/>
      <c r="I11" s="53"/>
      <c r="J11" s="53" t="s">
        <v>172</v>
      </c>
      <c r="K11" s="54">
        <v>2</v>
      </c>
      <c r="L11" s="54" t="s">
        <v>171</v>
      </c>
      <c r="M11">
        <f>SUM(M5:M9)</f>
        <v>33</v>
      </c>
      <c r="U11" t="s">
        <v>232</v>
      </c>
      <c r="V11">
        <f>SUM(V5:V9)</f>
        <v>3.7647601994649129</v>
      </c>
    </row>
    <row r="12" spans="1:22" ht="15">
      <c r="A12">
        <v>1956</v>
      </c>
      <c r="B12">
        <v>0</v>
      </c>
      <c r="C12">
        <f t="shared" si="8"/>
        <v>0.69049277228954653</v>
      </c>
      <c r="D12">
        <f t="shared" si="9"/>
        <v>-0.37034977354521781</v>
      </c>
      <c r="E12">
        <f t="shared" si="10"/>
        <v>45.572522971110068</v>
      </c>
      <c r="G12" s="71"/>
      <c r="H12" s="62"/>
      <c r="I12" s="62"/>
      <c r="J12" s="62" t="s">
        <v>173</v>
      </c>
      <c r="K12" s="64">
        <f>_xlfn.CHISQ.DIST.RT(K10,K11)</f>
        <v>0.6576957336391499</v>
      </c>
      <c r="L12" s="64" t="s">
        <v>222</v>
      </c>
      <c r="M12">
        <f>M11/66</f>
        <v>0.5</v>
      </c>
      <c r="U12" t="s">
        <v>233</v>
      </c>
      <c r="V12">
        <v>2</v>
      </c>
    </row>
    <row r="13" spans="1:22">
      <c r="A13">
        <v>1957</v>
      </c>
      <c r="B13">
        <v>2</v>
      </c>
      <c r="C13">
        <f t="shared" si="8"/>
        <v>6.9890387648661789E-2</v>
      </c>
      <c r="D13">
        <f t="shared" si="9"/>
        <v>-2.6608271549544424</v>
      </c>
      <c r="E13">
        <f t="shared" si="10"/>
        <v>4.6127655848116778</v>
      </c>
      <c r="L13" t="s">
        <v>227</v>
      </c>
      <c r="M13">
        <f>SUM(Q5:Q9)</f>
        <v>0.79545454545454541</v>
      </c>
      <c r="U13" t="s">
        <v>234</v>
      </c>
      <c r="V13">
        <f>_xlfn.CHISQ.DIST.RT(V11,V12)</f>
        <v>0.15222735794622336</v>
      </c>
    </row>
    <row r="14" spans="1:22">
      <c r="A14">
        <v>1958</v>
      </c>
      <c r="B14">
        <v>2</v>
      </c>
      <c r="C14">
        <f t="shared" si="8"/>
        <v>6.9890387648661789E-2</v>
      </c>
      <c r="D14">
        <f t="shared" si="9"/>
        <v>-2.6608271549544424</v>
      </c>
      <c r="E14">
        <f t="shared" si="10"/>
        <v>4.6127655848116778</v>
      </c>
    </row>
    <row r="15" spans="1:22">
      <c r="A15">
        <v>1959</v>
      </c>
      <c r="B15">
        <v>1</v>
      </c>
      <c r="C15">
        <f t="shared" si="8"/>
        <v>0.19465228545925223</v>
      </c>
      <c r="D15">
        <f t="shared" si="9"/>
        <v>-1.6365404636164758</v>
      </c>
      <c r="E15">
        <f t="shared" si="10"/>
        <v>12.847050840310647</v>
      </c>
      <c r="K15" s="76" t="s">
        <v>228</v>
      </c>
      <c r="M15">
        <f>(M12^2)/(M13-M12)</f>
        <v>0.84615384615384626</v>
      </c>
    </row>
    <row r="16" spans="1:22">
      <c r="A16">
        <v>1960</v>
      </c>
      <c r="B16">
        <v>0</v>
      </c>
      <c r="C16">
        <f t="shared" si="8"/>
        <v>0.69049277228954653</v>
      </c>
      <c r="D16">
        <f t="shared" si="9"/>
        <v>-0.37034977354521781</v>
      </c>
      <c r="E16">
        <f t="shared" si="10"/>
        <v>45.572522971110068</v>
      </c>
      <c r="K16" s="76" t="s">
        <v>229</v>
      </c>
      <c r="M16">
        <f>(M12)/(M13-M12)</f>
        <v>1.6923076923076925</v>
      </c>
    </row>
    <row r="17" spans="1:5">
      <c r="A17">
        <v>1961</v>
      </c>
      <c r="B17">
        <v>0</v>
      </c>
      <c r="C17">
        <f t="shared" si="8"/>
        <v>0.69049277228954653</v>
      </c>
      <c r="D17">
        <f t="shared" si="9"/>
        <v>-0.37034977354521781</v>
      </c>
      <c r="E17">
        <f t="shared" si="10"/>
        <v>45.572522971110068</v>
      </c>
    </row>
    <row r="18" spans="1:5">
      <c r="A18">
        <v>1962</v>
      </c>
      <c r="B18">
        <v>0</v>
      </c>
      <c r="C18">
        <f t="shared" si="8"/>
        <v>0.69049277228954653</v>
      </c>
      <c r="D18">
        <f t="shared" si="9"/>
        <v>-0.37034977354521781</v>
      </c>
      <c r="E18">
        <f t="shared" si="10"/>
        <v>45.572522971110068</v>
      </c>
    </row>
    <row r="19" spans="1:5">
      <c r="A19">
        <v>1963</v>
      </c>
      <c r="B19">
        <v>0</v>
      </c>
      <c r="C19">
        <f t="shared" si="8"/>
        <v>0.69049277228954653</v>
      </c>
      <c r="D19">
        <f t="shared" si="9"/>
        <v>-0.37034977354521781</v>
      </c>
      <c r="E19">
        <f t="shared" si="10"/>
        <v>45.572522971110068</v>
      </c>
    </row>
    <row r="20" spans="1:5">
      <c r="A20">
        <v>1964</v>
      </c>
      <c r="B20">
        <v>1</v>
      </c>
      <c r="C20">
        <f t="shared" si="8"/>
        <v>0.19465228545925223</v>
      </c>
      <c r="D20">
        <f t="shared" si="9"/>
        <v>-1.6365404636164758</v>
      </c>
      <c r="E20">
        <f t="shared" si="10"/>
        <v>12.847050840310647</v>
      </c>
    </row>
    <row r="21" spans="1:5">
      <c r="A21">
        <v>1965</v>
      </c>
      <c r="B21">
        <v>0</v>
      </c>
      <c r="C21">
        <f t="shared" si="8"/>
        <v>0.69049277228954653</v>
      </c>
      <c r="D21">
        <f t="shared" si="9"/>
        <v>-0.37034977354521781</v>
      </c>
      <c r="E21">
        <f t="shared" si="10"/>
        <v>45.572522971110068</v>
      </c>
    </row>
    <row r="22" spans="1:5">
      <c r="A22">
        <v>1966</v>
      </c>
      <c r="B22">
        <v>1</v>
      </c>
      <c r="C22">
        <f t="shared" si="8"/>
        <v>0.19465228545925223</v>
      </c>
      <c r="D22">
        <f t="shared" si="9"/>
        <v>-1.6365404636164758</v>
      </c>
      <c r="E22">
        <f t="shared" si="10"/>
        <v>12.847050840310647</v>
      </c>
    </row>
    <row r="23" spans="1:5">
      <c r="A23">
        <v>1967</v>
      </c>
      <c r="B23">
        <v>1</v>
      </c>
      <c r="C23">
        <f t="shared" si="8"/>
        <v>0.19465228545925223</v>
      </c>
      <c r="D23">
        <f t="shared" si="9"/>
        <v>-1.6365404636164758</v>
      </c>
      <c r="E23">
        <f t="shared" si="10"/>
        <v>12.847050840310647</v>
      </c>
    </row>
    <row r="24" spans="1:5">
      <c r="A24">
        <v>1968</v>
      </c>
      <c r="B24">
        <v>0</v>
      </c>
      <c r="C24">
        <f t="shared" si="8"/>
        <v>0.69049277228954653</v>
      </c>
      <c r="D24">
        <f t="shared" si="9"/>
        <v>-0.37034977354521781</v>
      </c>
      <c r="E24">
        <f t="shared" si="10"/>
        <v>45.572522971110068</v>
      </c>
    </row>
    <row r="25" spans="1:5">
      <c r="A25">
        <v>1969</v>
      </c>
      <c r="B25">
        <v>1</v>
      </c>
      <c r="C25">
        <f t="shared" si="8"/>
        <v>0.19465228545925223</v>
      </c>
      <c r="D25">
        <f t="shared" si="9"/>
        <v>-1.6365404636164758</v>
      </c>
      <c r="E25">
        <f t="shared" si="10"/>
        <v>12.847050840310647</v>
      </c>
    </row>
    <row r="26" spans="1:5">
      <c r="A26">
        <v>1970</v>
      </c>
      <c r="B26">
        <v>0</v>
      </c>
      <c r="C26">
        <f t="shared" si="8"/>
        <v>0.69049277228954653</v>
      </c>
      <c r="D26">
        <f t="shared" si="9"/>
        <v>-0.37034977354521781</v>
      </c>
      <c r="E26">
        <f t="shared" si="10"/>
        <v>45.572522971110068</v>
      </c>
    </row>
    <row r="27" spans="1:5">
      <c r="A27">
        <v>1971</v>
      </c>
      <c r="B27">
        <v>0</v>
      </c>
      <c r="C27">
        <f t="shared" si="8"/>
        <v>0.69049277228954653</v>
      </c>
      <c r="D27">
        <f t="shared" si="9"/>
        <v>-0.37034977354521781</v>
      </c>
      <c r="E27">
        <f t="shared" si="10"/>
        <v>45.572522971110068</v>
      </c>
    </row>
    <row r="28" spans="1:5">
      <c r="A28">
        <v>1972</v>
      </c>
      <c r="B28">
        <v>0</v>
      </c>
      <c r="C28">
        <f t="shared" si="8"/>
        <v>0.69049277228954653</v>
      </c>
      <c r="D28">
        <f t="shared" si="9"/>
        <v>-0.37034977354521781</v>
      </c>
      <c r="E28">
        <f t="shared" si="10"/>
        <v>45.572522971110068</v>
      </c>
    </row>
    <row r="29" spans="1:5">
      <c r="A29">
        <v>1973</v>
      </c>
      <c r="B29">
        <v>0</v>
      </c>
      <c r="C29">
        <f t="shared" si="8"/>
        <v>0.69049277228954653</v>
      </c>
      <c r="D29">
        <f t="shared" si="9"/>
        <v>-0.37034977354521781</v>
      </c>
      <c r="E29">
        <f t="shared" si="10"/>
        <v>45.572522971110068</v>
      </c>
    </row>
    <row r="30" spans="1:5">
      <c r="A30">
        <v>1974</v>
      </c>
      <c r="B30">
        <v>0</v>
      </c>
      <c r="C30">
        <f t="shared" si="8"/>
        <v>0.69049277228954653</v>
      </c>
      <c r="D30">
        <f t="shared" si="9"/>
        <v>-0.37034977354521781</v>
      </c>
      <c r="E30">
        <f t="shared" si="10"/>
        <v>45.572522971110068</v>
      </c>
    </row>
    <row r="31" spans="1:5">
      <c r="A31">
        <v>1975</v>
      </c>
      <c r="B31">
        <v>0</v>
      </c>
      <c r="C31">
        <f t="shared" si="8"/>
        <v>0.69049277228954653</v>
      </c>
      <c r="D31">
        <f t="shared" si="9"/>
        <v>-0.37034977354521781</v>
      </c>
      <c r="E31">
        <f t="shared" si="10"/>
        <v>45.572522971110068</v>
      </c>
    </row>
    <row r="32" spans="1:5">
      <c r="A32">
        <v>1976</v>
      </c>
      <c r="B32">
        <v>0</v>
      </c>
      <c r="C32">
        <f t="shared" si="8"/>
        <v>0.69049277228954653</v>
      </c>
      <c r="D32">
        <f t="shared" si="9"/>
        <v>-0.37034977354521781</v>
      </c>
      <c r="E32">
        <f t="shared" si="10"/>
        <v>45.572522971110068</v>
      </c>
    </row>
    <row r="33" spans="1:5">
      <c r="A33">
        <v>1977</v>
      </c>
      <c r="B33">
        <v>1</v>
      </c>
      <c r="C33">
        <f t="shared" si="8"/>
        <v>0.19465228545925223</v>
      </c>
      <c r="D33">
        <f t="shared" si="9"/>
        <v>-1.6365404636164758</v>
      </c>
      <c r="E33">
        <f t="shared" si="10"/>
        <v>12.847050840310647</v>
      </c>
    </row>
    <row r="34" spans="1:5">
      <c r="A34">
        <v>1978</v>
      </c>
      <c r="B34">
        <v>0</v>
      </c>
      <c r="C34">
        <f t="shared" si="8"/>
        <v>0.69049277228954653</v>
      </c>
      <c r="D34">
        <f t="shared" si="9"/>
        <v>-0.37034977354521781</v>
      </c>
      <c r="E34">
        <f t="shared" si="10"/>
        <v>45.572522971110068</v>
      </c>
    </row>
    <row r="35" spans="1:5">
      <c r="A35">
        <v>1979</v>
      </c>
      <c r="B35">
        <v>1</v>
      </c>
      <c r="C35">
        <f t="shared" si="8"/>
        <v>0.19465228545925223</v>
      </c>
      <c r="D35">
        <f t="shared" si="9"/>
        <v>-1.6365404636164758</v>
      </c>
      <c r="E35">
        <f t="shared" si="10"/>
        <v>12.847050840310647</v>
      </c>
    </row>
    <row r="36" spans="1:5">
      <c r="A36">
        <v>1980</v>
      </c>
      <c r="B36">
        <v>1</v>
      </c>
      <c r="C36">
        <f t="shared" si="8"/>
        <v>0.19465228545925223</v>
      </c>
      <c r="D36">
        <f t="shared" si="9"/>
        <v>-1.6365404636164758</v>
      </c>
      <c r="E36">
        <f t="shared" si="10"/>
        <v>12.847050840310647</v>
      </c>
    </row>
    <row r="37" spans="1:5">
      <c r="A37">
        <v>1981</v>
      </c>
      <c r="B37">
        <v>1</v>
      </c>
      <c r="C37">
        <f t="shared" si="8"/>
        <v>0.19465228545925223</v>
      </c>
      <c r="D37">
        <f t="shared" si="9"/>
        <v>-1.6365404636164758</v>
      </c>
      <c r="E37">
        <f t="shared" si="10"/>
        <v>12.847050840310647</v>
      </c>
    </row>
    <row r="38" spans="1:5">
      <c r="A38">
        <v>1982</v>
      </c>
      <c r="B38">
        <v>0</v>
      </c>
      <c r="C38">
        <f t="shared" si="8"/>
        <v>0.69049277228954653</v>
      </c>
      <c r="D38">
        <f t="shared" si="9"/>
        <v>-0.37034977354521781</v>
      </c>
      <c r="E38">
        <f t="shared" si="10"/>
        <v>45.572522971110068</v>
      </c>
    </row>
    <row r="39" spans="1:5">
      <c r="A39">
        <v>1983</v>
      </c>
      <c r="B39">
        <v>0</v>
      </c>
      <c r="C39">
        <f t="shared" si="8"/>
        <v>0.69049277228954653</v>
      </c>
      <c r="D39">
        <f t="shared" si="9"/>
        <v>-0.37034977354521781</v>
      </c>
      <c r="E39">
        <f t="shared" si="10"/>
        <v>45.572522971110068</v>
      </c>
    </row>
    <row r="40" spans="1:5">
      <c r="A40">
        <v>1984</v>
      </c>
      <c r="B40">
        <v>0</v>
      </c>
      <c r="C40">
        <f t="shared" si="8"/>
        <v>0.69049277228954653</v>
      </c>
      <c r="D40">
        <f t="shared" si="9"/>
        <v>-0.37034977354521781</v>
      </c>
      <c r="E40">
        <f t="shared" si="10"/>
        <v>45.572522971110068</v>
      </c>
    </row>
    <row r="41" spans="1:5">
      <c r="A41">
        <v>1985</v>
      </c>
      <c r="B41">
        <v>0</v>
      </c>
      <c r="C41">
        <f t="shared" si="8"/>
        <v>0.69049277228954653</v>
      </c>
      <c r="D41">
        <f t="shared" si="9"/>
        <v>-0.37034977354521781</v>
      </c>
      <c r="E41">
        <f t="shared" si="10"/>
        <v>45.572522971110068</v>
      </c>
    </row>
    <row r="42" spans="1:5">
      <c r="A42">
        <v>1986</v>
      </c>
      <c r="B42">
        <v>2</v>
      </c>
      <c r="C42">
        <f t="shared" si="8"/>
        <v>6.9890387648661789E-2</v>
      </c>
      <c r="D42">
        <f t="shared" si="9"/>
        <v>-2.6608271549544424</v>
      </c>
      <c r="E42">
        <f t="shared" si="10"/>
        <v>4.6127655848116778</v>
      </c>
    </row>
    <row r="43" spans="1:5">
      <c r="A43">
        <v>1987</v>
      </c>
      <c r="B43">
        <v>0</v>
      </c>
      <c r="C43">
        <f t="shared" si="8"/>
        <v>0.69049277228954653</v>
      </c>
      <c r="D43">
        <f t="shared" si="9"/>
        <v>-0.37034977354521781</v>
      </c>
      <c r="E43">
        <f t="shared" si="10"/>
        <v>45.572522971110068</v>
      </c>
    </row>
    <row r="44" spans="1:5">
      <c r="A44">
        <v>1988</v>
      </c>
      <c r="B44">
        <v>0</v>
      </c>
      <c r="C44">
        <f t="shared" si="8"/>
        <v>0.69049277228954653</v>
      </c>
      <c r="D44">
        <f t="shared" si="9"/>
        <v>-0.37034977354521781</v>
      </c>
      <c r="E44">
        <f t="shared" si="10"/>
        <v>45.572522971110068</v>
      </c>
    </row>
    <row r="45" spans="1:5">
      <c r="A45">
        <v>1989</v>
      </c>
      <c r="B45">
        <v>2</v>
      </c>
      <c r="C45">
        <f t="shared" si="8"/>
        <v>6.9890387648661789E-2</v>
      </c>
      <c r="D45">
        <f t="shared" si="9"/>
        <v>-2.6608271549544424</v>
      </c>
      <c r="E45">
        <f t="shared" si="10"/>
        <v>4.6127655848116778</v>
      </c>
    </row>
    <row r="46" spans="1:5">
      <c r="A46">
        <v>1990</v>
      </c>
      <c r="B46">
        <v>0</v>
      </c>
      <c r="C46">
        <f t="shared" si="8"/>
        <v>0.69049277228954653</v>
      </c>
      <c r="D46">
        <f t="shared" si="9"/>
        <v>-0.37034977354521781</v>
      </c>
      <c r="E46">
        <f t="shared" si="10"/>
        <v>45.572522971110068</v>
      </c>
    </row>
    <row r="47" spans="1:5">
      <c r="A47">
        <v>1991</v>
      </c>
      <c r="B47">
        <v>0</v>
      </c>
      <c r="C47">
        <f t="shared" si="8"/>
        <v>0.69049277228954653</v>
      </c>
      <c r="D47">
        <f t="shared" si="9"/>
        <v>-0.37034977354521781</v>
      </c>
      <c r="E47">
        <f t="shared" si="10"/>
        <v>45.572522971110068</v>
      </c>
    </row>
    <row r="48" spans="1:5">
      <c r="A48">
        <v>1992</v>
      </c>
      <c r="B48">
        <v>0</v>
      </c>
      <c r="C48">
        <f t="shared" si="8"/>
        <v>0.69049277228954653</v>
      </c>
      <c r="D48">
        <f t="shared" si="9"/>
        <v>-0.37034977354521781</v>
      </c>
      <c r="E48">
        <f t="shared" si="10"/>
        <v>45.572522971110068</v>
      </c>
    </row>
    <row r="49" spans="1:5">
      <c r="A49">
        <v>1993</v>
      </c>
      <c r="B49">
        <v>2</v>
      </c>
      <c r="C49">
        <f t="shared" si="8"/>
        <v>6.9890387648661789E-2</v>
      </c>
      <c r="D49">
        <f t="shared" si="9"/>
        <v>-2.6608271549544424</v>
      </c>
      <c r="E49">
        <f t="shared" si="10"/>
        <v>4.6127655848116778</v>
      </c>
    </row>
    <row r="50" spans="1:5">
      <c r="A50">
        <v>1994</v>
      </c>
      <c r="B50">
        <v>0</v>
      </c>
      <c r="C50">
        <f t="shared" si="8"/>
        <v>0.69049277228954653</v>
      </c>
      <c r="D50">
        <f t="shared" si="9"/>
        <v>-0.37034977354521781</v>
      </c>
      <c r="E50">
        <f t="shared" si="10"/>
        <v>45.572522971110068</v>
      </c>
    </row>
    <row r="51" spans="1:5">
      <c r="A51">
        <v>1995</v>
      </c>
      <c r="B51">
        <v>0</v>
      </c>
      <c r="C51">
        <f t="shared" si="8"/>
        <v>0.69049277228954653</v>
      </c>
      <c r="D51">
        <f t="shared" si="9"/>
        <v>-0.37034977354521781</v>
      </c>
      <c r="E51">
        <f t="shared" si="10"/>
        <v>45.572522971110068</v>
      </c>
    </row>
    <row r="52" spans="1:5">
      <c r="A52">
        <v>1996</v>
      </c>
      <c r="B52">
        <v>0</v>
      </c>
      <c r="C52">
        <f t="shared" si="8"/>
        <v>0.69049277228954653</v>
      </c>
      <c r="D52">
        <f t="shared" si="9"/>
        <v>-0.37034977354521781</v>
      </c>
      <c r="E52">
        <f t="shared" si="10"/>
        <v>45.572522971110068</v>
      </c>
    </row>
    <row r="53" spans="1:5">
      <c r="A53">
        <v>1997</v>
      </c>
      <c r="B53">
        <v>0</v>
      </c>
      <c r="C53">
        <f t="shared" si="8"/>
        <v>0.69049277228954653</v>
      </c>
      <c r="D53">
        <f t="shared" si="9"/>
        <v>-0.37034977354521781</v>
      </c>
      <c r="E53">
        <f t="shared" si="10"/>
        <v>45.572522971110068</v>
      </c>
    </row>
    <row r="54" spans="1:5">
      <c r="A54">
        <v>1998</v>
      </c>
      <c r="B54">
        <v>0</v>
      </c>
      <c r="C54">
        <f t="shared" si="8"/>
        <v>0.69049277228954653</v>
      </c>
      <c r="D54">
        <f t="shared" si="9"/>
        <v>-0.37034977354521781</v>
      </c>
      <c r="E54">
        <f t="shared" si="10"/>
        <v>45.572522971110068</v>
      </c>
    </row>
    <row r="55" spans="1:5">
      <c r="A55">
        <v>1999</v>
      </c>
      <c r="B55">
        <v>4</v>
      </c>
      <c r="C55">
        <f t="shared" si="8"/>
        <v>1.069284391226202E-2</v>
      </c>
      <c r="D55">
        <f t="shared" si="9"/>
        <v>-4.5381805545027838</v>
      </c>
      <c r="E55">
        <f t="shared" si="10"/>
        <v>0.70572769820929326</v>
      </c>
    </row>
    <row r="56" spans="1:5">
      <c r="A56">
        <v>2000</v>
      </c>
      <c r="B56">
        <v>0</v>
      </c>
      <c r="C56">
        <f t="shared" si="8"/>
        <v>0.69049277228954653</v>
      </c>
      <c r="D56">
        <f t="shared" si="9"/>
        <v>-0.37034977354521781</v>
      </c>
      <c r="E56">
        <f t="shared" si="10"/>
        <v>45.572522971110068</v>
      </c>
    </row>
    <row r="57" spans="1:5">
      <c r="A57">
        <v>2001</v>
      </c>
      <c r="B57">
        <v>0</v>
      </c>
      <c r="C57">
        <f t="shared" si="8"/>
        <v>0.69049277228954653</v>
      </c>
      <c r="D57">
        <f t="shared" si="9"/>
        <v>-0.37034977354521781</v>
      </c>
      <c r="E57">
        <f t="shared" si="10"/>
        <v>45.572522971110068</v>
      </c>
    </row>
    <row r="58" spans="1:5">
      <c r="A58">
        <v>2002</v>
      </c>
      <c r="B58">
        <v>0</v>
      </c>
      <c r="C58">
        <f t="shared" si="8"/>
        <v>0.69049277228954653</v>
      </c>
      <c r="D58">
        <f t="shared" si="9"/>
        <v>-0.37034977354521781</v>
      </c>
      <c r="E58">
        <f t="shared" si="10"/>
        <v>45.572522971110068</v>
      </c>
    </row>
    <row r="59" spans="1:5">
      <c r="A59">
        <v>2003</v>
      </c>
      <c r="B59">
        <v>1</v>
      </c>
      <c r="C59">
        <f t="shared" si="8"/>
        <v>0.19465228545925223</v>
      </c>
      <c r="D59">
        <f t="shared" si="9"/>
        <v>-1.6365404636164758</v>
      </c>
      <c r="E59">
        <f t="shared" si="10"/>
        <v>12.847050840310647</v>
      </c>
    </row>
    <row r="60" spans="1:5">
      <c r="A60">
        <v>2004</v>
      </c>
      <c r="B60">
        <v>0</v>
      </c>
      <c r="C60">
        <f t="shared" si="8"/>
        <v>0.69049277228954653</v>
      </c>
      <c r="D60">
        <f t="shared" si="9"/>
        <v>-0.37034977354521781</v>
      </c>
      <c r="E60">
        <f t="shared" si="10"/>
        <v>45.572522971110068</v>
      </c>
    </row>
    <row r="61" spans="1:5">
      <c r="A61">
        <v>2005</v>
      </c>
      <c r="B61">
        <v>3</v>
      </c>
      <c r="C61">
        <f t="shared" si="8"/>
        <v>2.6891643399741941E-2</v>
      </c>
      <c r="D61">
        <f t="shared" si="9"/>
        <v>-3.6159396949220679</v>
      </c>
      <c r="E61">
        <f t="shared" si="10"/>
        <v>1.7748484643829681</v>
      </c>
    </row>
    <row r="62" spans="1:5">
      <c r="A62">
        <v>2006</v>
      </c>
      <c r="B62">
        <v>3</v>
      </c>
      <c r="C62">
        <f t="shared" si="8"/>
        <v>2.6891643399741941E-2</v>
      </c>
      <c r="D62">
        <f t="shared" si="9"/>
        <v>-3.6159396949220679</v>
      </c>
      <c r="E62">
        <f t="shared" si="10"/>
        <v>1.7748484643829681</v>
      </c>
    </row>
    <row r="63" spans="1:5">
      <c r="A63">
        <v>2007</v>
      </c>
      <c r="B63">
        <v>0</v>
      </c>
      <c r="C63">
        <f t="shared" si="8"/>
        <v>0.69049277228954653</v>
      </c>
      <c r="D63">
        <f t="shared" si="9"/>
        <v>-0.37034977354521781</v>
      </c>
      <c r="E63">
        <f t="shared" si="10"/>
        <v>45.572522971110068</v>
      </c>
    </row>
    <row r="64" spans="1:5">
      <c r="A64">
        <v>2008</v>
      </c>
      <c r="B64">
        <v>0</v>
      </c>
      <c r="C64">
        <f t="shared" si="8"/>
        <v>0.69049277228954653</v>
      </c>
      <c r="D64">
        <f t="shared" si="9"/>
        <v>-0.37034977354521781</v>
      </c>
      <c r="E64">
        <f t="shared" si="10"/>
        <v>45.572522971110068</v>
      </c>
    </row>
    <row r="65" spans="1:5">
      <c r="A65">
        <v>2009</v>
      </c>
      <c r="B65">
        <v>0</v>
      </c>
      <c r="C65">
        <f t="shared" si="8"/>
        <v>0.69049277228954653</v>
      </c>
      <c r="D65">
        <f t="shared" si="9"/>
        <v>-0.37034977354521781</v>
      </c>
      <c r="E65">
        <f t="shared" si="10"/>
        <v>45.572522971110068</v>
      </c>
    </row>
    <row r="66" spans="1:5">
      <c r="A66">
        <v>2010</v>
      </c>
      <c r="B66">
        <v>0</v>
      </c>
      <c r="C66">
        <f t="shared" si="8"/>
        <v>0.69049277228954653</v>
      </c>
      <c r="D66">
        <f t="shared" si="9"/>
        <v>-0.37034977354521781</v>
      </c>
      <c r="E66">
        <f t="shared" si="10"/>
        <v>45.572522971110068</v>
      </c>
    </row>
    <row r="67" spans="1:5">
      <c r="A67">
        <v>2011</v>
      </c>
      <c r="B67">
        <v>2</v>
      </c>
      <c r="C67">
        <f t="shared" si="8"/>
        <v>6.9890387648661789E-2</v>
      </c>
      <c r="D67">
        <f t="shared" si="9"/>
        <v>-2.6608271549544424</v>
      </c>
      <c r="E67">
        <f t="shared" si="10"/>
        <v>4.6127655848116778</v>
      </c>
    </row>
    <row r="68" spans="1:5">
      <c r="A68">
        <v>2012</v>
      </c>
      <c r="B68">
        <v>0</v>
      </c>
      <c r="C68">
        <f t="shared" si="8"/>
        <v>0.69049277228954653</v>
      </c>
      <c r="D68">
        <f t="shared" si="9"/>
        <v>-0.37034977354521781</v>
      </c>
      <c r="E68">
        <f t="shared" si="10"/>
        <v>45.572522971110068</v>
      </c>
    </row>
    <row r="69" spans="1:5">
      <c r="A69">
        <v>2013</v>
      </c>
      <c r="B69">
        <v>0</v>
      </c>
      <c r="C69">
        <f t="shared" si="8"/>
        <v>0.69049277228954653</v>
      </c>
      <c r="D69">
        <f t="shared" si="9"/>
        <v>-0.37034977354521781</v>
      </c>
      <c r="E69">
        <f t="shared" si="10"/>
        <v>45.572522971110068</v>
      </c>
    </row>
    <row r="70" spans="1:5">
      <c r="A70">
        <v>2014</v>
      </c>
      <c r="B70">
        <v>0</v>
      </c>
      <c r="C70">
        <f t="shared" si="8"/>
        <v>0.69049277228954653</v>
      </c>
      <c r="D70">
        <f t="shared" si="9"/>
        <v>-0.37034977354521781</v>
      </c>
      <c r="E70">
        <f t="shared" si="10"/>
        <v>45.572522971110068</v>
      </c>
    </row>
    <row r="71" spans="1:5">
      <c r="A71">
        <v>2015</v>
      </c>
      <c r="B71">
        <v>0</v>
      </c>
      <c r="C71">
        <f>(($B$2/($B$2+1))^$B$1)*((1/($B$2+1))^B71)*(EXP(GAMMALN($B$1+B71)-GAMMALN($B$1)-GAMMALN(B71+1)))</f>
        <v>0.69049277228954653</v>
      </c>
      <c r="D71">
        <f>LN(C71)</f>
        <v>-0.37034977354521781</v>
      </c>
      <c r="E71">
        <f>C71*66</f>
        <v>45.572522971110068</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workbookViewId="0">
      <selection activeCell="K13" sqref="K13"/>
    </sheetView>
  </sheetViews>
  <sheetFormatPr baseColWidth="10" defaultRowHeight="12" x14ac:dyDescent="0"/>
  <cols>
    <col min="3" max="3" width="11" bestFit="1" customWidth="1"/>
    <col min="4" max="5" width="11.6640625" bestFit="1" customWidth="1"/>
    <col min="6" max="6" width="11" bestFit="1" customWidth="1"/>
    <col min="8" max="8" width="14.83203125" bestFit="1" customWidth="1"/>
    <col min="9" max="9" width="11.33203125" bestFit="1" customWidth="1"/>
    <col min="10" max="10" width="16.5" customWidth="1"/>
    <col min="11" max="11" width="15.5" bestFit="1" customWidth="1"/>
    <col min="12" max="12" width="14.83203125" bestFit="1" customWidth="1"/>
  </cols>
  <sheetData>
    <row r="1" spans="1:12" ht="30">
      <c r="A1" t="s">
        <v>153</v>
      </c>
      <c r="B1">
        <v>0.64626877583187525</v>
      </c>
      <c r="D1" t="s">
        <v>162</v>
      </c>
      <c r="E1" t="s">
        <v>163</v>
      </c>
      <c r="F1">
        <f>(B1/B2)+(B1/(B2^2))</f>
        <v>0.88685496736583991</v>
      </c>
      <c r="G1" s="49" t="s">
        <v>153</v>
      </c>
      <c r="H1" s="51">
        <f>ROUND(0.646268775831875, 3)</f>
        <v>0.64600000000000002</v>
      </c>
      <c r="I1" s="67"/>
      <c r="J1" s="49" t="s">
        <v>162</v>
      </c>
      <c r="K1" s="67" t="s">
        <v>163</v>
      </c>
      <c r="L1" s="51">
        <f>ROUND((H1/H2)+(H1/(H2^2)),2)</f>
        <v>0.89</v>
      </c>
    </row>
    <row r="2" spans="1:12" ht="15">
      <c r="A2" t="s">
        <v>154</v>
      </c>
      <c r="B2">
        <v>1.292518259497847</v>
      </c>
      <c r="D2" t="s">
        <v>158</v>
      </c>
      <c r="E2">
        <f>B1/B2</f>
        <v>0.50000746301484011</v>
      </c>
      <c r="G2" s="68" t="s">
        <v>154</v>
      </c>
      <c r="H2" s="64">
        <f>ROUND(1.29251825949785,3)</f>
        <v>1.2929999999999999</v>
      </c>
      <c r="I2" s="53"/>
      <c r="J2" s="69" t="s">
        <v>158</v>
      </c>
      <c r="K2" s="53"/>
      <c r="L2" s="54">
        <f>ROUND(0.500007463,2)</f>
        <v>0.5</v>
      </c>
    </row>
    <row r="3" spans="1:12" ht="15">
      <c r="D3" t="s">
        <v>157</v>
      </c>
      <c r="E3">
        <f>SUM(D6:D71)</f>
        <v>-62.773057556934759</v>
      </c>
      <c r="G3" s="70"/>
      <c r="H3" s="53"/>
      <c r="I3" s="53"/>
      <c r="J3" s="68" t="s">
        <v>157</v>
      </c>
      <c r="K3" s="62"/>
      <c r="L3" s="64">
        <f>ROUND(-62.77305756, 2)</f>
        <v>-62.77</v>
      </c>
    </row>
    <row r="4" spans="1:12" ht="30">
      <c r="G4" s="49" t="s">
        <v>176</v>
      </c>
      <c r="H4" s="67" t="s">
        <v>152</v>
      </c>
      <c r="I4" s="67" t="s">
        <v>168</v>
      </c>
      <c r="J4" s="67" t="s">
        <v>169</v>
      </c>
      <c r="K4" s="51" t="s">
        <v>170</v>
      </c>
      <c r="L4" s="54"/>
    </row>
    <row r="5" spans="1:12" ht="15">
      <c r="A5" t="s">
        <v>151</v>
      </c>
      <c r="B5" t="s">
        <v>152</v>
      </c>
      <c r="C5" t="s">
        <v>155</v>
      </c>
      <c r="D5" t="s">
        <v>156</v>
      </c>
      <c r="G5" s="70"/>
      <c r="H5" s="53">
        <v>0</v>
      </c>
      <c r="I5" s="53">
        <v>46</v>
      </c>
      <c r="J5" s="53">
        <f>ROUND(E6,3)</f>
        <v>45.573</v>
      </c>
      <c r="K5" s="54">
        <f>ROUND((((I5-J5)^2)/J5),3)</f>
        <v>4.0000000000000001E-3</v>
      </c>
      <c r="L5" s="54"/>
    </row>
    <row r="6" spans="1:12" ht="15">
      <c r="A6">
        <v>1950</v>
      </c>
      <c r="B6">
        <v>0</v>
      </c>
      <c r="C6">
        <f>(($B$2/($B$2+1))^$B$1)*((1/($B$2+1))^B6)*(EXP(GAMMALN($B$1+B6)-GAMMALN($B$1)-GAMMALN(B6+1)))</f>
        <v>0.69049277228954653</v>
      </c>
      <c r="D6">
        <f>LN(C6)</f>
        <v>-0.37034977354521781</v>
      </c>
      <c r="E6">
        <f>C6*66</f>
        <v>45.572522971110068</v>
      </c>
      <c r="G6" s="70"/>
      <c r="H6" s="53">
        <v>1</v>
      </c>
      <c r="I6" s="53">
        <v>11</v>
      </c>
      <c r="J6" s="53">
        <f>ROUND(E8,3)</f>
        <v>12.847</v>
      </c>
      <c r="K6" s="54">
        <f>ROUND((((I6-J6)^2)/J6),3)</f>
        <v>0.26600000000000001</v>
      </c>
      <c r="L6" s="54"/>
    </row>
    <row r="7" spans="1:12" ht="15">
      <c r="A7">
        <v>1951</v>
      </c>
      <c r="B7">
        <v>0</v>
      </c>
      <c r="C7">
        <f t="shared" ref="C7:C70" si="0">(($B$2/($B$2+1))^$B$1)*((1/($B$2+1))^B7)*(EXP(GAMMALN($B$1+B7)-GAMMALN($B$1)-GAMMALN(B7+1)))</f>
        <v>0.69049277228954653</v>
      </c>
      <c r="D7">
        <f t="shared" ref="D7:D70" si="1">LN(C7)</f>
        <v>-0.37034977354521781</v>
      </c>
      <c r="E7">
        <f t="shared" ref="E7:E70" si="2">C7*66</f>
        <v>45.572522971110068</v>
      </c>
      <c r="G7" s="70"/>
      <c r="H7" s="53">
        <v>2</v>
      </c>
      <c r="I7" s="53">
        <v>6</v>
      </c>
      <c r="J7" s="53">
        <f>ROUND(E13,3)</f>
        <v>4.6130000000000004</v>
      </c>
      <c r="K7" s="54">
        <f>ROUND((((I7-J7)^2)/J7),3)</f>
        <v>0.41699999999999998</v>
      </c>
      <c r="L7" s="54"/>
    </row>
    <row r="8" spans="1:12" ht="15">
      <c r="A8">
        <v>1952</v>
      </c>
      <c r="B8">
        <v>1</v>
      </c>
      <c r="C8">
        <f t="shared" si="0"/>
        <v>0.19465228545925223</v>
      </c>
      <c r="D8">
        <f t="shared" si="1"/>
        <v>-1.6365404636164758</v>
      </c>
      <c r="E8">
        <f t="shared" si="2"/>
        <v>12.847050840310647</v>
      </c>
      <c r="G8" s="70"/>
      <c r="H8" s="53">
        <v>3</v>
      </c>
      <c r="I8" s="53">
        <v>2</v>
      </c>
      <c r="J8" s="53">
        <f>ROUND(E62,3)</f>
        <v>1.7749999999999999</v>
      </c>
      <c r="K8" s="54">
        <f>ROUND((((I8-J8)^2)/J8),3)</f>
        <v>2.9000000000000001E-2</v>
      </c>
      <c r="L8" s="54"/>
    </row>
    <row r="9" spans="1:12" ht="15">
      <c r="A9">
        <v>1953</v>
      </c>
      <c r="B9">
        <v>0</v>
      </c>
      <c r="C9">
        <f t="shared" si="0"/>
        <v>0.69049277228954653</v>
      </c>
      <c r="D9">
        <f t="shared" si="1"/>
        <v>-0.37034977354521781</v>
      </c>
      <c r="E9">
        <f t="shared" si="2"/>
        <v>45.572522971110068</v>
      </c>
      <c r="G9" s="70"/>
      <c r="H9" s="53">
        <v>4</v>
      </c>
      <c r="I9" s="53">
        <v>1</v>
      </c>
      <c r="J9" s="53">
        <f>ROUND(E55,3)</f>
        <v>0.70599999999999996</v>
      </c>
      <c r="K9" s="54">
        <f>ROUND((((I9-J9)^2)/J9),3)</f>
        <v>0.122</v>
      </c>
      <c r="L9" s="54"/>
    </row>
    <row r="10" spans="1:12" ht="15">
      <c r="A10">
        <v>1954</v>
      </c>
      <c r="B10">
        <v>0</v>
      </c>
      <c r="C10">
        <f t="shared" si="0"/>
        <v>0.69049277228954653</v>
      </c>
      <c r="D10">
        <f t="shared" si="1"/>
        <v>-0.37034977354521781</v>
      </c>
      <c r="E10">
        <f t="shared" si="2"/>
        <v>45.572522971110068</v>
      </c>
      <c r="G10" s="70"/>
      <c r="H10" s="53"/>
      <c r="I10" s="53"/>
      <c r="J10" s="53" t="s">
        <v>171</v>
      </c>
      <c r="K10" s="54">
        <f>SUM(K5:K9)</f>
        <v>0.83800000000000008</v>
      </c>
      <c r="L10" s="54"/>
    </row>
    <row r="11" spans="1:12" ht="15">
      <c r="A11">
        <v>1955</v>
      </c>
      <c r="B11">
        <v>0</v>
      </c>
      <c r="C11">
        <f t="shared" si="0"/>
        <v>0.69049277228954653</v>
      </c>
      <c r="D11">
        <f t="shared" si="1"/>
        <v>-0.37034977354521781</v>
      </c>
      <c r="E11">
        <f t="shared" si="2"/>
        <v>45.572522971110068</v>
      </c>
      <c r="G11" s="70"/>
      <c r="H11" s="53"/>
      <c r="I11" s="53"/>
      <c r="J11" s="53" t="s">
        <v>172</v>
      </c>
      <c r="K11" s="54">
        <v>2</v>
      </c>
      <c r="L11" s="54"/>
    </row>
    <row r="12" spans="1:12" ht="15">
      <c r="A12">
        <v>1956</v>
      </c>
      <c r="B12">
        <v>0</v>
      </c>
      <c r="C12">
        <f t="shared" si="0"/>
        <v>0.69049277228954653</v>
      </c>
      <c r="D12">
        <f t="shared" si="1"/>
        <v>-0.37034977354521781</v>
      </c>
      <c r="E12">
        <f t="shared" si="2"/>
        <v>45.572522971110068</v>
      </c>
      <c r="G12" s="71"/>
      <c r="H12" s="62"/>
      <c r="I12" s="62"/>
      <c r="J12" s="62" t="s">
        <v>173</v>
      </c>
      <c r="K12" s="64">
        <f>ROUND(_xlfn.CHISQ.DIST.RT(K10,K11), 4)</f>
        <v>0.65769999999999995</v>
      </c>
      <c r="L12" s="64"/>
    </row>
    <row r="13" spans="1:12">
      <c r="A13">
        <v>1957</v>
      </c>
      <c r="B13">
        <v>2</v>
      </c>
      <c r="C13">
        <f t="shared" si="0"/>
        <v>6.9890387648661789E-2</v>
      </c>
      <c r="D13">
        <f t="shared" si="1"/>
        <v>-2.6608271549544424</v>
      </c>
      <c r="E13">
        <f t="shared" si="2"/>
        <v>4.6127655848116778</v>
      </c>
    </row>
    <row r="14" spans="1:12">
      <c r="A14">
        <v>1958</v>
      </c>
      <c r="B14">
        <v>2</v>
      </c>
      <c r="C14">
        <f t="shared" si="0"/>
        <v>6.9890387648661789E-2</v>
      </c>
      <c r="D14">
        <f t="shared" si="1"/>
        <v>-2.6608271549544424</v>
      </c>
      <c r="E14">
        <f t="shared" si="2"/>
        <v>4.6127655848116778</v>
      </c>
    </row>
    <row r="15" spans="1:12">
      <c r="A15">
        <v>1959</v>
      </c>
      <c r="B15">
        <v>1</v>
      </c>
      <c r="C15">
        <f t="shared" si="0"/>
        <v>0.19465228545925223</v>
      </c>
      <c r="D15">
        <f t="shared" si="1"/>
        <v>-1.6365404636164758</v>
      </c>
      <c r="E15">
        <f t="shared" si="2"/>
        <v>12.847050840310647</v>
      </c>
    </row>
    <row r="16" spans="1:12">
      <c r="A16">
        <v>1960</v>
      </c>
      <c r="B16">
        <v>0</v>
      </c>
      <c r="C16">
        <f t="shared" si="0"/>
        <v>0.69049277228954653</v>
      </c>
      <c r="D16">
        <f t="shared" si="1"/>
        <v>-0.37034977354521781</v>
      </c>
      <c r="E16">
        <f t="shared" si="2"/>
        <v>45.572522971110068</v>
      </c>
    </row>
    <row r="17" spans="1:5">
      <c r="A17">
        <v>1961</v>
      </c>
      <c r="B17">
        <v>0</v>
      </c>
      <c r="C17">
        <f t="shared" si="0"/>
        <v>0.69049277228954653</v>
      </c>
      <c r="D17">
        <f t="shared" si="1"/>
        <v>-0.37034977354521781</v>
      </c>
      <c r="E17">
        <f t="shared" si="2"/>
        <v>45.572522971110068</v>
      </c>
    </row>
    <row r="18" spans="1:5">
      <c r="A18">
        <v>1962</v>
      </c>
      <c r="B18">
        <v>0</v>
      </c>
      <c r="C18">
        <f t="shared" si="0"/>
        <v>0.69049277228954653</v>
      </c>
      <c r="D18">
        <f t="shared" si="1"/>
        <v>-0.37034977354521781</v>
      </c>
      <c r="E18">
        <f t="shared" si="2"/>
        <v>45.572522971110068</v>
      </c>
    </row>
    <row r="19" spans="1:5">
      <c r="A19">
        <v>1963</v>
      </c>
      <c r="B19">
        <v>0</v>
      </c>
      <c r="C19">
        <f t="shared" si="0"/>
        <v>0.69049277228954653</v>
      </c>
      <c r="D19">
        <f t="shared" si="1"/>
        <v>-0.37034977354521781</v>
      </c>
      <c r="E19">
        <f t="shared" si="2"/>
        <v>45.572522971110068</v>
      </c>
    </row>
    <row r="20" spans="1:5">
      <c r="A20">
        <v>1964</v>
      </c>
      <c r="B20">
        <v>1</v>
      </c>
      <c r="C20">
        <f t="shared" si="0"/>
        <v>0.19465228545925223</v>
      </c>
      <c r="D20">
        <f t="shared" si="1"/>
        <v>-1.6365404636164758</v>
      </c>
      <c r="E20">
        <f t="shared" si="2"/>
        <v>12.847050840310647</v>
      </c>
    </row>
    <row r="21" spans="1:5">
      <c r="A21">
        <v>1965</v>
      </c>
      <c r="B21">
        <v>0</v>
      </c>
      <c r="C21">
        <f t="shared" si="0"/>
        <v>0.69049277228954653</v>
      </c>
      <c r="D21">
        <f t="shared" si="1"/>
        <v>-0.37034977354521781</v>
      </c>
      <c r="E21">
        <f t="shared" si="2"/>
        <v>45.572522971110068</v>
      </c>
    </row>
    <row r="22" spans="1:5">
      <c r="A22">
        <v>1966</v>
      </c>
      <c r="B22">
        <v>1</v>
      </c>
      <c r="C22">
        <f t="shared" si="0"/>
        <v>0.19465228545925223</v>
      </c>
      <c r="D22">
        <f t="shared" si="1"/>
        <v>-1.6365404636164758</v>
      </c>
      <c r="E22">
        <f t="shared" si="2"/>
        <v>12.847050840310647</v>
      </c>
    </row>
    <row r="23" spans="1:5">
      <c r="A23">
        <v>1967</v>
      </c>
      <c r="B23">
        <v>1</v>
      </c>
      <c r="C23">
        <f t="shared" si="0"/>
        <v>0.19465228545925223</v>
      </c>
      <c r="D23">
        <f t="shared" si="1"/>
        <v>-1.6365404636164758</v>
      </c>
      <c r="E23">
        <f t="shared" si="2"/>
        <v>12.847050840310647</v>
      </c>
    </row>
    <row r="24" spans="1:5">
      <c r="A24">
        <v>1968</v>
      </c>
      <c r="B24">
        <v>0</v>
      </c>
      <c r="C24">
        <f t="shared" si="0"/>
        <v>0.69049277228954653</v>
      </c>
      <c r="D24">
        <f t="shared" si="1"/>
        <v>-0.37034977354521781</v>
      </c>
      <c r="E24">
        <f t="shared" si="2"/>
        <v>45.572522971110068</v>
      </c>
    </row>
    <row r="25" spans="1:5">
      <c r="A25">
        <v>1969</v>
      </c>
      <c r="B25">
        <v>1</v>
      </c>
      <c r="C25">
        <f t="shared" si="0"/>
        <v>0.19465228545925223</v>
      </c>
      <c r="D25">
        <f t="shared" si="1"/>
        <v>-1.6365404636164758</v>
      </c>
      <c r="E25">
        <f t="shared" si="2"/>
        <v>12.847050840310647</v>
      </c>
    </row>
    <row r="26" spans="1:5">
      <c r="A26">
        <v>1970</v>
      </c>
      <c r="B26">
        <v>0</v>
      </c>
      <c r="C26">
        <f t="shared" si="0"/>
        <v>0.69049277228954653</v>
      </c>
      <c r="D26">
        <f t="shared" si="1"/>
        <v>-0.37034977354521781</v>
      </c>
      <c r="E26">
        <f t="shared" si="2"/>
        <v>45.572522971110068</v>
      </c>
    </row>
    <row r="27" spans="1:5">
      <c r="A27">
        <v>1971</v>
      </c>
      <c r="B27">
        <v>0</v>
      </c>
      <c r="C27">
        <f t="shared" si="0"/>
        <v>0.69049277228954653</v>
      </c>
      <c r="D27">
        <f t="shared" si="1"/>
        <v>-0.37034977354521781</v>
      </c>
      <c r="E27">
        <f t="shared" si="2"/>
        <v>45.572522971110068</v>
      </c>
    </row>
    <row r="28" spans="1:5">
      <c r="A28">
        <v>1972</v>
      </c>
      <c r="B28">
        <v>0</v>
      </c>
      <c r="C28">
        <f t="shared" si="0"/>
        <v>0.69049277228954653</v>
      </c>
      <c r="D28">
        <f t="shared" si="1"/>
        <v>-0.37034977354521781</v>
      </c>
      <c r="E28">
        <f t="shared" si="2"/>
        <v>45.572522971110068</v>
      </c>
    </row>
    <row r="29" spans="1:5">
      <c r="A29">
        <v>1973</v>
      </c>
      <c r="B29">
        <v>0</v>
      </c>
      <c r="C29">
        <f t="shared" si="0"/>
        <v>0.69049277228954653</v>
      </c>
      <c r="D29">
        <f t="shared" si="1"/>
        <v>-0.37034977354521781</v>
      </c>
      <c r="E29">
        <f t="shared" si="2"/>
        <v>45.572522971110068</v>
      </c>
    </row>
    <row r="30" spans="1:5">
      <c r="A30">
        <v>1974</v>
      </c>
      <c r="B30">
        <v>0</v>
      </c>
      <c r="C30">
        <f t="shared" si="0"/>
        <v>0.69049277228954653</v>
      </c>
      <c r="D30">
        <f t="shared" si="1"/>
        <v>-0.37034977354521781</v>
      </c>
      <c r="E30">
        <f t="shared" si="2"/>
        <v>45.572522971110068</v>
      </c>
    </row>
    <row r="31" spans="1:5">
      <c r="A31">
        <v>1975</v>
      </c>
      <c r="B31">
        <v>0</v>
      </c>
      <c r="C31">
        <f t="shared" si="0"/>
        <v>0.69049277228954653</v>
      </c>
      <c r="D31">
        <f t="shared" si="1"/>
        <v>-0.37034977354521781</v>
      </c>
      <c r="E31">
        <f t="shared" si="2"/>
        <v>45.572522971110068</v>
      </c>
    </row>
    <row r="32" spans="1:5">
      <c r="A32">
        <v>1976</v>
      </c>
      <c r="B32">
        <v>0</v>
      </c>
      <c r="C32">
        <f t="shared" si="0"/>
        <v>0.69049277228954653</v>
      </c>
      <c r="D32">
        <f t="shared" si="1"/>
        <v>-0.37034977354521781</v>
      </c>
      <c r="E32">
        <f t="shared" si="2"/>
        <v>45.572522971110068</v>
      </c>
    </row>
    <row r="33" spans="1:5">
      <c r="A33">
        <v>1977</v>
      </c>
      <c r="B33">
        <v>1</v>
      </c>
      <c r="C33">
        <f t="shared" si="0"/>
        <v>0.19465228545925223</v>
      </c>
      <c r="D33">
        <f t="shared" si="1"/>
        <v>-1.6365404636164758</v>
      </c>
      <c r="E33">
        <f t="shared" si="2"/>
        <v>12.847050840310647</v>
      </c>
    </row>
    <row r="34" spans="1:5">
      <c r="A34">
        <v>1978</v>
      </c>
      <c r="B34">
        <v>0</v>
      </c>
      <c r="C34">
        <f t="shared" si="0"/>
        <v>0.69049277228954653</v>
      </c>
      <c r="D34">
        <f t="shared" si="1"/>
        <v>-0.37034977354521781</v>
      </c>
      <c r="E34">
        <f t="shared" si="2"/>
        <v>45.572522971110068</v>
      </c>
    </row>
    <row r="35" spans="1:5">
      <c r="A35">
        <v>1979</v>
      </c>
      <c r="B35">
        <v>1</v>
      </c>
      <c r="C35">
        <f t="shared" si="0"/>
        <v>0.19465228545925223</v>
      </c>
      <c r="D35">
        <f t="shared" si="1"/>
        <v>-1.6365404636164758</v>
      </c>
      <c r="E35">
        <f t="shared" si="2"/>
        <v>12.847050840310647</v>
      </c>
    </row>
    <row r="36" spans="1:5">
      <c r="A36">
        <v>1980</v>
      </c>
      <c r="B36">
        <v>1</v>
      </c>
      <c r="C36">
        <f t="shared" si="0"/>
        <v>0.19465228545925223</v>
      </c>
      <c r="D36">
        <f t="shared" si="1"/>
        <v>-1.6365404636164758</v>
      </c>
      <c r="E36">
        <f t="shared" si="2"/>
        <v>12.847050840310647</v>
      </c>
    </row>
    <row r="37" spans="1:5">
      <c r="A37">
        <v>1981</v>
      </c>
      <c r="B37">
        <v>1</v>
      </c>
      <c r="C37">
        <f t="shared" si="0"/>
        <v>0.19465228545925223</v>
      </c>
      <c r="D37">
        <f t="shared" si="1"/>
        <v>-1.6365404636164758</v>
      </c>
      <c r="E37">
        <f t="shared" si="2"/>
        <v>12.847050840310647</v>
      </c>
    </row>
    <row r="38" spans="1:5">
      <c r="A38">
        <v>1982</v>
      </c>
      <c r="B38">
        <v>0</v>
      </c>
      <c r="C38">
        <f t="shared" si="0"/>
        <v>0.69049277228954653</v>
      </c>
      <c r="D38">
        <f t="shared" si="1"/>
        <v>-0.37034977354521781</v>
      </c>
      <c r="E38">
        <f t="shared" si="2"/>
        <v>45.572522971110068</v>
      </c>
    </row>
    <row r="39" spans="1:5">
      <c r="A39">
        <v>1983</v>
      </c>
      <c r="B39">
        <v>0</v>
      </c>
      <c r="C39">
        <f t="shared" si="0"/>
        <v>0.69049277228954653</v>
      </c>
      <c r="D39">
        <f t="shared" si="1"/>
        <v>-0.37034977354521781</v>
      </c>
      <c r="E39">
        <f t="shared" si="2"/>
        <v>45.572522971110068</v>
      </c>
    </row>
    <row r="40" spans="1:5">
      <c r="A40">
        <v>1984</v>
      </c>
      <c r="B40">
        <v>0</v>
      </c>
      <c r="C40">
        <f t="shared" si="0"/>
        <v>0.69049277228954653</v>
      </c>
      <c r="D40">
        <f t="shared" si="1"/>
        <v>-0.37034977354521781</v>
      </c>
      <c r="E40">
        <f t="shared" si="2"/>
        <v>45.572522971110068</v>
      </c>
    </row>
    <row r="41" spans="1:5">
      <c r="A41">
        <v>1985</v>
      </c>
      <c r="B41">
        <v>0</v>
      </c>
      <c r="C41">
        <f t="shared" si="0"/>
        <v>0.69049277228954653</v>
      </c>
      <c r="D41">
        <f t="shared" si="1"/>
        <v>-0.37034977354521781</v>
      </c>
      <c r="E41">
        <f t="shared" si="2"/>
        <v>45.572522971110068</v>
      </c>
    </row>
    <row r="42" spans="1:5">
      <c r="A42">
        <v>1986</v>
      </c>
      <c r="B42">
        <v>2</v>
      </c>
      <c r="C42">
        <f t="shared" si="0"/>
        <v>6.9890387648661789E-2</v>
      </c>
      <c r="D42">
        <f t="shared" si="1"/>
        <v>-2.6608271549544424</v>
      </c>
      <c r="E42">
        <f t="shared" si="2"/>
        <v>4.6127655848116778</v>
      </c>
    </row>
    <row r="43" spans="1:5">
      <c r="A43">
        <v>1987</v>
      </c>
      <c r="B43">
        <v>0</v>
      </c>
      <c r="C43">
        <f t="shared" si="0"/>
        <v>0.69049277228954653</v>
      </c>
      <c r="D43">
        <f t="shared" si="1"/>
        <v>-0.37034977354521781</v>
      </c>
      <c r="E43">
        <f t="shared" si="2"/>
        <v>45.572522971110068</v>
      </c>
    </row>
    <row r="44" spans="1:5">
      <c r="A44">
        <v>1988</v>
      </c>
      <c r="B44">
        <v>0</v>
      </c>
      <c r="C44">
        <f t="shared" si="0"/>
        <v>0.69049277228954653</v>
      </c>
      <c r="D44">
        <f t="shared" si="1"/>
        <v>-0.37034977354521781</v>
      </c>
      <c r="E44">
        <f t="shared" si="2"/>
        <v>45.572522971110068</v>
      </c>
    </row>
    <row r="45" spans="1:5">
      <c r="A45">
        <v>1989</v>
      </c>
      <c r="B45">
        <v>2</v>
      </c>
      <c r="C45">
        <f t="shared" si="0"/>
        <v>6.9890387648661789E-2</v>
      </c>
      <c r="D45">
        <f t="shared" si="1"/>
        <v>-2.6608271549544424</v>
      </c>
      <c r="E45">
        <f t="shared" si="2"/>
        <v>4.6127655848116778</v>
      </c>
    </row>
    <row r="46" spans="1:5">
      <c r="A46">
        <v>1990</v>
      </c>
      <c r="B46">
        <v>0</v>
      </c>
      <c r="C46">
        <f t="shared" si="0"/>
        <v>0.69049277228954653</v>
      </c>
      <c r="D46">
        <f t="shared" si="1"/>
        <v>-0.37034977354521781</v>
      </c>
      <c r="E46">
        <f t="shared" si="2"/>
        <v>45.572522971110068</v>
      </c>
    </row>
    <row r="47" spans="1:5">
      <c r="A47">
        <v>1991</v>
      </c>
      <c r="B47">
        <v>0</v>
      </c>
      <c r="C47">
        <f t="shared" si="0"/>
        <v>0.69049277228954653</v>
      </c>
      <c r="D47">
        <f t="shared" si="1"/>
        <v>-0.37034977354521781</v>
      </c>
      <c r="E47">
        <f t="shared" si="2"/>
        <v>45.572522971110068</v>
      </c>
    </row>
    <row r="48" spans="1:5">
      <c r="A48">
        <v>1992</v>
      </c>
      <c r="B48">
        <v>0</v>
      </c>
      <c r="C48">
        <f t="shared" si="0"/>
        <v>0.69049277228954653</v>
      </c>
      <c r="D48">
        <f t="shared" si="1"/>
        <v>-0.37034977354521781</v>
      </c>
      <c r="E48">
        <f t="shared" si="2"/>
        <v>45.572522971110068</v>
      </c>
    </row>
    <row r="49" spans="1:5">
      <c r="A49">
        <v>1993</v>
      </c>
      <c r="B49">
        <v>2</v>
      </c>
      <c r="C49">
        <f t="shared" si="0"/>
        <v>6.9890387648661789E-2</v>
      </c>
      <c r="D49">
        <f t="shared" si="1"/>
        <v>-2.6608271549544424</v>
      </c>
      <c r="E49">
        <f t="shared" si="2"/>
        <v>4.6127655848116778</v>
      </c>
    </row>
    <row r="50" spans="1:5">
      <c r="A50">
        <v>1994</v>
      </c>
      <c r="B50">
        <v>0</v>
      </c>
      <c r="C50">
        <f t="shared" si="0"/>
        <v>0.69049277228954653</v>
      </c>
      <c r="D50">
        <f t="shared" si="1"/>
        <v>-0.37034977354521781</v>
      </c>
      <c r="E50">
        <f t="shared" si="2"/>
        <v>45.572522971110068</v>
      </c>
    </row>
    <row r="51" spans="1:5">
      <c r="A51">
        <v>1995</v>
      </c>
      <c r="B51">
        <v>0</v>
      </c>
      <c r="C51">
        <f t="shared" si="0"/>
        <v>0.69049277228954653</v>
      </c>
      <c r="D51">
        <f t="shared" si="1"/>
        <v>-0.37034977354521781</v>
      </c>
      <c r="E51">
        <f t="shared" si="2"/>
        <v>45.572522971110068</v>
      </c>
    </row>
    <row r="52" spans="1:5">
      <c r="A52">
        <v>1996</v>
      </c>
      <c r="B52">
        <v>0</v>
      </c>
      <c r="C52">
        <f t="shared" si="0"/>
        <v>0.69049277228954653</v>
      </c>
      <c r="D52">
        <f t="shared" si="1"/>
        <v>-0.37034977354521781</v>
      </c>
      <c r="E52">
        <f t="shared" si="2"/>
        <v>45.572522971110068</v>
      </c>
    </row>
    <row r="53" spans="1:5">
      <c r="A53">
        <v>1997</v>
      </c>
      <c r="B53">
        <v>0</v>
      </c>
      <c r="C53">
        <f t="shared" si="0"/>
        <v>0.69049277228954653</v>
      </c>
      <c r="D53">
        <f t="shared" si="1"/>
        <v>-0.37034977354521781</v>
      </c>
      <c r="E53">
        <f t="shared" si="2"/>
        <v>45.572522971110068</v>
      </c>
    </row>
    <row r="54" spans="1:5">
      <c r="A54">
        <v>1998</v>
      </c>
      <c r="B54">
        <v>0</v>
      </c>
      <c r="C54">
        <f t="shared" si="0"/>
        <v>0.69049277228954653</v>
      </c>
      <c r="D54">
        <f t="shared" si="1"/>
        <v>-0.37034977354521781</v>
      </c>
      <c r="E54">
        <f t="shared" si="2"/>
        <v>45.572522971110068</v>
      </c>
    </row>
    <row r="55" spans="1:5">
      <c r="A55">
        <v>1999</v>
      </c>
      <c r="B55">
        <v>4</v>
      </c>
      <c r="C55">
        <f t="shared" si="0"/>
        <v>1.069284391226202E-2</v>
      </c>
      <c r="D55">
        <f t="shared" si="1"/>
        <v>-4.5381805545027838</v>
      </c>
      <c r="E55">
        <f t="shared" si="2"/>
        <v>0.70572769820929326</v>
      </c>
    </row>
    <row r="56" spans="1:5">
      <c r="A56">
        <v>2000</v>
      </c>
      <c r="B56">
        <v>0</v>
      </c>
      <c r="C56">
        <f t="shared" si="0"/>
        <v>0.69049277228954653</v>
      </c>
      <c r="D56">
        <f t="shared" si="1"/>
        <v>-0.37034977354521781</v>
      </c>
      <c r="E56">
        <f t="shared" si="2"/>
        <v>45.572522971110068</v>
      </c>
    </row>
    <row r="57" spans="1:5">
      <c r="A57">
        <v>2001</v>
      </c>
      <c r="B57">
        <v>0</v>
      </c>
      <c r="C57">
        <f t="shared" si="0"/>
        <v>0.69049277228954653</v>
      </c>
      <c r="D57">
        <f t="shared" si="1"/>
        <v>-0.37034977354521781</v>
      </c>
      <c r="E57">
        <f t="shared" si="2"/>
        <v>45.572522971110068</v>
      </c>
    </row>
    <row r="58" spans="1:5">
      <c r="A58">
        <v>2002</v>
      </c>
      <c r="B58">
        <v>0</v>
      </c>
      <c r="C58">
        <f t="shared" si="0"/>
        <v>0.69049277228954653</v>
      </c>
      <c r="D58">
        <f t="shared" si="1"/>
        <v>-0.37034977354521781</v>
      </c>
      <c r="E58">
        <f t="shared" si="2"/>
        <v>45.572522971110068</v>
      </c>
    </row>
    <row r="59" spans="1:5">
      <c r="A59">
        <v>2003</v>
      </c>
      <c r="B59">
        <v>1</v>
      </c>
      <c r="C59">
        <f t="shared" si="0"/>
        <v>0.19465228545925223</v>
      </c>
      <c r="D59">
        <f t="shared" si="1"/>
        <v>-1.6365404636164758</v>
      </c>
      <c r="E59">
        <f t="shared" si="2"/>
        <v>12.847050840310647</v>
      </c>
    </row>
    <row r="60" spans="1:5">
      <c r="A60">
        <v>2004</v>
      </c>
      <c r="B60">
        <v>0</v>
      </c>
      <c r="C60">
        <f t="shared" si="0"/>
        <v>0.69049277228954653</v>
      </c>
      <c r="D60">
        <f t="shared" si="1"/>
        <v>-0.37034977354521781</v>
      </c>
      <c r="E60">
        <f t="shared" si="2"/>
        <v>45.572522971110068</v>
      </c>
    </row>
    <row r="61" spans="1:5">
      <c r="A61">
        <v>2005</v>
      </c>
      <c r="B61">
        <v>3</v>
      </c>
      <c r="C61">
        <f t="shared" si="0"/>
        <v>2.6891643399741941E-2</v>
      </c>
      <c r="D61">
        <f t="shared" si="1"/>
        <v>-3.6159396949220679</v>
      </c>
      <c r="E61">
        <f t="shared" si="2"/>
        <v>1.7748484643829681</v>
      </c>
    </row>
    <row r="62" spans="1:5">
      <c r="A62">
        <v>2006</v>
      </c>
      <c r="B62">
        <v>3</v>
      </c>
      <c r="C62">
        <f t="shared" si="0"/>
        <v>2.6891643399741941E-2</v>
      </c>
      <c r="D62">
        <f t="shared" si="1"/>
        <v>-3.6159396949220679</v>
      </c>
      <c r="E62">
        <f t="shared" si="2"/>
        <v>1.7748484643829681</v>
      </c>
    </row>
    <row r="63" spans="1:5">
      <c r="A63">
        <v>2007</v>
      </c>
      <c r="B63">
        <v>0</v>
      </c>
      <c r="C63">
        <f t="shared" si="0"/>
        <v>0.69049277228954653</v>
      </c>
      <c r="D63">
        <f t="shared" si="1"/>
        <v>-0.37034977354521781</v>
      </c>
      <c r="E63">
        <f t="shared" si="2"/>
        <v>45.572522971110068</v>
      </c>
    </row>
    <row r="64" spans="1:5">
      <c r="A64">
        <v>2008</v>
      </c>
      <c r="B64">
        <v>0</v>
      </c>
      <c r="C64">
        <f t="shared" si="0"/>
        <v>0.69049277228954653</v>
      </c>
      <c r="D64">
        <f t="shared" si="1"/>
        <v>-0.37034977354521781</v>
      </c>
      <c r="E64">
        <f t="shared" si="2"/>
        <v>45.572522971110068</v>
      </c>
    </row>
    <row r="65" spans="1:5">
      <c r="A65">
        <v>2009</v>
      </c>
      <c r="B65">
        <v>0</v>
      </c>
      <c r="C65">
        <f t="shared" si="0"/>
        <v>0.69049277228954653</v>
      </c>
      <c r="D65">
        <f t="shared" si="1"/>
        <v>-0.37034977354521781</v>
      </c>
      <c r="E65">
        <f t="shared" si="2"/>
        <v>45.572522971110068</v>
      </c>
    </row>
    <row r="66" spans="1:5">
      <c r="A66">
        <v>2010</v>
      </c>
      <c r="B66">
        <v>0</v>
      </c>
      <c r="C66">
        <f t="shared" si="0"/>
        <v>0.69049277228954653</v>
      </c>
      <c r="D66">
        <f t="shared" si="1"/>
        <v>-0.37034977354521781</v>
      </c>
      <c r="E66">
        <f t="shared" si="2"/>
        <v>45.572522971110068</v>
      </c>
    </row>
    <row r="67" spans="1:5">
      <c r="A67">
        <v>2011</v>
      </c>
      <c r="B67">
        <v>2</v>
      </c>
      <c r="C67">
        <f t="shared" si="0"/>
        <v>6.9890387648661789E-2</v>
      </c>
      <c r="D67">
        <f t="shared" si="1"/>
        <v>-2.6608271549544424</v>
      </c>
      <c r="E67">
        <f t="shared" si="2"/>
        <v>4.6127655848116778</v>
      </c>
    </row>
    <row r="68" spans="1:5">
      <c r="A68">
        <v>2012</v>
      </c>
      <c r="B68">
        <v>0</v>
      </c>
      <c r="C68">
        <f t="shared" si="0"/>
        <v>0.69049277228954653</v>
      </c>
      <c r="D68">
        <f t="shared" si="1"/>
        <v>-0.37034977354521781</v>
      </c>
      <c r="E68">
        <f t="shared" si="2"/>
        <v>45.572522971110068</v>
      </c>
    </row>
    <row r="69" spans="1:5">
      <c r="A69">
        <v>2013</v>
      </c>
      <c r="B69">
        <v>0</v>
      </c>
      <c r="C69">
        <f t="shared" si="0"/>
        <v>0.69049277228954653</v>
      </c>
      <c r="D69">
        <f t="shared" si="1"/>
        <v>-0.37034977354521781</v>
      </c>
      <c r="E69">
        <f t="shared" si="2"/>
        <v>45.572522971110068</v>
      </c>
    </row>
    <row r="70" spans="1:5">
      <c r="A70">
        <v>2014</v>
      </c>
      <c r="B70">
        <v>0</v>
      </c>
      <c r="C70">
        <f t="shared" si="0"/>
        <v>0.69049277228954653</v>
      </c>
      <c r="D70">
        <f t="shared" si="1"/>
        <v>-0.37034977354521781</v>
      </c>
      <c r="E70">
        <f t="shared" si="2"/>
        <v>45.572522971110068</v>
      </c>
    </row>
    <row r="71" spans="1:5">
      <c r="A71">
        <v>2015</v>
      </c>
      <c r="B71">
        <v>0</v>
      </c>
      <c r="C71">
        <f>(($B$2/($B$2+1))^$B$1)*((1/($B$2+1))^B71)*(EXP(GAMMALN($B$1+B71)-GAMMALN($B$1)-GAMMALN(B71+1)))</f>
        <v>0.69049277228954653</v>
      </c>
      <c r="D71">
        <f>LN(C71)</f>
        <v>-0.37034977354521781</v>
      </c>
      <c r="E71">
        <f>C71*66</f>
        <v>45.572522971110068</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workbookViewId="0">
      <selection activeCell="B3" sqref="B3"/>
    </sheetView>
  </sheetViews>
  <sheetFormatPr baseColWidth="10" defaultRowHeight="12" x14ac:dyDescent="0"/>
  <cols>
    <col min="3" max="3" width="11" bestFit="1" customWidth="1"/>
    <col min="4" max="5" width="11.6640625" bestFit="1" customWidth="1"/>
    <col min="6" max="6" width="11" bestFit="1" customWidth="1"/>
    <col min="8" max="8" width="14.83203125" bestFit="1" customWidth="1"/>
    <col min="9" max="9" width="11.33203125" bestFit="1" customWidth="1"/>
    <col min="10" max="10" width="16.5" customWidth="1"/>
    <col min="11" max="11" width="15.5" bestFit="1" customWidth="1"/>
    <col min="12" max="12" width="14.83203125" bestFit="1" customWidth="1"/>
  </cols>
  <sheetData>
    <row r="1" spans="1:12" ht="30">
      <c r="A1" t="s">
        <v>153</v>
      </c>
      <c r="B1">
        <v>4680.8116745723855</v>
      </c>
      <c r="D1" t="s">
        <v>162</v>
      </c>
      <c r="E1" t="s">
        <v>163</v>
      </c>
      <c r="F1">
        <f>(B1/B2)+(B1/(B2^2))</f>
        <v>0.42480442777984984</v>
      </c>
      <c r="G1" s="49" t="s">
        <v>153</v>
      </c>
      <c r="H1" s="51">
        <v>0.64626877583187525</v>
      </c>
      <c r="I1" s="67"/>
      <c r="J1" s="49" t="s">
        <v>162</v>
      </c>
      <c r="K1" s="67" t="s">
        <v>163</v>
      </c>
      <c r="L1" s="51">
        <f>(H1/H2)+(H1/(H2^2))</f>
        <v>0.88685496736583991</v>
      </c>
    </row>
    <row r="2" spans="1:12" ht="15">
      <c r="A2" t="s">
        <v>154</v>
      </c>
      <c r="B2">
        <v>11019.744932791222</v>
      </c>
      <c r="D2" t="s">
        <v>158</v>
      </c>
      <c r="E2">
        <f>B1/B2</f>
        <v>0.42476588188931608</v>
      </c>
      <c r="G2" s="68" t="s">
        <v>154</v>
      </c>
      <c r="H2" s="64">
        <v>1.292518259497847</v>
      </c>
      <c r="I2" s="53"/>
      <c r="J2" s="69" t="s">
        <v>158</v>
      </c>
      <c r="K2" s="53"/>
      <c r="L2" s="54">
        <v>0.50000746299999999</v>
      </c>
    </row>
    <row r="3" spans="1:12" ht="15">
      <c r="D3" t="s">
        <v>157</v>
      </c>
      <c r="E3">
        <f>SUM(D6:D38)</f>
        <v>-27.390815444845209</v>
      </c>
      <c r="G3" s="70"/>
      <c r="H3" s="53"/>
      <c r="I3" s="53"/>
      <c r="J3" s="68" t="s">
        <v>157</v>
      </c>
      <c r="K3" s="62"/>
      <c r="L3" s="64">
        <v>-62.773057559999998</v>
      </c>
    </row>
    <row r="4" spans="1:12" ht="30">
      <c r="G4" s="49" t="s">
        <v>176</v>
      </c>
      <c r="H4" s="67" t="s">
        <v>152</v>
      </c>
      <c r="I4" s="67" t="s">
        <v>168</v>
      </c>
      <c r="J4" s="67" t="s">
        <v>169</v>
      </c>
      <c r="K4" s="51" t="s">
        <v>170</v>
      </c>
      <c r="L4" s="54"/>
    </row>
    <row r="5" spans="1:12" ht="15">
      <c r="A5" t="s">
        <v>151</v>
      </c>
      <c r="B5" t="s">
        <v>152</v>
      </c>
      <c r="C5" t="s">
        <v>155</v>
      </c>
      <c r="D5" t="s">
        <v>156</v>
      </c>
      <c r="E5" t="s">
        <v>174</v>
      </c>
      <c r="G5" s="70"/>
      <c r="H5" s="53">
        <v>0</v>
      </c>
      <c r="I5" s="53">
        <v>46</v>
      </c>
      <c r="J5" s="53">
        <f>E6</f>
        <v>21.579870337532345</v>
      </c>
      <c r="K5" s="54">
        <f>((I5-J5)^2)/J5</f>
        <v>27.634212968117602</v>
      </c>
      <c r="L5" s="54"/>
    </row>
    <row r="6" spans="1:12" ht="15">
      <c r="A6">
        <v>1950</v>
      </c>
      <c r="B6">
        <v>0</v>
      </c>
      <c r="C6">
        <f>(($B$2/($B$2+1))^$B$1)*((1/($B$2+1))^B6)*(EXP(GAMMALN($B$1+B6)-GAMMALN($B$1)-GAMMALN(B6+1)))</f>
        <v>0.65393546477370745</v>
      </c>
      <c r="D6">
        <f>LN(C6)</f>
        <v>-0.42474661010994813</v>
      </c>
      <c r="E6">
        <f>C6*33</f>
        <v>21.579870337532345</v>
      </c>
      <c r="G6" s="70"/>
      <c r="H6" s="53">
        <v>1</v>
      </c>
      <c r="I6" s="53">
        <v>11</v>
      </c>
      <c r="J6" s="53">
        <f>E8</f>
        <v>9.1655609152665463</v>
      </c>
      <c r="K6" s="54">
        <f>((I6-J6)^2)/J6</f>
        <v>0.3671533893787719</v>
      </c>
      <c r="L6" s="54"/>
    </row>
    <row r="7" spans="1:12" ht="15">
      <c r="A7">
        <v>1951</v>
      </c>
      <c r="B7">
        <v>0</v>
      </c>
      <c r="C7">
        <f t="shared" ref="C7:C40" si="0">(($B$2/($B$2+1))^$B$1)*((1/($B$2+1))^B7)*(EXP(GAMMALN($B$1+B7)-GAMMALN($B$1)-GAMMALN(B7+1)))</f>
        <v>0.65393546477370745</v>
      </c>
      <c r="D7">
        <f t="shared" ref="D7:D40" si="1">LN(C7)</f>
        <v>-0.42474661010994813</v>
      </c>
      <c r="E7">
        <f t="shared" ref="E7:E40" si="2">C7*33</f>
        <v>21.579870337532345</v>
      </c>
      <c r="G7" s="70"/>
      <c r="H7" s="53">
        <v>2</v>
      </c>
      <c r="I7" s="53">
        <v>6</v>
      </c>
      <c r="J7" s="53">
        <f>E13</f>
        <v>1.9468479834472239</v>
      </c>
      <c r="K7" s="54">
        <f>((I7-J7)^2)/J7</f>
        <v>8.4382763363974664</v>
      </c>
      <c r="L7" s="54"/>
    </row>
    <row r="8" spans="1:12" ht="15">
      <c r="A8">
        <v>1952</v>
      </c>
      <c r="B8">
        <v>1</v>
      </c>
      <c r="C8">
        <f t="shared" si="0"/>
        <v>0.2777442701595923</v>
      </c>
      <c r="D8">
        <f t="shared" si="1"/>
        <v>-1.281054480163605</v>
      </c>
      <c r="E8">
        <f t="shared" si="2"/>
        <v>9.1655609152665463</v>
      </c>
      <c r="G8" s="70"/>
      <c r="H8" s="53">
        <v>3</v>
      </c>
      <c r="I8" s="53">
        <v>0</v>
      </c>
      <c r="J8" s="53">
        <f>E39</f>
        <v>0.27574429015669533</v>
      </c>
      <c r="K8" s="54">
        <f>((I8-J8)^2)/J8</f>
        <v>0.27574429015669533</v>
      </c>
      <c r="L8" s="54"/>
    </row>
    <row r="9" spans="1:12" ht="15">
      <c r="A9">
        <v>1953</v>
      </c>
      <c r="B9">
        <v>0</v>
      </c>
      <c r="C9">
        <f t="shared" si="0"/>
        <v>0.65393546477370745</v>
      </c>
      <c r="D9">
        <f t="shared" si="1"/>
        <v>-0.42474661010994813</v>
      </c>
      <c r="E9">
        <f t="shared" si="2"/>
        <v>21.579870337532345</v>
      </c>
      <c r="G9" s="70"/>
      <c r="H9" s="53">
        <v>4</v>
      </c>
      <c r="I9" s="53">
        <v>0</v>
      </c>
      <c r="J9" s="53">
        <f>E40</f>
        <v>2.9297800042286163E-2</v>
      </c>
      <c r="K9" s="54">
        <f>((I9-J9)^2)/J9</f>
        <v>2.9297800042286163E-2</v>
      </c>
      <c r="L9" s="54"/>
    </row>
    <row r="10" spans="1:12" ht="15">
      <c r="A10">
        <v>1954</v>
      </c>
      <c r="B10">
        <v>0</v>
      </c>
      <c r="C10">
        <f t="shared" si="0"/>
        <v>0.65393546477370745</v>
      </c>
      <c r="D10">
        <f t="shared" si="1"/>
        <v>-0.42474661010994813</v>
      </c>
      <c r="E10">
        <f t="shared" si="2"/>
        <v>21.579870337532345</v>
      </c>
      <c r="G10" s="70"/>
      <c r="H10" s="53"/>
      <c r="I10" s="53"/>
      <c r="J10" s="53" t="s">
        <v>171</v>
      </c>
      <c r="K10" s="54">
        <f>SUM(K5:K9)</f>
        <v>36.744684784092819</v>
      </c>
      <c r="L10" s="54"/>
    </row>
    <row r="11" spans="1:12" ht="15">
      <c r="A11">
        <v>1955</v>
      </c>
      <c r="B11">
        <v>0</v>
      </c>
      <c r="C11">
        <f t="shared" si="0"/>
        <v>0.65393546477370745</v>
      </c>
      <c r="D11">
        <f t="shared" si="1"/>
        <v>-0.42474661010994813</v>
      </c>
      <c r="E11">
        <f t="shared" si="2"/>
        <v>21.579870337532345</v>
      </c>
      <c r="G11" s="70"/>
      <c r="H11" s="53"/>
      <c r="I11" s="53"/>
      <c r="J11" s="53" t="s">
        <v>172</v>
      </c>
      <c r="K11" s="54">
        <v>2</v>
      </c>
      <c r="L11" s="54"/>
    </row>
    <row r="12" spans="1:12" ht="15">
      <c r="A12">
        <v>1956</v>
      </c>
      <c r="B12">
        <v>0</v>
      </c>
      <c r="C12">
        <f t="shared" si="0"/>
        <v>0.65393546477370745</v>
      </c>
      <c r="D12">
        <f t="shared" si="1"/>
        <v>-0.42474661010994813</v>
      </c>
      <c r="E12">
        <f t="shared" si="2"/>
        <v>21.579870337532345</v>
      </c>
      <c r="G12" s="71"/>
      <c r="H12" s="62"/>
      <c r="I12" s="62"/>
      <c r="J12" s="62" t="s">
        <v>173</v>
      </c>
      <c r="K12" s="64">
        <f>_xlfn.CHISQ.DIST.RT(K10,K11)</f>
        <v>1.0495257042777306E-8</v>
      </c>
      <c r="L12" s="64"/>
    </row>
    <row r="13" spans="1:12">
      <c r="A13">
        <v>1957</v>
      </c>
      <c r="B13">
        <v>2</v>
      </c>
      <c r="C13">
        <f t="shared" si="0"/>
        <v>5.8995393437794662E-2</v>
      </c>
      <c r="D13">
        <f t="shared" si="1"/>
        <v>-2.830295915450125</v>
      </c>
      <c r="E13">
        <f t="shared" si="2"/>
        <v>1.9468479834472239</v>
      </c>
    </row>
    <row r="14" spans="1:12">
      <c r="A14">
        <v>1958</v>
      </c>
      <c r="B14">
        <v>2</v>
      </c>
      <c r="C14">
        <f t="shared" si="0"/>
        <v>5.8995393437794662E-2</v>
      </c>
      <c r="D14">
        <f t="shared" si="1"/>
        <v>-2.830295915450125</v>
      </c>
      <c r="E14">
        <f t="shared" si="2"/>
        <v>1.9468479834472239</v>
      </c>
    </row>
    <row r="15" spans="1:12">
      <c r="A15">
        <v>1959</v>
      </c>
      <c r="B15">
        <v>1</v>
      </c>
      <c r="C15">
        <f t="shared" si="0"/>
        <v>0.2777442701595923</v>
      </c>
      <c r="D15">
        <f t="shared" si="1"/>
        <v>-1.281054480163605</v>
      </c>
      <c r="E15">
        <f t="shared" si="2"/>
        <v>9.1655609152665463</v>
      </c>
    </row>
    <row r="16" spans="1:12">
      <c r="A16">
        <v>1960</v>
      </c>
      <c r="B16">
        <v>0</v>
      </c>
      <c r="C16">
        <f t="shared" si="0"/>
        <v>0.65393546477370745</v>
      </c>
      <c r="D16">
        <f t="shared" si="1"/>
        <v>-0.42474661010994813</v>
      </c>
      <c r="E16">
        <f t="shared" si="2"/>
        <v>21.579870337532345</v>
      </c>
    </row>
    <row r="17" spans="1:5">
      <c r="A17">
        <v>1961</v>
      </c>
      <c r="B17">
        <v>0</v>
      </c>
      <c r="C17">
        <f t="shared" si="0"/>
        <v>0.65393546477370745</v>
      </c>
      <c r="D17">
        <f t="shared" si="1"/>
        <v>-0.42474661010994813</v>
      </c>
      <c r="E17">
        <f t="shared" si="2"/>
        <v>21.579870337532345</v>
      </c>
    </row>
    <row r="18" spans="1:5">
      <c r="A18">
        <v>1962</v>
      </c>
      <c r="B18">
        <v>0</v>
      </c>
      <c r="C18">
        <f t="shared" si="0"/>
        <v>0.65393546477370745</v>
      </c>
      <c r="D18">
        <f t="shared" si="1"/>
        <v>-0.42474661010994813</v>
      </c>
      <c r="E18">
        <f t="shared" si="2"/>
        <v>21.579870337532345</v>
      </c>
    </row>
    <row r="19" spans="1:5">
      <c r="A19">
        <v>1963</v>
      </c>
      <c r="B19">
        <v>0</v>
      </c>
      <c r="C19">
        <f t="shared" si="0"/>
        <v>0.65393546477370745</v>
      </c>
      <c r="D19">
        <f t="shared" si="1"/>
        <v>-0.42474661010994813</v>
      </c>
      <c r="E19">
        <f t="shared" si="2"/>
        <v>21.579870337532345</v>
      </c>
    </row>
    <row r="20" spans="1:5">
      <c r="A20">
        <v>1964</v>
      </c>
      <c r="B20">
        <v>1</v>
      </c>
      <c r="C20">
        <f t="shared" si="0"/>
        <v>0.2777442701595923</v>
      </c>
      <c r="D20">
        <f t="shared" si="1"/>
        <v>-1.281054480163605</v>
      </c>
      <c r="E20">
        <f t="shared" si="2"/>
        <v>9.1655609152665463</v>
      </c>
    </row>
    <row r="21" spans="1:5">
      <c r="A21">
        <v>1965</v>
      </c>
      <c r="B21">
        <v>0</v>
      </c>
      <c r="C21">
        <f t="shared" si="0"/>
        <v>0.65393546477370745</v>
      </c>
      <c r="D21">
        <f t="shared" si="1"/>
        <v>-0.42474661010994813</v>
      </c>
      <c r="E21">
        <f t="shared" si="2"/>
        <v>21.579870337532345</v>
      </c>
    </row>
    <row r="22" spans="1:5">
      <c r="A22">
        <v>1966</v>
      </c>
      <c r="B22">
        <v>1</v>
      </c>
      <c r="C22">
        <f t="shared" si="0"/>
        <v>0.2777442701595923</v>
      </c>
      <c r="D22">
        <f t="shared" si="1"/>
        <v>-1.281054480163605</v>
      </c>
      <c r="E22">
        <f t="shared" si="2"/>
        <v>9.1655609152665463</v>
      </c>
    </row>
    <row r="23" spans="1:5">
      <c r="A23">
        <v>1967</v>
      </c>
      <c r="B23">
        <v>1</v>
      </c>
      <c r="C23">
        <f t="shared" si="0"/>
        <v>0.2777442701595923</v>
      </c>
      <c r="D23">
        <f t="shared" si="1"/>
        <v>-1.281054480163605</v>
      </c>
      <c r="E23">
        <f t="shared" si="2"/>
        <v>9.1655609152665463</v>
      </c>
    </row>
    <row r="24" spans="1:5">
      <c r="A24">
        <v>1968</v>
      </c>
      <c r="B24">
        <v>0</v>
      </c>
      <c r="C24">
        <f t="shared" si="0"/>
        <v>0.65393546477370745</v>
      </c>
      <c r="D24">
        <f t="shared" si="1"/>
        <v>-0.42474661010994813</v>
      </c>
      <c r="E24">
        <f t="shared" si="2"/>
        <v>21.579870337532345</v>
      </c>
    </row>
    <row r="25" spans="1:5">
      <c r="A25">
        <v>1969</v>
      </c>
      <c r="B25">
        <v>1</v>
      </c>
      <c r="C25">
        <f t="shared" si="0"/>
        <v>0.2777442701595923</v>
      </c>
      <c r="D25">
        <f t="shared" si="1"/>
        <v>-1.281054480163605</v>
      </c>
      <c r="E25">
        <f t="shared" si="2"/>
        <v>9.1655609152665463</v>
      </c>
    </row>
    <row r="26" spans="1:5">
      <c r="A26">
        <v>1970</v>
      </c>
      <c r="B26">
        <v>0</v>
      </c>
      <c r="C26">
        <f t="shared" si="0"/>
        <v>0.65393546477370745</v>
      </c>
      <c r="D26">
        <f t="shared" si="1"/>
        <v>-0.42474661010994813</v>
      </c>
      <c r="E26">
        <f t="shared" si="2"/>
        <v>21.579870337532345</v>
      </c>
    </row>
    <row r="27" spans="1:5">
      <c r="A27">
        <v>1971</v>
      </c>
      <c r="B27">
        <v>0</v>
      </c>
      <c r="C27">
        <f t="shared" si="0"/>
        <v>0.65393546477370745</v>
      </c>
      <c r="D27">
        <f t="shared" si="1"/>
        <v>-0.42474661010994813</v>
      </c>
      <c r="E27">
        <f t="shared" si="2"/>
        <v>21.579870337532345</v>
      </c>
    </row>
    <row r="28" spans="1:5">
      <c r="A28">
        <v>1972</v>
      </c>
      <c r="B28">
        <v>0</v>
      </c>
      <c r="C28">
        <f t="shared" si="0"/>
        <v>0.65393546477370745</v>
      </c>
      <c r="D28">
        <f t="shared" si="1"/>
        <v>-0.42474661010994813</v>
      </c>
      <c r="E28">
        <f t="shared" si="2"/>
        <v>21.579870337532345</v>
      </c>
    </row>
    <row r="29" spans="1:5">
      <c r="A29">
        <v>1973</v>
      </c>
      <c r="B29">
        <v>0</v>
      </c>
      <c r="C29">
        <f t="shared" si="0"/>
        <v>0.65393546477370745</v>
      </c>
      <c r="D29">
        <f t="shared" si="1"/>
        <v>-0.42474661010994813</v>
      </c>
      <c r="E29">
        <f t="shared" si="2"/>
        <v>21.579870337532345</v>
      </c>
    </row>
    <row r="30" spans="1:5">
      <c r="A30">
        <v>1974</v>
      </c>
      <c r="B30">
        <v>0</v>
      </c>
      <c r="C30">
        <f t="shared" si="0"/>
        <v>0.65393546477370745</v>
      </c>
      <c r="D30">
        <f t="shared" si="1"/>
        <v>-0.42474661010994813</v>
      </c>
      <c r="E30">
        <f t="shared" si="2"/>
        <v>21.579870337532345</v>
      </c>
    </row>
    <row r="31" spans="1:5">
      <c r="A31">
        <v>1975</v>
      </c>
      <c r="B31">
        <v>0</v>
      </c>
      <c r="C31">
        <f t="shared" si="0"/>
        <v>0.65393546477370745</v>
      </c>
      <c r="D31">
        <f t="shared" si="1"/>
        <v>-0.42474661010994813</v>
      </c>
      <c r="E31">
        <f t="shared" si="2"/>
        <v>21.579870337532345</v>
      </c>
    </row>
    <row r="32" spans="1:5">
      <c r="A32">
        <v>1976</v>
      </c>
      <c r="B32">
        <v>0</v>
      </c>
      <c r="C32">
        <f t="shared" si="0"/>
        <v>0.65393546477370745</v>
      </c>
      <c r="D32">
        <f t="shared" si="1"/>
        <v>-0.42474661010994813</v>
      </c>
      <c r="E32">
        <f t="shared" si="2"/>
        <v>21.579870337532345</v>
      </c>
    </row>
    <row r="33" spans="1:5">
      <c r="A33">
        <v>1977</v>
      </c>
      <c r="B33">
        <v>1</v>
      </c>
      <c r="C33">
        <f t="shared" si="0"/>
        <v>0.2777442701595923</v>
      </c>
      <c r="D33">
        <f t="shared" si="1"/>
        <v>-1.281054480163605</v>
      </c>
      <c r="E33">
        <f t="shared" si="2"/>
        <v>9.1655609152665463</v>
      </c>
    </row>
    <row r="34" spans="1:5">
      <c r="A34">
        <v>1978</v>
      </c>
      <c r="B34">
        <v>0</v>
      </c>
      <c r="C34">
        <f t="shared" si="0"/>
        <v>0.65393546477370745</v>
      </c>
      <c r="D34">
        <f t="shared" si="1"/>
        <v>-0.42474661010994813</v>
      </c>
      <c r="E34">
        <f t="shared" si="2"/>
        <v>21.579870337532345</v>
      </c>
    </row>
    <row r="35" spans="1:5">
      <c r="A35">
        <v>1979</v>
      </c>
      <c r="B35">
        <v>1</v>
      </c>
      <c r="C35">
        <f t="shared" si="0"/>
        <v>0.2777442701595923</v>
      </c>
      <c r="D35">
        <f t="shared" si="1"/>
        <v>-1.281054480163605</v>
      </c>
      <c r="E35">
        <f t="shared" si="2"/>
        <v>9.1655609152665463</v>
      </c>
    </row>
    <row r="36" spans="1:5">
      <c r="A36">
        <v>1980</v>
      </c>
      <c r="B36">
        <v>1</v>
      </c>
      <c r="C36">
        <f t="shared" si="0"/>
        <v>0.2777442701595923</v>
      </c>
      <c r="D36">
        <f t="shared" si="1"/>
        <v>-1.281054480163605</v>
      </c>
      <c r="E36">
        <f t="shared" si="2"/>
        <v>9.1655609152665463</v>
      </c>
    </row>
    <row r="37" spans="1:5">
      <c r="A37">
        <v>1981</v>
      </c>
      <c r="B37">
        <v>1</v>
      </c>
      <c r="C37">
        <f t="shared" si="0"/>
        <v>0.2777442701595923</v>
      </c>
      <c r="D37">
        <f t="shared" si="1"/>
        <v>-1.281054480163605</v>
      </c>
      <c r="E37">
        <f t="shared" si="2"/>
        <v>9.1655609152665463</v>
      </c>
    </row>
    <row r="38" spans="1:5">
      <c r="A38">
        <v>1982</v>
      </c>
      <c r="B38">
        <v>0</v>
      </c>
      <c r="C38">
        <f t="shared" si="0"/>
        <v>0.65393546477370745</v>
      </c>
      <c r="D38">
        <f t="shared" si="1"/>
        <v>-0.42474661010994813</v>
      </c>
      <c r="E38">
        <f t="shared" si="2"/>
        <v>21.579870337532345</v>
      </c>
    </row>
    <row r="39" spans="1:5">
      <c r="B39">
        <v>3</v>
      </c>
      <c r="C39">
        <f>(($B$2/($B$2+1))^$B$1)*((1/($B$2+1))^B39)*(EXP(GAMMALN($B$1+B39)-GAMMALN($B$1)-GAMMALN(B39+1)))</f>
        <v>8.3558875805059187E-3</v>
      </c>
      <c r="D39">
        <f t="shared" si="1"/>
        <v>-4.7847888891234236</v>
      </c>
      <c r="E39">
        <f t="shared" si="2"/>
        <v>0.27574429015669533</v>
      </c>
    </row>
    <row r="40" spans="1:5">
      <c r="B40">
        <v>4</v>
      </c>
      <c r="C40">
        <f t="shared" si="0"/>
        <v>8.8781212249352008E-4</v>
      </c>
      <c r="D40">
        <f t="shared" si="1"/>
        <v>-7.0267504111255494</v>
      </c>
      <c r="E40">
        <f t="shared" si="2"/>
        <v>2.9297800042286163E-2</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topLeftCell="A20" workbookViewId="0">
      <selection activeCell="F6" sqref="F6"/>
    </sheetView>
  </sheetViews>
  <sheetFormatPr baseColWidth="10" defaultRowHeight="12" x14ac:dyDescent="0"/>
  <cols>
    <col min="4" max="4" width="11" bestFit="1" customWidth="1"/>
    <col min="5" max="5" width="11.6640625" bestFit="1" customWidth="1"/>
    <col min="6" max="6" width="11" bestFit="1" customWidth="1"/>
    <col min="10" max="11" width="11" bestFit="1" customWidth="1"/>
    <col min="14" max="14" width="18.5" customWidth="1"/>
    <col min="15" max="15" width="14.33203125" customWidth="1"/>
    <col min="16" max="16" width="56.6640625" customWidth="1"/>
    <col min="17" max="17" width="70.6640625" customWidth="1"/>
  </cols>
  <sheetData>
    <row r="1" spans="1:17" ht="24">
      <c r="A1" t="s">
        <v>153</v>
      </c>
      <c r="B1">
        <v>37.621214158145641</v>
      </c>
      <c r="E1" t="s">
        <v>162</v>
      </c>
      <c r="F1" t="s">
        <v>163</v>
      </c>
      <c r="G1">
        <f>(B1/B2)+(B1/(B2^2))</f>
        <v>2.9249090546921992</v>
      </c>
    </row>
    <row r="2" spans="1:17">
      <c r="A2" t="s">
        <v>154</v>
      </c>
      <c r="B2">
        <v>13.794761990427773</v>
      </c>
      <c r="E2" t="s">
        <v>158</v>
      </c>
      <c r="F2">
        <f>B1/B2</f>
        <v>2.7272100949803351</v>
      </c>
    </row>
    <row r="3" spans="1:17" ht="24">
      <c r="E3" t="s">
        <v>157</v>
      </c>
      <c r="F3">
        <f>SUM(E6:E71)</f>
        <v>-62.230692989720112</v>
      </c>
      <c r="H3" t="s">
        <v>167</v>
      </c>
    </row>
    <row r="5" spans="1:17" ht="13">
      <c r="A5" s="10" t="s">
        <v>32</v>
      </c>
      <c r="B5" s="10" t="s">
        <v>25</v>
      </c>
      <c r="C5" s="10" t="s">
        <v>33</v>
      </c>
      <c r="D5" t="s">
        <v>155</v>
      </c>
      <c r="E5" t="s">
        <v>156</v>
      </c>
      <c r="F5" t="s">
        <v>174</v>
      </c>
    </row>
    <row r="6" spans="1:17" ht="13">
      <c r="A6" s="10">
        <v>2011</v>
      </c>
      <c r="B6" s="11" t="s">
        <v>37</v>
      </c>
      <c r="C6" s="12">
        <v>5</v>
      </c>
      <c r="D6">
        <f>(($B$2/($B$2+1))^$B$1)*((1/($B$2+1))^C6)*(EXP(GAMMALN($B$1+C6)-GAMMALN($B$1)-GAMMALN(C6+1)))</f>
        <v>8.2239871281458432E-2</v>
      </c>
      <c r="E6">
        <f>LN(D6)</f>
        <v>-2.4981150424338705</v>
      </c>
      <c r="F6">
        <f>D6*33</f>
        <v>2.7139157522881283</v>
      </c>
      <c r="H6" t="s">
        <v>33</v>
      </c>
      <c r="I6" t="s">
        <v>168</v>
      </c>
      <c r="J6" t="s">
        <v>169</v>
      </c>
      <c r="K6" t="s">
        <v>170</v>
      </c>
    </row>
    <row r="7" spans="1:17" ht="13">
      <c r="A7" s="10">
        <v>2011</v>
      </c>
      <c r="B7" s="10" t="s">
        <v>41</v>
      </c>
      <c r="C7">
        <v>1</v>
      </c>
      <c r="D7">
        <f t="shared" ref="D7:D38" si="0">(($B$2/($B$2+1))^$B$1)*((1/($B$2+1))^C7)*(EXP(GAMMALN($B$1+C7)-GAMMALN($B$1)-GAMMALN(C7+1)))</f>
        <v>0.18275709716171701</v>
      </c>
      <c r="E7">
        <f t="shared" ref="E7:E38" si="1">LN(D7)</f>
        <v>-1.6995973457480895</v>
      </c>
      <c r="F7">
        <f t="shared" ref="F7:F38" si="2">D7*33</f>
        <v>6.0309842063366617</v>
      </c>
      <c r="H7">
        <v>1</v>
      </c>
      <c r="I7">
        <v>12</v>
      </c>
      <c r="J7">
        <f>F7</f>
        <v>6.0309842063366617</v>
      </c>
      <c r="K7">
        <f t="shared" ref="K7:K13" si="3">((I7-J7)^2)/J7</f>
        <v>5.9076841069435027</v>
      </c>
    </row>
    <row r="8" spans="1:17" ht="13">
      <c r="A8" s="13">
        <v>2006</v>
      </c>
      <c r="B8" s="14" t="s">
        <v>44</v>
      </c>
      <c r="C8" s="11">
        <v>4</v>
      </c>
      <c r="D8">
        <f t="shared" si="0"/>
        <v>0.14616576502423617</v>
      </c>
      <c r="E8">
        <f t="shared" si="1"/>
        <v>-1.9230139244483495</v>
      </c>
      <c r="F8">
        <f t="shared" si="2"/>
        <v>4.8234702457997933</v>
      </c>
      <c r="H8">
        <v>2</v>
      </c>
      <c r="I8">
        <v>5</v>
      </c>
      <c r="J8">
        <f>F9</f>
        <v>7.8718377750187836</v>
      </c>
      <c r="K8">
        <f t="shared" si="3"/>
        <v>1.0477162311700658</v>
      </c>
    </row>
    <row r="9" spans="1:17" ht="13">
      <c r="A9" s="13">
        <v>2006</v>
      </c>
      <c r="B9" s="15" t="s">
        <v>48</v>
      </c>
      <c r="C9" s="16">
        <v>2</v>
      </c>
      <c r="D9">
        <f t="shared" si="0"/>
        <v>0.23854053863693284</v>
      </c>
      <c r="E9">
        <f t="shared" si="1"/>
        <v>-1.4332160097770963</v>
      </c>
      <c r="F9">
        <f t="shared" si="2"/>
        <v>7.8718377750187836</v>
      </c>
      <c r="H9">
        <v>3</v>
      </c>
      <c r="I9">
        <v>5</v>
      </c>
      <c r="J9">
        <f>F11</f>
        <v>7.0270764410627296</v>
      </c>
      <c r="K9">
        <f t="shared" si="3"/>
        <v>0.58474373124794377</v>
      </c>
      <c r="M9" t="s">
        <v>181</v>
      </c>
      <c r="N9">
        <f>SUM(I7:I9)</f>
        <v>22</v>
      </c>
    </row>
    <row r="10" spans="1:17" ht="13">
      <c r="A10" s="13">
        <v>2006</v>
      </c>
      <c r="B10" s="13" t="s">
        <v>52</v>
      </c>
      <c r="C10">
        <v>1</v>
      </c>
      <c r="D10">
        <f>(($B$2/($B$2+1))^$B$1)*((1/($B$2+1))^C10)*(EXP(GAMMALN($B$1+C10)-GAMMALN($B$1)-GAMMALN(C10+1)))</f>
        <v>0.18275709716171701</v>
      </c>
      <c r="E10">
        <f t="shared" si="1"/>
        <v>-1.6995973457480895</v>
      </c>
      <c r="F10">
        <f t="shared" si="2"/>
        <v>6.0309842063366617</v>
      </c>
      <c r="H10">
        <v>4</v>
      </c>
      <c r="I10">
        <v>5</v>
      </c>
      <c r="J10">
        <f>F8</f>
        <v>4.8234702457997933</v>
      </c>
      <c r="K10">
        <f t="shared" si="3"/>
        <v>6.4606502227564167E-3</v>
      </c>
      <c r="M10" t="s">
        <v>182</v>
      </c>
      <c r="N10">
        <f>SUM(I10:I13)</f>
        <v>11</v>
      </c>
    </row>
    <row r="11" spans="1:17" ht="13">
      <c r="A11" s="13">
        <v>2005</v>
      </c>
      <c r="B11" s="17" t="s">
        <v>56</v>
      </c>
      <c r="C11" s="18">
        <v>3</v>
      </c>
      <c r="D11">
        <f t="shared" si="0"/>
        <v>0.21294171033523424</v>
      </c>
      <c r="E11">
        <f t="shared" si="1"/>
        <v>-1.5467368111225128</v>
      </c>
      <c r="F11">
        <f t="shared" si="2"/>
        <v>7.0270764410627296</v>
      </c>
      <c r="H11">
        <v>5</v>
      </c>
      <c r="I11">
        <v>4</v>
      </c>
      <c r="J11">
        <f>F6</f>
        <v>2.7139157522881283</v>
      </c>
      <c r="K11">
        <f t="shared" si="3"/>
        <v>0.60945616709660089</v>
      </c>
    </row>
    <row r="12" spans="1:17" ht="15">
      <c r="A12" s="13">
        <v>2005</v>
      </c>
      <c r="B12" s="15" t="s">
        <v>60</v>
      </c>
      <c r="C12" s="16">
        <v>2</v>
      </c>
      <c r="D12">
        <f t="shared" si="0"/>
        <v>0.23854053863693284</v>
      </c>
      <c r="E12">
        <f t="shared" si="1"/>
        <v>-1.4332160097770963</v>
      </c>
      <c r="F12">
        <f t="shared" si="2"/>
        <v>7.8718377750187836</v>
      </c>
      <c r="H12">
        <v>6</v>
      </c>
      <c r="I12">
        <v>1</v>
      </c>
      <c r="J12">
        <f>F36</f>
        <v>1.3030555967519057</v>
      </c>
      <c r="K12">
        <f t="shared" si="3"/>
        <v>7.0482560338628458E-2</v>
      </c>
      <c r="N12" s="49" t="s">
        <v>183</v>
      </c>
      <c r="O12" s="65" t="s">
        <v>184</v>
      </c>
      <c r="P12" s="50" t="s">
        <v>191</v>
      </c>
      <c r="Q12" s="51"/>
    </row>
    <row r="13" spans="1:17" ht="16">
      <c r="A13" s="13">
        <v>2005</v>
      </c>
      <c r="B13" s="13" t="s">
        <v>64</v>
      </c>
      <c r="C13">
        <v>1</v>
      </c>
      <c r="D13">
        <f t="shared" si="0"/>
        <v>0.18275709716171701</v>
      </c>
      <c r="E13">
        <f t="shared" si="1"/>
        <v>-1.6995973457480895</v>
      </c>
      <c r="F13">
        <f t="shared" si="2"/>
        <v>6.0309842063366617</v>
      </c>
      <c r="H13">
        <v>7</v>
      </c>
      <c r="I13">
        <v>1</v>
      </c>
      <c r="J13">
        <f>F23</f>
        <v>0.54885126895066216</v>
      </c>
      <c r="K13">
        <f t="shared" si="3"/>
        <v>0.37083849312503664</v>
      </c>
      <c r="N13" s="52" t="s">
        <v>37</v>
      </c>
      <c r="O13" s="54">
        <v>0</v>
      </c>
      <c r="P13" s="53" t="s">
        <v>187</v>
      </c>
      <c r="Q13" s="54"/>
    </row>
    <row r="14" spans="1:17" ht="16">
      <c r="A14" s="13">
        <v>2003</v>
      </c>
      <c r="B14" s="17" t="s">
        <v>67</v>
      </c>
      <c r="C14" s="18">
        <v>3</v>
      </c>
      <c r="D14">
        <f t="shared" si="0"/>
        <v>0.21294171033523424</v>
      </c>
      <c r="E14">
        <f t="shared" si="1"/>
        <v>-1.5467368111225128</v>
      </c>
      <c r="F14">
        <f t="shared" si="2"/>
        <v>7.0270764410627296</v>
      </c>
      <c r="J14" t="s">
        <v>171</v>
      </c>
      <c r="K14">
        <f>SUM(K7:K13)</f>
        <v>8.5973819401445351</v>
      </c>
      <c r="N14" s="55" t="s">
        <v>44</v>
      </c>
      <c r="O14" s="54">
        <v>0</v>
      </c>
      <c r="P14" s="53"/>
      <c r="Q14" s="54"/>
    </row>
    <row r="15" spans="1:17" ht="30">
      <c r="A15" s="13">
        <v>1999</v>
      </c>
      <c r="B15" s="14" t="s">
        <v>71</v>
      </c>
      <c r="C15" s="11">
        <v>4</v>
      </c>
      <c r="D15">
        <f t="shared" si="0"/>
        <v>0.14616576502423617</v>
      </c>
      <c r="E15">
        <f t="shared" si="1"/>
        <v>-1.9230139244483495</v>
      </c>
      <c r="F15">
        <f t="shared" si="2"/>
        <v>4.8234702457997933</v>
      </c>
      <c r="J15" t="s">
        <v>172</v>
      </c>
      <c r="K15">
        <v>4</v>
      </c>
      <c r="N15" s="55" t="s">
        <v>71</v>
      </c>
      <c r="O15" s="54">
        <v>2</v>
      </c>
      <c r="P15" s="53" t="s">
        <v>185</v>
      </c>
      <c r="Q15" s="54"/>
    </row>
    <row r="16" spans="1:17" ht="16">
      <c r="A16" s="13">
        <v>1999</v>
      </c>
      <c r="B16" s="17" t="s">
        <v>74</v>
      </c>
      <c r="C16" s="18">
        <v>3</v>
      </c>
      <c r="D16">
        <f t="shared" si="0"/>
        <v>0.21294171033523424</v>
      </c>
      <c r="E16">
        <f t="shared" si="1"/>
        <v>-1.5467368111225128</v>
      </c>
      <c r="F16">
        <f t="shared" si="2"/>
        <v>7.0270764410627296</v>
      </c>
      <c r="J16" t="s">
        <v>173</v>
      </c>
      <c r="K16">
        <f>_xlfn.CHISQ.DIST.RT(K14,K15)</f>
        <v>7.1989776233950198E-2</v>
      </c>
      <c r="N16" s="55" t="s">
        <v>85</v>
      </c>
      <c r="O16" s="54">
        <v>0</v>
      </c>
      <c r="P16" s="53"/>
      <c r="Q16" s="54"/>
    </row>
    <row r="17" spans="1:17" ht="75">
      <c r="A17" s="13">
        <v>1999</v>
      </c>
      <c r="B17" s="17" t="s">
        <v>78</v>
      </c>
      <c r="C17" s="18">
        <v>3</v>
      </c>
      <c r="D17">
        <f t="shared" si="0"/>
        <v>0.21294171033523424</v>
      </c>
      <c r="E17">
        <f t="shared" si="1"/>
        <v>-1.5467368111225128</v>
      </c>
      <c r="F17">
        <f t="shared" si="2"/>
        <v>7.0270764410627296</v>
      </c>
      <c r="N17" s="56" t="s">
        <v>101</v>
      </c>
      <c r="O17" s="54">
        <v>50</v>
      </c>
      <c r="P17" s="53" t="s">
        <v>186</v>
      </c>
      <c r="Q17" s="54" t="s">
        <v>192</v>
      </c>
    </row>
    <row r="18" spans="1:17" ht="16">
      <c r="A18" s="13">
        <v>1999</v>
      </c>
      <c r="B18" s="15" t="s">
        <v>82</v>
      </c>
      <c r="C18" s="16">
        <v>2</v>
      </c>
      <c r="D18">
        <f t="shared" si="0"/>
        <v>0.23854053863693284</v>
      </c>
      <c r="E18">
        <f t="shared" si="1"/>
        <v>-1.4332160097770963</v>
      </c>
      <c r="F18">
        <f t="shared" si="2"/>
        <v>7.8718377750187836</v>
      </c>
      <c r="N18" s="55" t="s">
        <v>111</v>
      </c>
      <c r="O18" s="54">
        <v>0</v>
      </c>
      <c r="P18" s="53"/>
      <c r="Q18" s="54"/>
    </row>
    <row r="19" spans="1:17" ht="105">
      <c r="A19" s="13">
        <v>1993</v>
      </c>
      <c r="B19" s="14" t="s">
        <v>85</v>
      </c>
      <c r="C19" s="11">
        <v>4</v>
      </c>
      <c r="D19">
        <f t="shared" si="0"/>
        <v>0.14616576502423617</v>
      </c>
      <c r="E19">
        <f t="shared" si="1"/>
        <v>-1.9230139244483495</v>
      </c>
      <c r="F19">
        <f t="shared" si="2"/>
        <v>4.8234702457997933</v>
      </c>
      <c r="N19" s="57" t="s">
        <v>114</v>
      </c>
      <c r="O19" s="66">
        <v>0</v>
      </c>
      <c r="P19" s="58" t="s">
        <v>188</v>
      </c>
      <c r="Q19" s="54" t="s">
        <v>193</v>
      </c>
    </row>
    <row r="20" spans="1:17" ht="16">
      <c r="A20" s="13">
        <v>1993</v>
      </c>
      <c r="B20" s="15" t="s">
        <v>89</v>
      </c>
      <c r="C20" s="16">
        <v>2</v>
      </c>
      <c r="D20">
        <f t="shared" si="0"/>
        <v>0.23854053863693284</v>
      </c>
      <c r="E20">
        <f t="shared" si="1"/>
        <v>-1.4332160097770963</v>
      </c>
      <c r="F20">
        <f t="shared" si="2"/>
        <v>7.8718377750187836</v>
      </c>
      <c r="N20" s="55" t="s">
        <v>117</v>
      </c>
      <c r="O20" s="54">
        <v>0</v>
      </c>
      <c r="P20" s="53"/>
      <c r="Q20" s="54"/>
    </row>
    <row r="21" spans="1:17" ht="45">
      <c r="A21" s="13">
        <v>1989</v>
      </c>
      <c r="B21" s="17" t="s">
        <v>93</v>
      </c>
      <c r="C21" s="18">
        <v>3</v>
      </c>
      <c r="D21">
        <f t="shared" si="0"/>
        <v>0.21294171033523424</v>
      </c>
      <c r="E21">
        <f t="shared" si="1"/>
        <v>-1.5467368111225128</v>
      </c>
      <c r="F21">
        <f t="shared" si="2"/>
        <v>7.0270764410627296</v>
      </c>
      <c r="N21" s="59" t="s">
        <v>144</v>
      </c>
      <c r="O21" s="54">
        <v>0</v>
      </c>
      <c r="P21" s="53" t="s">
        <v>190</v>
      </c>
      <c r="Q21" s="54" t="s">
        <v>189</v>
      </c>
    </row>
    <row r="22" spans="1:17" ht="16">
      <c r="A22" s="13">
        <v>1989</v>
      </c>
      <c r="B22" s="13" t="s">
        <v>97</v>
      </c>
      <c r="C22">
        <v>1</v>
      </c>
      <c r="D22">
        <f t="shared" si="0"/>
        <v>0.18275709716171701</v>
      </c>
      <c r="E22">
        <f t="shared" si="1"/>
        <v>-1.6995973457480895</v>
      </c>
      <c r="F22">
        <f t="shared" si="2"/>
        <v>6.0309842063366617</v>
      </c>
      <c r="N22" s="60" t="s">
        <v>147</v>
      </c>
      <c r="O22" s="54">
        <v>0</v>
      </c>
      <c r="P22" s="53"/>
      <c r="Q22" s="54"/>
    </row>
    <row r="23" spans="1:17" ht="16">
      <c r="A23" s="13">
        <v>1986</v>
      </c>
      <c r="B23" s="19" t="s">
        <v>101</v>
      </c>
      <c r="C23" s="20">
        <v>7</v>
      </c>
      <c r="D23">
        <f t="shared" si="0"/>
        <v>1.6631856634868551E-2</v>
      </c>
      <c r="E23">
        <f t="shared" si="1"/>
        <v>-4.0964353483007248</v>
      </c>
      <c r="F23">
        <f t="shared" si="2"/>
        <v>0.54885126895066216</v>
      </c>
      <c r="N23" s="61" t="s">
        <v>136</v>
      </c>
      <c r="O23" s="64">
        <v>0</v>
      </c>
      <c r="P23" s="63" t="s">
        <v>186</v>
      </c>
      <c r="Q23" s="64"/>
    </row>
    <row r="24" spans="1:17" ht="17">
      <c r="A24" s="13">
        <v>1986</v>
      </c>
      <c r="B24" s="13" t="s">
        <v>105</v>
      </c>
      <c r="C24">
        <v>1</v>
      </c>
      <c r="D24">
        <f t="shared" si="0"/>
        <v>0.18275709716171701</v>
      </c>
      <c r="E24">
        <f t="shared" si="1"/>
        <v>-1.6995973457480895</v>
      </c>
      <c r="F24">
        <f t="shared" si="2"/>
        <v>6.0309842063366617</v>
      </c>
      <c r="N24" s="48"/>
      <c r="O24" s="48"/>
      <c r="P24" s="48"/>
      <c r="Q24" s="48"/>
    </row>
    <row r="25" spans="1:17" ht="13">
      <c r="A25" s="13">
        <v>1981</v>
      </c>
      <c r="B25" s="15" t="s">
        <v>108</v>
      </c>
      <c r="C25" s="16">
        <v>2</v>
      </c>
      <c r="D25">
        <f t="shared" si="0"/>
        <v>0.23854053863693284</v>
      </c>
      <c r="E25">
        <f t="shared" si="1"/>
        <v>-1.4332160097770963</v>
      </c>
      <c r="F25">
        <f t="shared" si="2"/>
        <v>7.8718377750187836</v>
      </c>
    </row>
    <row r="26" spans="1:17" ht="13">
      <c r="A26" s="13">
        <v>1980</v>
      </c>
      <c r="B26" s="14" t="s">
        <v>111</v>
      </c>
      <c r="C26" s="11">
        <v>4</v>
      </c>
      <c r="D26">
        <f t="shared" si="0"/>
        <v>0.14616576502423617</v>
      </c>
      <c r="E26">
        <f t="shared" si="1"/>
        <v>-1.9230139244483495</v>
      </c>
      <c r="F26">
        <f t="shared" si="2"/>
        <v>4.8234702457997933</v>
      </c>
    </row>
    <row r="27" spans="1:17" ht="13">
      <c r="A27" s="13">
        <v>1979</v>
      </c>
      <c r="B27" s="21" t="s">
        <v>114</v>
      </c>
      <c r="C27" s="12">
        <v>5</v>
      </c>
      <c r="D27">
        <f t="shared" si="0"/>
        <v>8.2239871281458432E-2</v>
      </c>
      <c r="E27">
        <f t="shared" si="1"/>
        <v>-2.4981150424338705</v>
      </c>
      <c r="F27">
        <f t="shared" si="2"/>
        <v>2.7139157522881283</v>
      </c>
    </row>
    <row r="28" spans="1:17" ht="13">
      <c r="A28" s="13">
        <v>1977</v>
      </c>
      <c r="B28" s="14" t="s">
        <v>117</v>
      </c>
      <c r="C28" s="11">
        <v>4</v>
      </c>
      <c r="D28">
        <f t="shared" si="0"/>
        <v>0.14616576502423617</v>
      </c>
      <c r="E28">
        <f t="shared" si="1"/>
        <v>-1.9230139244483495</v>
      </c>
      <c r="F28">
        <f t="shared" si="2"/>
        <v>4.8234702457997933</v>
      </c>
    </row>
    <row r="29" spans="1:17" ht="13">
      <c r="A29" s="13">
        <v>1969</v>
      </c>
      <c r="B29" s="22" t="s">
        <v>121</v>
      </c>
      <c r="C29">
        <v>1</v>
      </c>
      <c r="D29">
        <f t="shared" si="0"/>
        <v>0.18275709716171701</v>
      </c>
      <c r="E29">
        <f t="shared" si="1"/>
        <v>-1.6995973457480895</v>
      </c>
      <c r="F29">
        <f t="shared" si="2"/>
        <v>6.0309842063366617</v>
      </c>
    </row>
    <row r="30" spans="1:17" ht="13">
      <c r="A30" s="13">
        <v>1967</v>
      </c>
      <c r="B30" s="13" t="s">
        <v>124</v>
      </c>
      <c r="C30">
        <v>1</v>
      </c>
      <c r="D30">
        <f t="shared" si="0"/>
        <v>0.18275709716171701</v>
      </c>
      <c r="E30">
        <f t="shared" si="1"/>
        <v>-1.6995973457480895</v>
      </c>
      <c r="F30">
        <f>D30*33</f>
        <v>6.0309842063366617</v>
      </c>
    </row>
    <row r="31" spans="1:17" ht="13">
      <c r="A31" s="13">
        <v>1966</v>
      </c>
      <c r="B31" s="13" t="s">
        <v>127</v>
      </c>
      <c r="C31">
        <v>1</v>
      </c>
      <c r="D31">
        <f t="shared" si="0"/>
        <v>0.18275709716171701</v>
      </c>
      <c r="E31">
        <f t="shared" si="1"/>
        <v>-1.6995973457480895</v>
      </c>
      <c r="F31">
        <f t="shared" si="2"/>
        <v>6.0309842063366617</v>
      </c>
    </row>
    <row r="32" spans="1:17" ht="13">
      <c r="A32" s="13">
        <v>1964</v>
      </c>
      <c r="B32" s="13" t="s">
        <v>130</v>
      </c>
      <c r="C32">
        <v>1</v>
      </c>
      <c r="D32">
        <f t="shared" si="0"/>
        <v>0.18275709716171701</v>
      </c>
      <c r="E32">
        <f t="shared" si="1"/>
        <v>-1.6995973457480895</v>
      </c>
      <c r="F32">
        <f t="shared" si="2"/>
        <v>6.0309842063366617</v>
      </c>
    </row>
    <row r="33" spans="1:6" ht="13">
      <c r="A33" s="13">
        <v>1959</v>
      </c>
      <c r="B33" s="13" t="s">
        <v>133</v>
      </c>
      <c r="C33">
        <v>1</v>
      </c>
      <c r="D33">
        <f t="shared" si="0"/>
        <v>0.18275709716171701</v>
      </c>
      <c r="E33">
        <f t="shared" si="1"/>
        <v>-1.6995973457480895</v>
      </c>
      <c r="F33">
        <f t="shared" si="2"/>
        <v>6.0309842063366617</v>
      </c>
    </row>
    <row r="34" spans="1:6" ht="13">
      <c r="A34" s="13">
        <v>1958</v>
      </c>
      <c r="B34" s="13" t="s">
        <v>136</v>
      </c>
      <c r="C34">
        <v>1</v>
      </c>
      <c r="D34">
        <f t="shared" si="0"/>
        <v>0.18275709716171701</v>
      </c>
      <c r="E34">
        <f t="shared" si="1"/>
        <v>-1.6995973457480895</v>
      </c>
      <c r="F34">
        <f t="shared" si="2"/>
        <v>6.0309842063366617</v>
      </c>
    </row>
    <row r="35" spans="1:6" ht="13">
      <c r="A35" s="10">
        <v>1958</v>
      </c>
      <c r="B35" s="10" t="s">
        <v>140</v>
      </c>
      <c r="C35">
        <v>1</v>
      </c>
      <c r="D35">
        <f t="shared" si="0"/>
        <v>0.18275709716171701</v>
      </c>
      <c r="E35">
        <f t="shared" si="1"/>
        <v>-1.6995973457480895</v>
      </c>
      <c r="F35">
        <f t="shared" si="2"/>
        <v>6.0309842063366617</v>
      </c>
    </row>
    <row r="36" spans="1:6" ht="13">
      <c r="A36" s="10">
        <v>1957</v>
      </c>
      <c r="B36" s="24" t="s">
        <v>144</v>
      </c>
      <c r="C36" s="25">
        <v>6</v>
      </c>
      <c r="D36">
        <f t="shared" si="0"/>
        <v>3.9486533234906238E-2</v>
      </c>
      <c r="E36">
        <f t="shared" si="1"/>
        <v>-3.231795595967033</v>
      </c>
      <c r="F36">
        <f t="shared" si="2"/>
        <v>1.3030555967519057</v>
      </c>
    </row>
    <row r="37" spans="1:6" ht="13">
      <c r="A37" s="13">
        <v>1957</v>
      </c>
      <c r="B37" s="21" t="s">
        <v>147</v>
      </c>
      <c r="C37" s="12">
        <v>5</v>
      </c>
      <c r="D37">
        <f t="shared" si="0"/>
        <v>8.2239871281458432E-2</v>
      </c>
      <c r="E37">
        <f t="shared" si="1"/>
        <v>-2.4981150424338705</v>
      </c>
      <c r="F37">
        <f t="shared" si="2"/>
        <v>2.7139157522881283</v>
      </c>
    </row>
    <row r="38" spans="1:6" ht="13">
      <c r="A38" s="13">
        <v>1952</v>
      </c>
      <c r="B38" s="21" t="s">
        <v>136</v>
      </c>
      <c r="C38" s="12">
        <v>5</v>
      </c>
      <c r="D38">
        <f t="shared" si="0"/>
        <v>8.2239871281458432E-2</v>
      </c>
      <c r="E38">
        <f t="shared" si="1"/>
        <v>-2.4981150424338705</v>
      </c>
      <c r="F38">
        <f t="shared" si="2"/>
        <v>2.7139157522881283</v>
      </c>
    </row>
  </sheetData>
  <hyperlinks>
    <hyperlink ref="P23" r:id="rId1" location="x"/>
  </hyperlinks>
  <pageMargins left="0.75" right="0.75" top="1" bottom="1" header="0.5" footer="0.5"/>
  <pageSetup orientation="portrait" horizontalDpi="4294967292" verticalDpi="4294967292"/>
  <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2"/>
  <sheetViews>
    <sheetView workbookViewId="0">
      <selection activeCell="E3" sqref="E3"/>
    </sheetView>
  </sheetViews>
  <sheetFormatPr baseColWidth="10" defaultRowHeight="12" x14ac:dyDescent="0"/>
  <cols>
    <col min="2" max="2" width="25.33203125" customWidth="1"/>
    <col min="4" max="4" width="15.6640625" bestFit="1" customWidth="1"/>
    <col min="5" max="5" width="11" bestFit="1" customWidth="1"/>
    <col min="6" max="6" width="33.5" customWidth="1"/>
    <col min="8" max="8" width="11" bestFit="1" customWidth="1"/>
  </cols>
  <sheetData>
    <row r="1" spans="1:9">
      <c r="A1" t="s">
        <v>153</v>
      </c>
      <c r="B1">
        <v>4.5637913750037291E-2</v>
      </c>
    </row>
    <row r="2" spans="1:9" ht="24">
      <c r="A2" t="s">
        <v>154</v>
      </c>
      <c r="B2">
        <v>1.9514917094365418E-2</v>
      </c>
      <c r="E2" t="s">
        <v>240</v>
      </c>
      <c r="F2" t="s">
        <v>239</v>
      </c>
    </row>
    <row r="3" spans="1:9">
      <c r="C3" t="s">
        <v>157</v>
      </c>
      <c r="D3">
        <f>SUM(D8:D38, D40)</f>
        <v>-192.52094365194986</v>
      </c>
    </row>
    <row r="4" spans="1:9" ht="12" customHeight="1">
      <c r="A4" s="74" t="s">
        <v>34</v>
      </c>
      <c r="B4" s="75" t="s">
        <v>216</v>
      </c>
    </row>
    <row r="5" spans="1:9" ht="12" customHeight="1">
      <c r="A5" s="74"/>
      <c r="B5" s="75"/>
    </row>
    <row r="6" spans="1:9" ht="12" customHeight="1">
      <c r="A6" s="74"/>
      <c r="B6" s="75"/>
    </row>
    <row r="7" spans="1:9" ht="12" customHeight="1">
      <c r="A7" s="74"/>
      <c r="B7" s="75"/>
      <c r="C7" t="s">
        <v>155</v>
      </c>
      <c r="D7" t="s">
        <v>156</v>
      </c>
      <c r="E7" t="s">
        <v>174</v>
      </c>
    </row>
    <row r="8" spans="1:9" ht="32">
      <c r="A8" s="73" t="s">
        <v>61</v>
      </c>
      <c r="B8" s="73">
        <v>3</v>
      </c>
      <c r="C8" s="73">
        <f>(($B$2/($B$2+1))^$B$1)*((1/($B$2+1))^B8)*(EXP(GAMMALN($B$1+B8)-GAMMALN($B$1)-GAMMALN(B8+1)))</f>
        <v>1.281730453373915E-2</v>
      </c>
      <c r="D8" s="73">
        <f>LN(C8)</f>
        <v>-4.3569591043747851</v>
      </c>
      <c r="E8">
        <f>C8*189</f>
        <v>2.4224705568766995</v>
      </c>
      <c r="G8" t="s">
        <v>218</v>
      </c>
      <c r="H8" t="s">
        <v>219</v>
      </c>
      <c r="I8" t="s">
        <v>220</v>
      </c>
    </row>
    <row r="9" spans="1:9" ht="16">
      <c r="A9" s="73" t="s">
        <v>194</v>
      </c>
      <c r="B9" s="73">
        <v>1</v>
      </c>
      <c r="C9" s="73">
        <f t="shared" ref="C9:C40" si="0">(($B$2/($B$2+1))^$B$1)*((1/($B$2+1))^B9)*(EXP(GAMMALN($B$1+B9)-GAMMALN($B$1)-GAMMALN(B9+1)))</f>
        <v>3.7370166807730275E-2</v>
      </c>
      <c r="D9" s="73">
        <f t="shared" ref="D9:D40" si="1">LN(C9)</f>
        <v>-3.2868825718144747</v>
      </c>
      <c r="E9">
        <f t="shared" ref="E9:E42" si="2">C9*189</f>
        <v>7.0629615266610219</v>
      </c>
      <c r="G9">
        <v>0</v>
      </c>
      <c r="H9">
        <f>E40</f>
        <v>157.78097734120504</v>
      </c>
      <c r="I9">
        <f>189-31</f>
        <v>158</v>
      </c>
    </row>
    <row r="10" spans="1:9" ht="16">
      <c r="A10" s="73" t="s">
        <v>45</v>
      </c>
      <c r="B10" s="73">
        <v>7</v>
      </c>
      <c r="C10" s="73">
        <f t="shared" si="0"/>
        <v>5.3084358530303176E-3</v>
      </c>
      <c r="D10" s="73">
        <f t="shared" si="1"/>
        <v>-5.2384580534057683</v>
      </c>
      <c r="E10">
        <f t="shared" si="2"/>
        <v>1.00329437622273</v>
      </c>
      <c r="G10">
        <v>1</v>
      </c>
      <c r="H10">
        <f>E9</f>
        <v>7.0629615266610219</v>
      </c>
      <c r="I10">
        <f>3</f>
        <v>3</v>
      </c>
    </row>
    <row r="11" spans="1:9" ht="16">
      <c r="A11" s="73" t="s">
        <v>195</v>
      </c>
      <c r="B11" s="73">
        <v>2</v>
      </c>
      <c r="C11" s="73">
        <f>(($B$2/($B$2+1))^$B$1)*((1/($B$2+1))^B11)*(EXP(GAMMALN($B$1+B11)-GAMMALN($B$1)-GAMMALN(B11+1)))</f>
        <v>1.9163850671597954E-2</v>
      </c>
      <c r="D11" s="73">
        <f t="shared" si="1"/>
        <v>-3.9547295521228061</v>
      </c>
      <c r="E11">
        <f t="shared" si="2"/>
        <v>3.6219677769320131</v>
      </c>
      <c r="G11">
        <v>2</v>
      </c>
      <c r="H11">
        <f>E11</f>
        <v>3.6219677769320131</v>
      </c>
      <c r="I11">
        <f>5</f>
        <v>5</v>
      </c>
    </row>
    <row r="12" spans="1:9" ht="16">
      <c r="A12" s="73" t="s">
        <v>196</v>
      </c>
      <c r="B12" s="73">
        <v>2</v>
      </c>
      <c r="C12" s="73">
        <f t="shared" si="0"/>
        <v>1.9163850671597954E-2</v>
      </c>
      <c r="D12" s="73">
        <f t="shared" si="1"/>
        <v>-3.9547295521228061</v>
      </c>
      <c r="E12">
        <f t="shared" si="2"/>
        <v>3.6219677769320131</v>
      </c>
      <c r="G12">
        <v>3</v>
      </c>
      <c r="H12">
        <f>E8</f>
        <v>2.4224705568766995</v>
      </c>
      <c r="I12">
        <f>2</f>
        <v>2</v>
      </c>
    </row>
    <row r="13" spans="1:9" ht="16">
      <c r="A13" s="73" t="s">
        <v>137</v>
      </c>
      <c r="B13" s="73">
        <v>19</v>
      </c>
      <c r="C13" s="73">
        <f t="shared" si="0"/>
        <v>1.626512799062703E-3</v>
      </c>
      <c r="D13" s="73">
        <f t="shared" si="1"/>
        <v>-6.4213169429993187</v>
      </c>
      <c r="E13">
        <f t="shared" si="2"/>
        <v>0.30741091902285089</v>
      </c>
      <c r="G13">
        <v>4</v>
      </c>
      <c r="H13">
        <f>E16</f>
        <v>1.8091859298131148</v>
      </c>
      <c r="I13">
        <v>2</v>
      </c>
    </row>
    <row r="14" spans="1:9" ht="16">
      <c r="A14" s="73" t="s">
        <v>197</v>
      </c>
      <c r="B14" s="73">
        <v>31</v>
      </c>
      <c r="C14" s="73">
        <f t="shared" si="0"/>
        <v>8.087690547876348E-4</v>
      </c>
      <c r="D14" s="73">
        <f t="shared" si="1"/>
        <v>-7.1199971516382945</v>
      </c>
      <c r="E14">
        <f t="shared" si="2"/>
        <v>0.15285735135486297</v>
      </c>
      <c r="G14">
        <v>5</v>
      </c>
      <c r="H14">
        <f>E34</f>
        <v>1.4358419024481195</v>
      </c>
      <c r="I14">
        <v>1</v>
      </c>
    </row>
    <row r="15" spans="1:9" ht="32">
      <c r="A15" s="73" t="s">
        <v>198</v>
      </c>
      <c r="B15" s="73">
        <v>6</v>
      </c>
      <c r="C15" s="73">
        <f t="shared" si="0"/>
        <v>6.2663704493545365E-3</v>
      </c>
      <c r="D15" s="73">
        <f t="shared" si="1"/>
        <v>-5.0725579676515649</v>
      </c>
      <c r="E15">
        <f t="shared" si="2"/>
        <v>1.1843440149280073</v>
      </c>
      <c r="G15">
        <v>6</v>
      </c>
      <c r="H15">
        <f>E35</f>
        <v>1.1843440149280073</v>
      </c>
      <c r="I15">
        <v>2</v>
      </c>
    </row>
    <row r="16" spans="1:9" ht="16">
      <c r="A16" s="73" t="s">
        <v>199</v>
      </c>
      <c r="B16" s="73">
        <v>4</v>
      </c>
      <c r="C16" s="73">
        <f t="shared" si="0"/>
        <v>9.5724123270535168E-3</v>
      </c>
      <c r="D16" s="73">
        <f t="shared" si="1"/>
        <v>-4.6488700334896045</v>
      </c>
      <c r="E16">
        <f t="shared" si="2"/>
        <v>1.8091859298131148</v>
      </c>
      <c r="G16">
        <v>7</v>
      </c>
      <c r="H16">
        <f>E32</f>
        <v>1.00329437622273</v>
      </c>
      <c r="I16">
        <v>2</v>
      </c>
    </row>
    <row r="17" spans="1:9" ht="16">
      <c r="A17" s="73" t="s">
        <v>90</v>
      </c>
      <c r="B17" s="73">
        <v>58</v>
      </c>
      <c r="C17" s="73">
        <f t="shared" si="0"/>
        <v>2.6405297787850525E-4</v>
      </c>
      <c r="D17" s="73">
        <f t="shared" si="1"/>
        <v>-8.239360801168031</v>
      </c>
      <c r="E17">
        <f t="shared" si="2"/>
        <v>4.990601281903749E-2</v>
      </c>
      <c r="G17">
        <v>8</v>
      </c>
      <c r="H17">
        <f>E18</f>
        <v>0.86669267624761248</v>
      </c>
      <c r="I17">
        <v>1</v>
      </c>
    </row>
    <row r="18" spans="1:9" ht="16">
      <c r="A18" s="73" t="s">
        <v>98</v>
      </c>
      <c r="B18" s="73">
        <v>8</v>
      </c>
      <c r="C18" s="73">
        <f t="shared" si="0"/>
        <v>4.5856755357016532E-3</v>
      </c>
      <c r="D18" s="73">
        <f t="shared" si="1"/>
        <v>-5.3848178480957012</v>
      </c>
      <c r="E18">
        <f t="shared" si="2"/>
        <v>0.86669267624761248</v>
      </c>
      <c r="G18">
        <v>9</v>
      </c>
      <c r="H18">
        <f>E41</f>
        <v>0.75995786914261398</v>
      </c>
      <c r="I18">
        <v>0</v>
      </c>
    </row>
    <row r="19" spans="1:9" ht="16">
      <c r="A19" s="73" t="s">
        <v>68</v>
      </c>
      <c r="B19" s="73">
        <v>4</v>
      </c>
      <c r="C19" s="73">
        <f t="shared" si="0"/>
        <v>9.5724123270535168E-3</v>
      </c>
      <c r="D19" s="73">
        <f t="shared" si="1"/>
        <v>-4.6488700334896045</v>
      </c>
      <c r="E19">
        <f t="shared" si="2"/>
        <v>1.8091859298131148</v>
      </c>
      <c r="G19">
        <v>10</v>
      </c>
      <c r="H19">
        <f>E33</f>
        <v>0.67427200904141626</v>
      </c>
      <c r="I19">
        <v>1</v>
      </c>
    </row>
    <row r="20" spans="1:9" ht="16">
      <c r="A20" s="73" t="s">
        <v>200</v>
      </c>
      <c r="B20" s="73">
        <v>21</v>
      </c>
      <c r="C20" s="73">
        <f t="shared" si="0"/>
        <v>1.4224481030333162E-3</v>
      </c>
      <c r="D20" s="73">
        <f t="shared" si="1"/>
        <v>-6.5553758755584335</v>
      </c>
      <c r="E20">
        <f t="shared" si="2"/>
        <v>0.26884269147329676</v>
      </c>
      <c r="G20">
        <v>11</v>
      </c>
      <c r="H20">
        <f>E42</f>
        <v>0.60398531824343238</v>
      </c>
      <c r="I20">
        <v>0</v>
      </c>
    </row>
    <row r="21" spans="1:9" ht="16">
      <c r="A21" s="73" t="s">
        <v>201</v>
      </c>
      <c r="B21" s="73">
        <v>1</v>
      </c>
      <c r="C21" s="73">
        <f t="shared" si="0"/>
        <v>3.7370166807730275E-2</v>
      </c>
      <c r="D21" s="73">
        <f t="shared" si="1"/>
        <v>-3.2868825718144747</v>
      </c>
      <c r="E21">
        <f t="shared" si="2"/>
        <v>7.0629615266610219</v>
      </c>
      <c r="G21">
        <v>12</v>
      </c>
    </row>
    <row r="22" spans="1:9" ht="16">
      <c r="A22" s="73" t="s">
        <v>38</v>
      </c>
      <c r="B22" s="73">
        <v>43</v>
      </c>
      <c r="C22" s="73">
        <f t="shared" si="0"/>
        <v>4.6942483453069463E-4</v>
      </c>
      <c r="D22" s="73">
        <f t="shared" si="1"/>
        <v>-7.6640023689790553</v>
      </c>
      <c r="E22">
        <f t="shared" si="2"/>
        <v>8.872129372630129E-2</v>
      </c>
      <c r="G22">
        <v>13</v>
      </c>
    </row>
    <row r="23" spans="1:9" ht="32">
      <c r="A23" s="73" t="s">
        <v>202</v>
      </c>
      <c r="B23" s="73">
        <v>25</v>
      </c>
      <c r="C23" s="73">
        <f t="shared" si="0"/>
        <v>1.1149878282002851E-3</v>
      </c>
      <c r="D23" s="73">
        <f t="shared" si="1"/>
        <v>-6.7989117905419398</v>
      </c>
      <c r="E23">
        <f t="shared" si="2"/>
        <v>0.21073269952985388</v>
      </c>
      <c r="G23">
        <v>14</v>
      </c>
    </row>
    <row r="24" spans="1:9" ht="16">
      <c r="A24" s="73" t="s">
        <v>203</v>
      </c>
      <c r="B24" s="73">
        <v>2</v>
      </c>
      <c r="C24" s="73">
        <f t="shared" si="0"/>
        <v>1.9163850671597954E-2</v>
      </c>
      <c r="D24" s="73">
        <f t="shared" si="1"/>
        <v>-3.9547295521228061</v>
      </c>
      <c r="E24">
        <f t="shared" si="2"/>
        <v>3.6219677769320131</v>
      </c>
      <c r="G24">
        <v>15</v>
      </c>
    </row>
    <row r="25" spans="1:9" ht="32">
      <c r="A25" s="73" t="s">
        <v>204</v>
      </c>
      <c r="B25" s="73">
        <v>1</v>
      </c>
      <c r="C25" s="73">
        <f t="shared" si="0"/>
        <v>3.7370166807730275E-2</v>
      </c>
      <c r="D25" s="73">
        <f t="shared" si="1"/>
        <v>-3.2868825718144747</v>
      </c>
      <c r="E25">
        <f t="shared" si="2"/>
        <v>7.0629615266610219</v>
      </c>
      <c r="G25">
        <v>16</v>
      </c>
    </row>
    <row r="26" spans="1:9" ht="16">
      <c r="A26" s="73" t="s">
        <v>205</v>
      </c>
      <c r="B26" s="73">
        <v>3</v>
      </c>
      <c r="C26" s="73">
        <f t="shared" si="0"/>
        <v>1.281730453373915E-2</v>
      </c>
      <c r="D26" s="73">
        <f t="shared" si="1"/>
        <v>-4.3569591043747851</v>
      </c>
      <c r="E26">
        <f t="shared" si="2"/>
        <v>2.4224705568766995</v>
      </c>
      <c r="G26">
        <v>17</v>
      </c>
    </row>
    <row r="27" spans="1:9" ht="16">
      <c r="A27" s="73" t="s">
        <v>206</v>
      </c>
      <c r="B27" s="73">
        <v>2</v>
      </c>
      <c r="C27" s="73">
        <f t="shared" si="0"/>
        <v>1.9163850671597954E-2</v>
      </c>
      <c r="D27" s="73">
        <f t="shared" si="1"/>
        <v>-3.9547295521228061</v>
      </c>
      <c r="E27">
        <f t="shared" si="2"/>
        <v>3.6219677769320131</v>
      </c>
      <c r="G27">
        <v>18</v>
      </c>
    </row>
    <row r="28" spans="1:9" ht="48">
      <c r="A28" s="73" t="s">
        <v>207</v>
      </c>
      <c r="B28" s="73">
        <v>35</v>
      </c>
      <c r="C28" s="73">
        <f t="shared" si="0"/>
        <v>6.667828686261236E-4</v>
      </c>
      <c r="D28" s="73">
        <f t="shared" si="1"/>
        <v>-7.3130460993401085</v>
      </c>
      <c r="E28">
        <f t="shared" si="2"/>
        <v>0.12602196217033737</v>
      </c>
      <c r="G28">
        <v>19</v>
      </c>
    </row>
    <row r="29" spans="1:9" ht="48">
      <c r="A29" s="73" t="s">
        <v>208</v>
      </c>
      <c r="B29" s="73">
        <v>4</v>
      </c>
      <c r="C29" s="73">
        <f t="shared" si="0"/>
        <v>9.5724123270535168E-3</v>
      </c>
      <c r="D29" s="73">
        <f t="shared" si="1"/>
        <v>-4.6488700334896045</v>
      </c>
      <c r="E29">
        <f t="shared" si="2"/>
        <v>1.8091859298131148</v>
      </c>
      <c r="G29">
        <v>20</v>
      </c>
    </row>
    <row r="30" spans="1:9" ht="16">
      <c r="A30" s="73" t="s">
        <v>209</v>
      </c>
      <c r="B30" s="73">
        <v>1</v>
      </c>
      <c r="C30" s="73">
        <f t="shared" si="0"/>
        <v>3.7370166807730275E-2</v>
      </c>
      <c r="D30" s="73">
        <f t="shared" si="1"/>
        <v>-3.2868825718144747</v>
      </c>
      <c r="E30">
        <f t="shared" si="2"/>
        <v>7.0629615266610219</v>
      </c>
      <c r="G30">
        <v>21</v>
      </c>
    </row>
    <row r="31" spans="1:9" ht="32">
      <c r="A31" s="73" t="s">
        <v>210</v>
      </c>
      <c r="B31" s="73">
        <v>2</v>
      </c>
      <c r="C31" s="73">
        <f t="shared" si="0"/>
        <v>1.9163850671597954E-2</v>
      </c>
      <c r="D31" s="73">
        <f t="shared" si="1"/>
        <v>-3.9547295521228061</v>
      </c>
      <c r="E31">
        <f t="shared" si="2"/>
        <v>3.6219677769320131</v>
      </c>
      <c r="G31">
        <v>22</v>
      </c>
    </row>
    <row r="32" spans="1:9" ht="16">
      <c r="A32" s="73" t="s">
        <v>94</v>
      </c>
      <c r="B32" s="73">
        <v>7</v>
      </c>
      <c r="C32" s="73">
        <f t="shared" si="0"/>
        <v>5.3084358530303176E-3</v>
      </c>
      <c r="D32" s="73">
        <f t="shared" si="1"/>
        <v>-5.2384580534057683</v>
      </c>
      <c r="E32">
        <f t="shared" si="2"/>
        <v>1.00329437622273</v>
      </c>
      <c r="G32">
        <v>23</v>
      </c>
    </row>
    <row r="33" spans="1:7" ht="16">
      <c r="A33" s="73" t="s">
        <v>49</v>
      </c>
      <c r="B33" s="73">
        <v>10</v>
      </c>
      <c r="C33" s="73">
        <f t="shared" si="0"/>
        <v>3.567576767414901E-3</v>
      </c>
      <c r="D33" s="73">
        <f t="shared" si="1"/>
        <v>-5.6358686902982296</v>
      </c>
      <c r="E33">
        <f t="shared" si="2"/>
        <v>0.67427200904141626</v>
      </c>
      <c r="G33">
        <v>24</v>
      </c>
    </row>
    <row r="34" spans="1:7" ht="32">
      <c r="A34" s="73" t="s">
        <v>122</v>
      </c>
      <c r="B34" s="73">
        <v>5</v>
      </c>
      <c r="C34" s="73">
        <f t="shared" si="0"/>
        <v>7.5970471029001034E-3</v>
      </c>
      <c r="D34" s="73">
        <f t="shared" si="1"/>
        <v>-4.879995646282814</v>
      </c>
      <c r="E34">
        <f t="shared" si="2"/>
        <v>1.4358419024481195</v>
      </c>
      <c r="G34">
        <v>25</v>
      </c>
    </row>
    <row r="35" spans="1:7" ht="32">
      <c r="A35" s="73" t="s">
        <v>211</v>
      </c>
      <c r="B35" s="73">
        <v>6</v>
      </c>
      <c r="C35" s="73">
        <f t="shared" si="0"/>
        <v>6.2663704493545365E-3</v>
      </c>
      <c r="D35" s="73">
        <f t="shared" si="1"/>
        <v>-5.0725579676515649</v>
      </c>
      <c r="E35">
        <f t="shared" si="2"/>
        <v>1.1843440149280073</v>
      </c>
      <c r="G35">
        <v>26</v>
      </c>
    </row>
    <row r="36" spans="1:7" ht="16">
      <c r="A36" s="73" t="s">
        <v>212</v>
      </c>
      <c r="B36" s="73">
        <v>15</v>
      </c>
      <c r="C36" s="73">
        <f t="shared" si="0"/>
        <v>2.2012721651156471E-3</v>
      </c>
      <c r="D36" s="73">
        <f t="shared" si="1"/>
        <v>-6.1187198288731981</v>
      </c>
      <c r="E36">
        <f t="shared" si="2"/>
        <v>0.41604043920685729</v>
      </c>
    </row>
    <row r="37" spans="1:7" ht="32">
      <c r="A37" s="73" t="s">
        <v>213</v>
      </c>
      <c r="B37" s="73">
        <v>15</v>
      </c>
      <c r="C37" s="73">
        <f t="shared" si="0"/>
        <v>2.2012721651156471E-3</v>
      </c>
      <c r="D37" s="73">
        <f t="shared" si="1"/>
        <v>-6.1187198288731981</v>
      </c>
      <c r="E37">
        <f t="shared" si="2"/>
        <v>0.41604043920685729</v>
      </c>
    </row>
    <row r="38" spans="1:7" ht="16">
      <c r="A38" s="73" t="s">
        <v>214</v>
      </c>
      <c r="B38" s="73">
        <v>99</v>
      </c>
      <c r="C38" s="73">
        <f t="shared" si="0"/>
        <v>7.1781439868728406E-5</v>
      </c>
      <c r="D38" s="73">
        <f t="shared" si="1"/>
        <v>-9.5418846129763946</v>
      </c>
      <c r="E38">
        <f t="shared" si="2"/>
        <v>1.3566692135189668E-2</v>
      </c>
    </row>
    <row r="39" spans="1:7" ht="16">
      <c r="A39" s="72" t="s">
        <v>215</v>
      </c>
      <c r="B39" s="72">
        <v>442</v>
      </c>
      <c r="C39" s="73">
        <f t="shared" si="0"/>
        <v>2.2748605840060477E-8</v>
      </c>
      <c r="D39" s="73">
        <f t="shared" si="1"/>
        <v>-17.598761975182839</v>
      </c>
      <c r="E39">
        <f t="shared" si="2"/>
        <v>4.2994865037714301E-6</v>
      </c>
    </row>
    <row r="40" spans="1:7">
      <c r="A40" t="s">
        <v>217</v>
      </c>
      <c r="B40">
        <v>0</v>
      </c>
      <c r="C40">
        <f>(($B$2/($B$2+1))^$B$1)*((1/($B$2+1))^B40)*(EXP(GAMMALN($B$1+B40)-GAMMALN($B$1)-GAMMALN(B40+1)))</f>
        <v>0.83481998593230189</v>
      </c>
      <c r="D40">
        <f>LN(C40)*(189-31)</f>
        <v>-28.525187767120205</v>
      </c>
      <c r="E40">
        <f t="shared" si="2"/>
        <v>157.78097734120504</v>
      </c>
    </row>
    <row r="41" spans="1:7">
      <c r="B41">
        <v>9</v>
      </c>
      <c r="C41">
        <f>(($B$2/($B$2+1))^$B$1)*((1/($B$2+1))^B41)*(EXP(GAMMALN($B$1+B41)-GAMMALN($B$1)-GAMMALN(B41+1)))</f>
        <v>4.0209411065746771E-3</v>
      </c>
      <c r="D41">
        <f>LN(C41)*(189-31)</f>
        <v>-871.56580902659277</v>
      </c>
      <c r="E41">
        <f t="shared" si="2"/>
        <v>0.75995786914261398</v>
      </c>
    </row>
    <row r="42" spans="1:7">
      <c r="B42">
        <v>11</v>
      </c>
      <c r="C42">
        <f>(($B$2/($B$2+1))^$B$1)*((1/($B$2+1))^B42)*(EXP(GAMMALN($B$1+B42)-GAMMALN($B$1)-GAMMALN(B42+1)))</f>
        <v>3.1956895145155155E-3</v>
      </c>
      <c r="D42">
        <f>LN(C42)*(189-31)</f>
        <v>-907.86047982352864</v>
      </c>
      <c r="E42">
        <f t="shared" si="2"/>
        <v>0.60398531824343238</v>
      </c>
    </row>
  </sheetData>
  <mergeCells count="2">
    <mergeCell ref="A4:A7"/>
    <mergeCell ref="B4:B7"/>
  </mergeCells>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abSelected="1" workbookViewId="0">
      <pane xSplit="2" ySplit="1" topLeftCell="C2" activePane="bottomRight" state="frozen"/>
      <selection pane="topRight" activeCell="C1" sqref="C1"/>
      <selection pane="bottomLeft" activeCell="A2" sqref="A2"/>
      <selection pane="bottomRight" activeCell="B2" sqref="B2"/>
    </sheetView>
  </sheetViews>
  <sheetFormatPr baseColWidth="10" defaultColWidth="14.5" defaultRowHeight="12.75" customHeight="1" x14ac:dyDescent="0"/>
  <cols>
    <col min="1" max="1" width="10.5" customWidth="1"/>
    <col min="2" max="2" width="26.6640625" customWidth="1"/>
    <col min="3" max="3" width="12.5" customWidth="1"/>
    <col min="4" max="5" width="14.5" customWidth="1"/>
    <col min="6" max="6" width="26" customWidth="1"/>
    <col min="7" max="7" width="109.1640625" customWidth="1"/>
  </cols>
  <sheetData>
    <row r="1" spans="1:7" ht="12.75" customHeight="1">
      <c r="A1" s="10" t="s">
        <v>32</v>
      </c>
      <c r="B1" s="10" t="s">
        <v>25</v>
      </c>
      <c r="C1" s="10" t="s">
        <v>33</v>
      </c>
      <c r="D1" s="10" t="s">
        <v>34</v>
      </c>
      <c r="E1" s="10" t="s">
        <v>180</v>
      </c>
      <c r="F1" s="10" t="s">
        <v>35</v>
      </c>
      <c r="G1" s="1" t="s">
        <v>36</v>
      </c>
    </row>
    <row r="2" spans="1:7" ht="12.75" customHeight="1">
      <c r="A2" s="10">
        <v>2011</v>
      </c>
      <c r="B2" s="11" t="s">
        <v>37</v>
      </c>
      <c r="C2" s="12">
        <v>5</v>
      </c>
      <c r="D2" s="10" t="s">
        <v>38</v>
      </c>
      <c r="E2" s="10">
        <v>4000</v>
      </c>
      <c r="F2" s="13" t="s">
        <v>39</v>
      </c>
      <c r="G2" s="1" t="s">
        <v>40</v>
      </c>
    </row>
    <row r="3" spans="1:7" ht="12.75" customHeight="1">
      <c r="A3" s="10">
        <v>2011</v>
      </c>
      <c r="B3" s="10" t="s">
        <v>41</v>
      </c>
      <c r="C3">
        <v>1</v>
      </c>
      <c r="D3" s="10" t="s">
        <v>38</v>
      </c>
      <c r="E3" s="10"/>
      <c r="F3" s="13" t="s">
        <v>42</v>
      </c>
      <c r="G3" s="1" t="s">
        <v>43</v>
      </c>
    </row>
    <row r="4" spans="1:7" ht="12.75" customHeight="1">
      <c r="A4" s="13">
        <v>2006</v>
      </c>
      <c r="B4" s="14" t="s">
        <v>44</v>
      </c>
      <c r="C4" s="11">
        <v>4</v>
      </c>
      <c r="D4" s="13" t="s">
        <v>45</v>
      </c>
      <c r="E4" s="13"/>
      <c r="F4" s="13" t="s">
        <v>46</v>
      </c>
      <c r="G4" s="3" t="s">
        <v>47</v>
      </c>
    </row>
    <row r="5" spans="1:7" ht="12.75" customHeight="1">
      <c r="A5" s="13">
        <v>2006</v>
      </c>
      <c r="B5" s="15" t="s">
        <v>48</v>
      </c>
      <c r="C5" s="16">
        <v>2</v>
      </c>
      <c r="D5" s="13" t="s">
        <v>49</v>
      </c>
      <c r="E5" s="13"/>
      <c r="F5" s="13" t="s">
        <v>50</v>
      </c>
      <c r="G5" s="3" t="s">
        <v>51</v>
      </c>
    </row>
    <row r="6" spans="1:7" ht="12.75" customHeight="1">
      <c r="A6" s="13">
        <v>2006</v>
      </c>
      <c r="B6" s="13" t="s">
        <v>52</v>
      </c>
      <c r="C6">
        <v>1</v>
      </c>
      <c r="D6" s="13" t="s">
        <v>53</v>
      </c>
      <c r="E6" s="13"/>
      <c r="F6" s="13" t="s">
        <v>54</v>
      </c>
      <c r="G6" s="3" t="s">
        <v>55</v>
      </c>
    </row>
    <row r="7" spans="1:7" ht="12.75" customHeight="1">
      <c r="A7" s="13">
        <v>2005</v>
      </c>
      <c r="B7" s="17" t="s">
        <v>56</v>
      </c>
      <c r="C7" s="18">
        <v>3</v>
      </c>
      <c r="D7" s="13" t="s">
        <v>57</v>
      </c>
      <c r="E7" s="13"/>
      <c r="F7" s="13" t="s">
        <v>58</v>
      </c>
      <c r="G7" s="3" t="s">
        <v>59</v>
      </c>
    </row>
    <row r="8" spans="1:7" ht="12.75" customHeight="1">
      <c r="A8" s="13">
        <v>2005</v>
      </c>
      <c r="B8" s="15" t="s">
        <v>60</v>
      </c>
      <c r="C8" s="16">
        <v>2</v>
      </c>
      <c r="D8" s="13" t="s">
        <v>61</v>
      </c>
      <c r="E8" s="13"/>
      <c r="F8" s="13" t="s">
        <v>62</v>
      </c>
      <c r="G8" s="3" t="s">
        <v>63</v>
      </c>
    </row>
    <row r="9" spans="1:7" ht="12.75" customHeight="1">
      <c r="A9" s="13">
        <v>2005</v>
      </c>
      <c r="B9" s="13" t="s">
        <v>64</v>
      </c>
      <c r="C9">
        <v>1</v>
      </c>
      <c r="D9" s="13" t="s">
        <v>53</v>
      </c>
      <c r="E9" s="13"/>
      <c r="F9" s="13" t="s">
        <v>65</v>
      </c>
      <c r="G9" s="3" t="s">
        <v>66</v>
      </c>
    </row>
    <row r="10" spans="1:7" ht="12.75" customHeight="1">
      <c r="A10" s="13">
        <v>2003</v>
      </c>
      <c r="B10" s="17" t="s">
        <v>67</v>
      </c>
      <c r="C10" s="18">
        <v>3</v>
      </c>
      <c r="D10" s="13" t="s">
        <v>68</v>
      </c>
      <c r="E10" s="13"/>
      <c r="F10" s="13" t="s">
        <v>69</v>
      </c>
      <c r="G10" s="3" t="s">
        <v>70</v>
      </c>
    </row>
    <row r="11" spans="1:7" ht="12.75" customHeight="1">
      <c r="A11" s="13">
        <v>1999</v>
      </c>
      <c r="B11" s="14" t="s">
        <v>71</v>
      </c>
      <c r="C11" s="11">
        <v>4</v>
      </c>
      <c r="D11" s="13" t="s">
        <v>38</v>
      </c>
      <c r="E11" s="13"/>
      <c r="F11" s="13" t="s">
        <v>72</v>
      </c>
      <c r="G11" s="3" t="s">
        <v>73</v>
      </c>
    </row>
    <row r="12" spans="1:7" ht="12.75" customHeight="1">
      <c r="A12" s="13">
        <v>1999</v>
      </c>
      <c r="B12" s="17" t="s">
        <v>74</v>
      </c>
      <c r="C12" s="18">
        <v>3</v>
      </c>
      <c r="D12" s="13" t="s">
        <v>75</v>
      </c>
      <c r="E12" s="13"/>
      <c r="F12" s="13" t="s">
        <v>76</v>
      </c>
      <c r="G12" s="3" t="s">
        <v>77</v>
      </c>
    </row>
    <row r="13" spans="1:7" ht="12.75" customHeight="1">
      <c r="A13" s="13">
        <v>1999</v>
      </c>
      <c r="B13" s="17" t="s">
        <v>78</v>
      </c>
      <c r="C13" s="18">
        <v>3</v>
      </c>
      <c r="D13" s="13" t="s">
        <v>79</v>
      </c>
      <c r="E13" s="13"/>
      <c r="F13" s="13" t="s">
        <v>80</v>
      </c>
      <c r="G13" s="3" t="s">
        <v>81</v>
      </c>
    </row>
    <row r="14" spans="1:7" ht="12.75" customHeight="1">
      <c r="A14" s="13">
        <v>1999</v>
      </c>
      <c r="B14" s="15" t="s">
        <v>82</v>
      </c>
      <c r="C14" s="16">
        <v>2</v>
      </c>
      <c r="D14" s="13" t="s">
        <v>38</v>
      </c>
      <c r="E14" s="13"/>
      <c r="F14" s="13" t="s">
        <v>83</v>
      </c>
      <c r="G14" s="3" t="s">
        <v>84</v>
      </c>
    </row>
    <row r="15" spans="1:7" ht="12.75" customHeight="1">
      <c r="A15" s="13">
        <v>1993</v>
      </c>
      <c r="B15" s="14" t="s">
        <v>85</v>
      </c>
      <c r="C15" s="11">
        <v>4</v>
      </c>
      <c r="D15" s="13" t="s">
        <v>86</v>
      </c>
      <c r="E15" s="13"/>
      <c r="F15" s="13" t="s">
        <v>87</v>
      </c>
      <c r="G15" s="3" t="s">
        <v>88</v>
      </c>
    </row>
    <row r="16" spans="1:7" ht="12.75" customHeight="1">
      <c r="A16" s="13">
        <v>1993</v>
      </c>
      <c r="B16" s="15" t="s">
        <v>89</v>
      </c>
      <c r="C16" s="16">
        <v>2</v>
      </c>
      <c r="D16" s="13" t="s">
        <v>90</v>
      </c>
      <c r="E16" s="13"/>
      <c r="F16" s="13" t="s">
        <v>91</v>
      </c>
      <c r="G16" s="3" t="s">
        <v>92</v>
      </c>
    </row>
    <row r="17" spans="1:7" ht="12.75" customHeight="1">
      <c r="A17" s="13">
        <v>1989</v>
      </c>
      <c r="B17" s="17" t="s">
        <v>93</v>
      </c>
      <c r="C17" s="18">
        <v>3</v>
      </c>
      <c r="D17" s="13" t="s">
        <v>94</v>
      </c>
      <c r="E17" s="13"/>
      <c r="F17" s="13" t="s">
        <v>95</v>
      </c>
      <c r="G17" s="3" t="s">
        <v>96</v>
      </c>
    </row>
    <row r="18" spans="1:7" ht="12.75" customHeight="1">
      <c r="A18" s="13">
        <v>1989</v>
      </c>
      <c r="B18" s="13" t="s">
        <v>97</v>
      </c>
      <c r="C18">
        <v>1</v>
      </c>
      <c r="D18" s="13" t="s">
        <v>98</v>
      </c>
      <c r="E18" s="13"/>
      <c r="F18" s="13" t="s">
        <v>99</v>
      </c>
      <c r="G18" s="3" t="s">
        <v>100</v>
      </c>
    </row>
    <row r="19" spans="1:7" ht="12.75" customHeight="1">
      <c r="A19" s="13">
        <v>1986</v>
      </c>
      <c r="B19" s="19" t="s">
        <v>101</v>
      </c>
      <c r="C19" s="20">
        <v>7</v>
      </c>
      <c r="D19" s="13" t="s">
        <v>102</v>
      </c>
      <c r="E19" s="13"/>
      <c r="F19" s="13" t="s">
        <v>103</v>
      </c>
      <c r="G19" s="3" t="s">
        <v>104</v>
      </c>
    </row>
    <row r="20" spans="1:7" ht="12.75" customHeight="1">
      <c r="A20" s="13">
        <v>1986</v>
      </c>
      <c r="B20" s="13" t="s">
        <v>105</v>
      </c>
      <c r="C20">
        <v>1</v>
      </c>
      <c r="D20" s="13" t="s">
        <v>98</v>
      </c>
      <c r="E20" s="13"/>
      <c r="F20" s="13" t="s">
        <v>106</v>
      </c>
      <c r="G20" s="3" t="s">
        <v>107</v>
      </c>
    </row>
    <row r="21" spans="1:7" ht="12.75" customHeight="1">
      <c r="A21" s="13">
        <v>1981</v>
      </c>
      <c r="B21" s="15" t="s">
        <v>108</v>
      </c>
      <c r="C21" s="16">
        <v>2</v>
      </c>
      <c r="D21" s="13" t="s">
        <v>38</v>
      </c>
      <c r="E21" s="13"/>
      <c r="F21" s="13" t="s">
        <v>109</v>
      </c>
      <c r="G21" s="3" t="s">
        <v>110</v>
      </c>
    </row>
    <row r="22" spans="1:7" ht="12.75" customHeight="1">
      <c r="A22" s="13">
        <v>1980</v>
      </c>
      <c r="B22" s="14" t="s">
        <v>111</v>
      </c>
      <c r="C22" s="11">
        <v>4</v>
      </c>
      <c r="D22" s="13" t="s">
        <v>90</v>
      </c>
      <c r="E22" s="13"/>
      <c r="F22" s="13" t="s">
        <v>112</v>
      </c>
      <c r="G22" s="3" t="s">
        <v>113</v>
      </c>
    </row>
    <row r="23" spans="1:7" ht="12.75" customHeight="1">
      <c r="A23" s="13">
        <v>1979</v>
      </c>
      <c r="B23" s="21" t="s">
        <v>114</v>
      </c>
      <c r="C23" s="12">
        <v>5</v>
      </c>
      <c r="D23" s="13" t="s">
        <v>53</v>
      </c>
      <c r="E23" s="13"/>
      <c r="F23" s="13" t="s">
        <v>115</v>
      </c>
      <c r="G23" s="3" t="s">
        <v>116</v>
      </c>
    </row>
    <row r="24" spans="1:7" ht="12.75" customHeight="1">
      <c r="A24" s="13">
        <v>1977</v>
      </c>
      <c r="B24" s="14" t="s">
        <v>117</v>
      </c>
      <c r="C24" s="11">
        <v>4</v>
      </c>
      <c r="D24" s="13" t="s">
        <v>118</v>
      </c>
      <c r="E24" s="13"/>
      <c r="F24" s="13" t="s">
        <v>119</v>
      </c>
      <c r="G24" s="3" t="s">
        <v>120</v>
      </c>
    </row>
    <row r="25" spans="1:7" ht="12.75" customHeight="1">
      <c r="A25" s="13">
        <v>1969</v>
      </c>
      <c r="B25" s="22" t="s">
        <v>121</v>
      </c>
      <c r="C25">
        <v>1</v>
      </c>
      <c r="D25" s="13" t="s">
        <v>122</v>
      </c>
      <c r="E25" s="13"/>
      <c r="G25" s="13" t="s">
        <v>123</v>
      </c>
    </row>
    <row r="26" spans="1:7" ht="12.75" customHeight="1">
      <c r="A26" s="13">
        <v>1967</v>
      </c>
      <c r="B26" s="13" t="s">
        <v>124</v>
      </c>
      <c r="C26">
        <v>1</v>
      </c>
      <c r="D26" s="13" t="s">
        <v>57</v>
      </c>
      <c r="E26" s="13"/>
      <c r="F26" s="13" t="s">
        <v>125</v>
      </c>
      <c r="G26" s="3" t="s">
        <v>126</v>
      </c>
    </row>
    <row r="27" spans="1:7" ht="12.75" customHeight="1">
      <c r="A27" s="13">
        <v>1966</v>
      </c>
      <c r="B27" s="13" t="s">
        <v>127</v>
      </c>
      <c r="C27">
        <v>1</v>
      </c>
      <c r="D27" s="13" t="s">
        <v>53</v>
      </c>
      <c r="E27" s="13"/>
      <c r="F27" s="13" t="s">
        <v>128</v>
      </c>
      <c r="G27" s="3" t="s">
        <v>129</v>
      </c>
    </row>
    <row r="28" spans="1:7" ht="12.75" customHeight="1">
      <c r="A28" s="13">
        <v>1964</v>
      </c>
      <c r="B28" s="13" t="s">
        <v>130</v>
      </c>
      <c r="C28">
        <v>1</v>
      </c>
      <c r="D28" s="13" t="s">
        <v>53</v>
      </c>
      <c r="E28" s="13"/>
      <c r="F28" s="23" t="s">
        <v>131</v>
      </c>
      <c r="G28" s="3" t="s">
        <v>132</v>
      </c>
    </row>
    <row r="29" spans="1:7" ht="12.75" customHeight="1">
      <c r="A29" s="13">
        <v>1959</v>
      </c>
      <c r="B29" s="13" t="s">
        <v>133</v>
      </c>
      <c r="C29">
        <v>1</v>
      </c>
      <c r="D29" s="13" t="s">
        <v>53</v>
      </c>
      <c r="E29" s="13"/>
      <c r="F29" s="13" t="s">
        <v>134</v>
      </c>
      <c r="G29" s="3" t="s">
        <v>135</v>
      </c>
    </row>
    <row r="30" spans="1:7" ht="12.75" customHeight="1">
      <c r="A30" s="13">
        <v>1958</v>
      </c>
      <c r="B30" s="13" t="s">
        <v>136</v>
      </c>
      <c r="C30">
        <v>1</v>
      </c>
      <c r="D30" s="13" t="s">
        <v>137</v>
      </c>
      <c r="E30" s="13"/>
      <c r="F30" s="13" t="s">
        <v>138</v>
      </c>
      <c r="G30" s="3" t="s">
        <v>139</v>
      </c>
    </row>
    <row r="31" spans="1:7" ht="12.75" customHeight="1">
      <c r="A31" s="10">
        <v>1958</v>
      </c>
      <c r="B31" s="10" t="s">
        <v>140</v>
      </c>
      <c r="C31">
        <v>1</v>
      </c>
      <c r="D31" s="10" t="s">
        <v>141</v>
      </c>
      <c r="E31" s="10"/>
      <c r="F31" s="13" t="s">
        <v>142</v>
      </c>
      <c r="G31" s="1" t="s">
        <v>143</v>
      </c>
    </row>
    <row r="32" spans="1:7" ht="12.75" customHeight="1">
      <c r="A32" s="10">
        <v>1957</v>
      </c>
      <c r="B32" s="24" t="s">
        <v>144</v>
      </c>
      <c r="C32" s="25">
        <v>6</v>
      </c>
      <c r="D32" s="10" t="s">
        <v>86</v>
      </c>
      <c r="E32" s="10">
        <v>50</v>
      </c>
      <c r="F32" s="13" t="s">
        <v>145</v>
      </c>
      <c r="G32" s="3" t="s">
        <v>146</v>
      </c>
    </row>
    <row r="33" spans="1:7" ht="12.75" customHeight="1">
      <c r="A33" s="13">
        <v>1957</v>
      </c>
      <c r="B33" s="21" t="s">
        <v>147</v>
      </c>
      <c r="C33" s="12">
        <v>5</v>
      </c>
      <c r="D33" s="13" t="s">
        <v>57</v>
      </c>
      <c r="E33" s="13">
        <v>33</v>
      </c>
      <c r="F33" s="13" t="s">
        <v>148</v>
      </c>
      <c r="G33" s="3" t="s">
        <v>149</v>
      </c>
    </row>
    <row r="34" spans="1:7" ht="12.75" customHeight="1">
      <c r="A34" s="13">
        <v>1952</v>
      </c>
      <c r="B34" s="21" t="s">
        <v>136</v>
      </c>
      <c r="C34" s="12">
        <v>5</v>
      </c>
      <c r="D34" s="13" t="s">
        <v>137</v>
      </c>
      <c r="E34" s="13"/>
      <c r="F34" s="13" t="s">
        <v>138</v>
      </c>
      <c r="G34" s="3" t="s">
        <v>150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workbookViewId="0">
      <selection activeCell="B6" sqref="B6:B71"/>
    </sheetView>
  </sheetViews>
  <sheetFormatPr baseColWidth="10" defaultRowHeight="12" x14ac:dyDescent="0"/>
  <cols>
    <col min="1" max="2" width="11" bestFit="1" customWidth="1"/>
    <col min="3" max="3" width="11.1640625" bestFit="1" customWidth="1"/>
    <col min="4" max="5" width="11.83203125" bestFit="1" customWidth="1"/>
    <col min="7" max="7" width="12.6640625" customWidth="1"/>
    <col min="8" max="8" width="15.6640625" bestFit="1" customWidth="1"/>
    <col min="9" max="10" width="11.1640625" bestFit="1" customWidth="1"/>
    <col min="11" max="12" width="15" bestFit="1" customWidth="1"/>
  </cols>
  <sheetData>
    <row r="1" spans="1:12">
      <c r="A1" t="s">
        <v>159</v>
      </c>
      <c r="B1">
        <v>0.33333333550738925</v>
      </c>
      <c r="C1" t="s">
        <v>164</v>
      </c>
      <c r="D1" t="s">
        <v>165</v>
      </c>
      <c r="G1" s="36" t="s">
        <v>175</v>
      </c>
      <c r="H1" s="27"/>
      <c r="I1" s="27"/>
      <c r="J1" s="27"/>
      <c r="K1" s="27"/>
      <c r="L1" s="28"/>
    </row>
    <row r="2" spans="1:12">
      <c r="G2" s="29" t="s">
        <v>178</v>
      </c>
      <c r="H2" s="30">
        <v>0.4999999992616761</v>
      </c>
      <c r="I2" s="30"/>
      <c r="J2" s="30"/>
      <c r="K2" s="30"/>
      <c r="L2" s="31"/>
    </row>
    <row r="3" spans="1:12">
      <c r="D3" t="s">
        <v>157</v>
      </c>
      <c r="E3">
        <f>SUM(D6:D71)</f>
        <v>-52.813260083846096</v>
      </c>
      <c r="G3" s="29" t="s">
        <v>157</v>
      </c>
      <c r="H3" s="30">
        <f>E3</f>
        <v>-52.813260083846096</v>
      </c>
      <c r="I3" s="32"/>
      <c r="J3" s="30"/>
      <c r="K3" s="30"/>
      <c r="L3" s="31"/>
    </row>
    <row r="4" spans="1:12">
      <c r="G4" s="29"/>
      <c r="H4" s="26" t="s">
        <v>176</v>
      </c>
      <c r="I4" s="27" t="s">
        <v>152</v>
      </c>
      <c r="J4" s="27" t="s">
        <v>168</v>
      </c>
      <c r="K4" s="27" t="s">
        <v>169</v>
      </c>
      <c r="L4" s="28" t="s">
        <v>170</v>
      </c>
    </row>
    <row r="5" spans="1:12">
      <c r="A5" t="s">
        <v>151</v>
      </c>
      <c r="B5" t="s">
        <v>152</v>
      </c>
      <c r="C5" t="s">
        <v>155</v>
      </c>
      <c r="D5" t="s">
        <v>156</v>
      </c>
      <c r="G5" s="29"/>
      <c r="H5" s="29"/>
      <c r="I5" s="30">
        <v>0</v>
      </c>
      <c r="J5" s="30">
        <v>46</v>
      </c>
      <c r="K5" s="30">
        <f>E6</f>
        <v>47.291066395056667</v>
      </c>
      <c r="L5" s="31">
        <f>((J5-K5)^2)/K5</f>
        <v>3.5246666305221108E-2</v>
      </c>
    </row>
    <row r="6" spans="1:12">
      <c r="A6">
        <v>1950</v>
      </c>
      <c r="B6">
        <v>0</v>
      </c>
      <c r="C6">
        <f>(EXP(-$B$1))*($B$1^B6)/FACT(B6)</f>
        <v>0.71653130901601014</v>
      </c>
      <c r="D6">
        <f>LN(C6)</f>
        <v>-0.33333333550738919</v>
      </c>
      <c r="E6">
        <f>C6*66</f>
        <v>47.291066395056667</v>
      </c>
      <c r="G6" s="29"/>
      <c r="H6" s="29"/>
      <c r="I6" s="30">
        <v>1</v>
      </c>
      <c r="J6" s="30">
        <v>11</v>
      </c>
      <c r="K6" s="30">
        <f>E8</f>
        <v>15.763688901165645</v>
      </c>
      <c r="L6" s="31">
        <f>((J6-K6)^2)/K6</f>
        <v>1.4395572057636039</v>
      </c>
    </row>
    <row r="7" spans="1:12">
      <c r="A7">
        <v>1951</v>
      </c>
      <c r="B7">
        <v>0</v>
      </c>
      <c r="C7">
        <f t="shared" ref="C7:C70" si="0">(EXP(-$B$1))*($B$1^B7)/FACT(B7)</f>
        <v>0.71653130901601014</v>
      </c>
      <c r="D7">
        <f t="shared" ref="D7:D70" si="1">LN(C7)</f>
        <v>-0.33333333550738919</v>
      </c>
      <c r="E7">
        <f t="shared" ref="E7:E70" si="2">C7*66</f>
        <v>47.291066395056667</v>
      </c>
      <c r="G7" s="29"/>
      <c r="H7" s="29"/>
      <c r="I7" s="30">
        <v>2</v>
      </c>
      <c r="J7" s="30">
        <v>6</v>
      </c>
      <c r="K7" s="30">
        <f>E13</f>
        <v>2.6272815006631784</v>
      </c>
      <c r="L7" s="31">
        <f>((J7-K7)^2)/K7</f>
        <v>4.3296578889233928</v>
      </c>
    </row>
    <row r="8" spans="1:12">
      <c r="A8">
        <v>1952</v>
      </c>
      <c r="B8">
        <v>1</v>
      </c>
      <c r="C8">
        <f t="shared" si="0"/>
        <v>0.23884377122978251</v>
      </c>
      <c r="D8">
        <f t="shared" si="1"/>
        <v>-1.4319456176533312</v>
      </c>
      <c r="E8">
        <f>C8*66</f>
        <v>15.763688901165645</v>
      </c>
      <c r="G8" s="29"/>
      <c r="H8" s="29"/>
      <c r="I8" s="30">
        <v>3</v>
      </c>
      <c r="J8" s="30">
        <v>2</v>
      </c>
      <c r="K8" s="30">
        <f>E61</f>
        <v>2.6272815006631784</v>
      </c>
      <c r="L8" s="31">
        <f>((J8-K8)^2)/K8</f>
        <v>0.14976776602542452</v>
      </c>
    </row>
    <row r="9" spans="1:12">
      <c r="A9">
        <v>1953</v>
      </c>
      <c r="B9">
        <v>0</v>
      </c>
      <c r="C9">
        <f t="shared" si="0"/>
        <v>0.71653130901601014</v>
      </c>
      <c r="D9">
        <f t="shared" si="1"/>
        <v>-0.33333333550738919</v>
      </c>
      <c r="E9">
        <f t="shared" si="2"/>
        <v>47.291066395056667</v>
      </c>
      <c r="G9" s="29"/>
      <c r="H9" s="29"/>
      <c r="I9" s="30">
        <v>4</v>
      </c>
      <c r="J9" s="30">
        <v>1</v>
      </c>
      <c r="K9" s="30">
        <f>E55</f>
        <v>2.432668087902148E-2</v>
      </c>
      <c r="L9" s="31">
        <f>((J9-K9)^2)/K9</f>
        <v>39.131455309444483</v>
      </c>
    </row>
    <row r="10" spans="1:12">
      <c r="A10">
        <v>1954</v>
      </c>
      <c r="B10">
        <v>0</v>
      </c>
      <c r="C10">
        <f t="shared" si="0"/>
        <v>0.71653130901601014</v>
      </c>
      <c r="D10">
        <f t="shared" si="1"/>
        <v>-0.33333333550738919</v>
      </c>
      <c r="E10">
        <f t="shared" si="2"/>
        <v>47.291066395056667</v>
      </c>
      <c r="G10" s="29"/>
      <c r="H10" s="29"/>
      <c r="I10" s="30"/>
      <c r="J10" s="30"/>
      <c r="K10" s="30" t="s">
        <v>171</v>
      </c>
      <c r="L10" s="31">
        <f>SUM(L5:L9)</f>
        <v>45.085684836462121</v>
      </c>
    </row>
    <row r="11" spans="1:12">
      <c r="A11">
        <v>1955</v>
      </c>
      <c r="B11">
        <v>0</v>
      </c>
      <c r="C11">
        <f t="shared" si="0"/>
        <v>0.71653130901601014</v>
      </c>
      <c r="D11">
        <f t="shared" si="1"/>
        <v>-0.33333333550738919</v>
      </c>
      <c r="E11">
        <f t="shared" si="2"/>
        <v>47.291066395056667</v>
      </c>
      <c r="G11" s="29"/>
      <c r="H11" s="29"/>
      <c r="I11" s="30"/>
      <c r="J11" s="30"/>
      <c r="K11" s="30" t="s">
        <v>172</v>
      </c>
      <c r="L11" s="31">
        <v>3</v>
      </c>
    </row>
    <row r="12" spans="1:12">
      <c r="A12">
        <v>1956</v>
      </c>
      <c r="B12">
        <v>0</v>
      </c>
      <c r="C12">
        <f t="shared" si="0"/>
        <v>0.71653130901601014</v>
      </c>
      <c r="D12">
        <f t="shared" si="1"/>
        <v>-0.33333333550738919</v>
      </c>
      <c r="E12">
        <f t="shared" si="2"/>
        <v>47.291066395056667</v>
      </c>
      <c r="G12" s="33"/>
      <c r="H12" s="33"/>
      <c r="I12" s="34"/>
      <c r="J12" s="34"/>
      <c r="K12" s="34" t="s">
        <v>173</v>
      </c>
      <c r="L12" s="35">
        <f>_xlfn.CHISQ.DIST.RT(L10,L11)</f>
        <v>8.8727492610602061E-10</v>
      </c>
    </row>
    <row r="13" spans="1:12">
      <c r="A13">
        <v>1957</v>
      </c>
      <c r="B13">
        <v>2</v>
      </c>
      <c r="C13">
        <f t="shared" si="0"/>
        <v>3.9807295464593613E-2</v>
      </c>
      <c r="D13">
        <f t="shared" si="1"/>
        <v>-3.2237050803592182</v>
      </c>
      <c r="E13">
        <f t="shared" si="2"/>
        <v>2.6272815006631784</v>
      </c>
    </row>
    <row r="14" spans="1:12">
      <c r="A14">
        <v>1958</v>
      </c>
      <c r="B14">
        <v>0</v>
      </c>
      <c r="C14">
        <f t="shared" si="0"/>
        <v>0.71653130901601014</v>
      </c>
      <c r="D14">
        <f t="shared" si="1"/>
        <v>-0.33333333550738919</v>
      </c>
      <c r="E14">
        <f t="shared" si="2"/>
        <v>47.291066395056667</v>
      </c>
    </row>
    <row r="15" spans="1:12">
      <c r="A15">
        <v>1959</v>
      </c>
      <c r="B15">
        <v>0</v>
      </c>
      <c r="C15">
        <f t="shared" si="0"/>
        <v>0.71653130901601014</v>
      </c>
      <c r="D15">
        <f t="shared" si="1"/>
        <v>-0.33333333550738919</v>
      </c>
      <c r="E15">
        <f t="shared" si="2"/>
        <v>47.291066395056667</v>
      </c>
    </row>
    <row r="16" spans="1:12">
      <c r="A16">
        <v>1960</v>
      </c>
      <c r="B16">
        <v>0</v>
      </c>
      <c r="C16">
        <f t="shared" si="0"/>
        <v>0.71653130901601014</v>
      </c>
      <c r="D16">
        <f t="shared" si="1"/>
        <v>-0.33333333550738919</v>
      </c>
      <c r="E16">
        <f t="shared" si="2"/>
        <v>47.291066395056667</v>
      </c>
    </row>
    <row r="17" spans="1:5">
      <c r="A17">
        <v>1961</v>
      </c>
      <c r="B17">
        <v>0</v>
      </c>
      <c r="C17">
        <f t="shared" si="0"/>
        <v>0.71653130901601014</v>
      </c>
      <c r="D17">
        <f t="shared" si="1"/>
        <v>-0.33333333550738919</v>
      </c>
      <c r="E17">
        <f t="shared" si="2"/>
        <v>47.291066395056667</v>
      </c>
    </row>
    <row r="18" spans="1:5">
      <c r="A18">
        <v>1962</v>
      </c>
      <c r="B18">
        <v>0</v>
      </c>
      <c r="C18">
        <f t="shared" si="0"/>
        <v>0.71653130901601014</v>
      </c>
      <c r="D18">
        <f t="shared" si="1"/>
        <v>-0.33333333550738919</v>
      </c>
      <c r="E18">
        <f t="shared" si="2"/>
        <v>47.291066395056667</v>
      </c>
    </row>
    <row r="19" spans="1:5">
      <c r="A19">
        <v>1963</v>
      </c>
      <c r="B19">
        <v>0</v>
      </c>
      <c r="C19">
        <f t="shared" si="0"/>
        <v>0.71653130901601014</v>
      </c>
      <c r="D19">
        <f t="shared" si="1"/>
        <v>-0.33333333550738919</v>
      </c>
      <c r="E19">
        <f t="shared" si="2"/>
        <v>47.291066395056667</v>
      </c>
    </row>
    <row r="20" spans="1:5">
      <c r="A20">
        <v>1964</v>
      </c>
      <c r="B20">
        <v>0</v>
      </c>
      <c r="C20">
        <f t="shared" si="0"/>
        <v>0.71653130901601014</v>
      </c>
      <c r="D20">
        <f t="shared" si="1"/>
        <v>-0.33333333550738919</v>
      </c>
      <c r="E20">
        <f t="shared" si="2"/>
        <v>47.291066395056667</v>
      </c>
    </row>
    <row r="21" spans="1:5">
      <c r="A21">
        <v>1965</v>
      </c>
      <c r="B21">
        <v>0</v>
      </c>
      <c r="C21">
        <f t="shared" si="0"/>
        <v>0.71653130901601014</v>
      </c>
      <c r="D21">
        <f t="shared" si="1"/>
        <v>-0.33333333550738919</v>
      </c>
      <c r="E21">
        <f t="shared" si="2"/>
        <v>47.291066395056667</v>
      </c>
    </row>
    <row r="22" spans="1:5">
      <c r="A22">
        <v>1966</v>
      </c>
      <c r="B22">
        <v>0</v>
      </c>
      <c r="C22">
        <f t="shared" si="0"/>
        <v>0.71653130901601014</v>
      </c>
      <c r="D22">
        <f t="shared" si="1"/>
        <v>-0.33333333550738919</v>
      </c>
      <c r="E22">
        <f t="shared" si="2"/>
        <v>47.291066395056667</v>
      </c>
    </row>
    <row r="23" spans="1:5">
      <c r="A23">
        <v>1967</v>
      </c>
      <c r="B23">
        <v>0</v>
      </c>
      <c r="C23">
        <f t="shared" si="0"/>
        <v>0.71653130901601014</v>
      </c>
      <c r="D23">
        <f t="shared" si="1"/>
        <v>-0.33333333550738919</v>
      </c>
      <c r="E23">
        <f t="shared" si="2"/>
        <v>47.291066395056667</v>
      </c>
    </row>
    <row r="24" spans="1:5">
      <c r="A24">
        <v>1968</v>
      </c>
      <c r="B24">
        <v>0</v>
      </c>
      <c r="C24">
        <f t="shared" si="0"/>
        <v>0.71653130901601014</v>
      </c>
      <c r="D24">
        <f t="shared" si="1"/>
        <v>-0.33333333550738919</v>
      </c>
      <c r="E24">
        <f t="shared" si="2"/>
        <v>47.291066395056667</v>
      </c>
    </row>
    <row r="25" spans="1:5">
      <c r="A25">
        <v>1969</v>
      </c>
      <c r="B25">
        <v>0</v>
      </c>
      <c r="C25">
        <f t="shared" si="0"/>
        <v>0.71653130901601014</v>
      </c>
      <c r="D25">
        <f t="shared" si="1"/>
        <v>-0.33333333550738919</v>
      </c>
      <c r="E25">
        <f t="shared" si="2"/>
        <v>47.291066395056667</v>
      </c>
    </row>
    <row r="26" spans="1:5">
      <c r="A26">
        <v>1970</v>
      </c>
      <c r="B26">
        <v>0</v>
      </c>
      <c r="C26">
        <f t="shared" si="0"/>
        <v>0.71653130901601014</v>
      </c>
      <c r="D26">
        <f t="shared" si="1"/>
        <v>-0.33333333550738919</v>
      </c>
      <c r="E26">
        <f t="shared" si="2"/>
        <v>47.291066395056667</v>
      </c>
    </row>
    <row r="27" spans="1:5">
      <c r="A27">
        <v>1971</v>
      </c>
      <c r="B27">
        <v>0</v>
      </c>
      <c r="C27">
        <f t="shared" si="0"/>
        <v>0.71653130901601014</v>
      </c>
      <c r="D27">
        <f t="shared" si="1"/>
        <v>-0.33333333550738919</v>
      </c>
      <c r="E27">
        <f t="shared" si="2"/>
        <v>47.291066395056667</v>
      </c>
    </row>
    <row r="28" spans="1:5">
      <c r="A28">
        <v>1972</v>
      </c>
      <c r="B28">
        <v>0</v>
      </c>
      <c r="C28">
        <f t="shared" si="0"/>
        <v>0.71653130901601014</v>
      </c>
      <c r="D28">
        <f t="shared" si="1"/>
        <v>-0.33333333550738919</v>
      </c>
      <c r="E28">
        <f t="shared" si="2"/>
        <v>47.291066395056667</v>
      </c>
    </row>
    <row r="29" spans="1:5">
      <c r="A29">
        <v>1973</v>
      </c>
      <c r="B29">
        <v>0</v>
      </c>
      <c r="C29">
        <f t="shared" si="0"/>
        <v>0.71653130901601014</v>
      </c>
      <c r="D29">
        <f t="shared" si="1"/>
        <v>-0.33333333550738919</v>
      </c>
      <c r="E29">
        <f t="shared" si="2"/>
        <v>47.291066395056667</v>
      </c>
    </row>
    <row r="30" spans="1:5">
      <c r="A30">
        <v>1974</v>
      </c>
      <c r="B30">
        <v>0</v>
      </c>
      <c r="C30">
        <f t="shared" si="0"/>
        <v>0.71653130901601014</v>
      </c>
      <c r="D30">
        <f t="shared" si="1"/>
        <v>-0.33333333550738919</v>
      </c>
      <c r="E30">
        <f t="shared" si="2"/>
        <v>47.291066395056667</v>
      </c>
    </row>
    <row r="31" spans="1:5">
      <c r="A31">
        <v>1975</v>
      </c>
      <c r="B31">
        <v>0</v>
      </c>
      <c r="C31">
        <f t="shared" si="0"/>
        <v>0.71653130901601014</v>
      </c>
      <c r="D31">
        <f t="shared" si="1"/>
        <v>-0.33333333550738919</v>
      </c>
      <c r="E31">
        <f t="shared" si="2"/>
        <v>47.291066395056667</v>
      </c>
    </row>
    <row r="32" spans="1:5">
      <c r="A32">
        <v>1976</v>
      </c>
      <c r="B32">
        <v>0</v>
      </c>
      <c r="C32">
        <f t="shared" si="0"/>
        <v>0.71653130901601014</v>
      </c>
      <c r="D32">
        <f t="shared" si="1"/>
        <v>-0.33333333550738919</v>
      </c>
      <c r="E32">
        <f t="shared" si="2"/>
        <v>47.291066395056667</v>
      </c>
    </row>
    <row r="33" spans="1:5">
      <c r="A33">
        <v>1977</v>
      </c>
      <c r="B33">
        <v>1</v>
      </c>
      <c r="C33">
        <f t="shared" si="0"/>
        <v>0.23884377122978251</v>
      </c>
      <c r="D33">
        <f t="shared" si="1"/>
        <v>-1.4319456176533312</v>
      </c>
      <c r="E33">
        <f t="shared" si="2"/>
        <v>15.763688901165645</v>
      </c>
    </row>
    <row r="34" spans="1:5">
      <c r="A34">
        <v>1978</v>
      </c>
      <c r="B34">
        <v>0</v>
      </c>
      <c r="C34">
        <f t="shared" si="0"/>
        <v>0.71653130901601014</v>
      </c>
      <c r="D34">
        <f t="shared" si="1"/>
        <v>-0.33333333550738919</v>
      </c>
      <c r="E34">
        <f t="shared" si="2"/>
        <v>47.291066395056667</v>
      </c>
    </row>
    <row r="35" spans="1:5">
      <c r="A35">
        <v>1979</v>
      </c>
      <c r="B35">
        <v>1</v>
      </c>
      <c r="C35">
        <f t="shared" si="0"/>
        <v>0.23884377122978251</v>
      </c>
      <c r="D35">
        <f t="shared" si="1"/>
        <v>-1.4319456176533312</v>
      </c>
      <c r="E35">
        <f t="shared" si="2"/>
        <v>15.763688901165645</v>
      </c>
    </row>
    <row r="36" spans="1:5">
      <c r="A36">
        <v>1980</v>
      </c>
      <c r="B36">
        <v>1</v>
      </c>
      <c r="C36">
        <f t="shared" si="0"/>
        <v>0.23884377122978251</v>
      </c>
      <c r="D36">
        <f t="shared" si="1"/>
        <v>-1.4319456176533312</v>
      </c>
      <c r="E36">
        <f t="shared" si="2"/>
        <v>15.763688901165645</v>
      </c>
    </row>
    <row r="37" spans="1:5">
      <c r="A37">
        <v>1981</v>
      </c>
      <c r="B37">
        <v>1</v>
      </c>
      <c r="C37">
        <f t="shared" si="0"/>
        <v>0.23884377122978251</v>
      </c>
      <c r="D37">
        <f t="shared" si="1"/>
        <v>-1.4319456176533312</v>
      </c>
      <c r="E37">
        <f t="shared" si="2"/>
        <v>15.763688901165645</v>
      </c>
    </row>
    <row r="38" spans="1:5">
      <c r="A38">
        <v>1982</v>
      </c>
      <c r="B38">
        <v>0</v>
      </c>
      <c r="C38">
        <f t="shared" si="0"/>
        <v>0.71653130901601014</v>
      </c>
      <c r="D38">
        <f t="shared" si="1"/>
        <v>-0.33333333550738919</v>
      </c>
      <c r="E38">
        <f t="shared" si="2"/>
        <v>47.291066395056667</v>
      </c>
    </row>
    <row r="39" spans="1:5">
      <c r="A39">
        <v>1983</v>
      </c>
      <c r="B39">
        <v>0</v>
      </c>
      <c r="C39">
        <f t="shared" si="0"/>
        <v>0.71653130901601014</v>
      </c>
      <c r="D39">
        <f t="shared" si="1"/>
        <v>-0.33333333550738919</v>
      </c>
      <c r="E39">
        <f t="shared" si="2"/>
        <v>47.291066395056667</v>
      </c>
    </row>
    <row r="40" spans="1:5">
      <c r="A40">
        <v>1984</v>
      </c>
      <c r="B40">
        <v>0</v>
      </c>
      <c r="C40">
        <f t="shared" si="0"/>
        <v>0.71653130901601014</v>
      </c>
      <c r="D40">
        <f t="shared" si="1"/>
        <v>-0.33333333550738919</v>
      </c>
      <c r="E40">
        <f t="shared" si="2"/>
        <v>47.291066395056667</v>
      </c>
    </row>
    <row r="41" spans="1:5">
      <c r="A41">
        <v>1985</v>
      </c>
      <c r="B41">
        <v>0</v>
      </c>
      <c r="C41">
        <f t="shared" si="0"/>
        <v>0.71653130901601014</v>
      </c>
      <c r="D41">
        <f t="shared" si="1"/>
        <v>-0.33333333550738919</v>
      </c>
      <c r="E41">
        <f t="shared" si="2"/>
        <v>47.291066395056667</v>
      </c>
    </row>
    <row r="42" spans="1:5">
      <c r="A42">
        <v>1986</v>
      </c>
      <c r="B42">
        <v>1</v>
      </c>
      <c r="C42">
        <f t="shared" si="0"/>
        <v>0.23884377122978251</v>
      </c>
      <c r="D42">
        <f t="shared" si="1"/>
        <v>-1.4319456176533312</v>
      </c>
      <c r="E42">
        <f t="shared" si="2"/>
        <v>15.763688901165645</v>
      </c>
    </row>
    <row r="43" spans="1:5">
      <c r="A43">
        <v>1987</v>
      </c>
      <c r="B43">
        <v>0</v>
      </c>
      <c r="C43">
        <f t="shared" si="0"/>
        <v>0.71653130901601014</v>
      </c>
      <c r="D43">
        <f t="shared" si="1"/>
        <v>-0.33333333550738919</v>
      </c>
      <c r="E43">
        <f t="shared" si="2"/>
        <v>47.291066395056667</v>
      </c>
    </row>
    <row r="44" spans="1:5">
      <c r="A44">
        <v>1988</v>
      </c>
      <c r="B44">
        <v>0</v>
      </c>
      <c r="C44">
        <f t="shared" si="0"/>
        <v>0.71653130901601014</v>
      </c>
      <c r="D44">
        <f t="shared" si="1"/>
        <v>-0.33333333550738919</v>
      </c>
      <c r="E44">
        <f t="shared" si="2"/>
        <v>47.291066395056667</v>
      </c>
    </row>
    <row r="45" spans="1:5">
      <c r="A45">
        <v>1989</v>
      </c>
      <c r="B45">
        <v>1</v>
      </c>
      <c r="C45">
        <f t="shared" si="0"/>
        <v>0.23884377122978251</v>
      </c>
      <c r="D45">
        <f t="shared" si="1"/>
        <v>-1.4319456176533312</v>
      </c>
      <c r="E45">
        <f t="shared" si="2"/>
        <v>15.763688901165645</v>
      </c>
    </row>
    <row r="46" spans="1:5">
      <c r="A46">
        <v>1990</v>
      </c>
      <c r="B46">
        <v>0</v>
      </c>
      <c r="C46">
        <f t="shared" si="0"/>
        <v>0.71653130901601014</v>
      </c>
      <c r="D46">
        <f t="shared" si="1"/>
        <v>-0.33333333550738919</v>
      </c>
      <c r="E46">
        <f t="shared" si="2"/>
        <v>47.291066395056667</v>
      </c>
    </row>
    <row r="47" spans="1:5">
      <c r="A47">
        <v>1991</v>
      </c>
      <c r="B47">
        <v>0</v>
      </c>
      <c r="C47">
        <f t="shared" si="0"/>
        <v>0.71653130901601014</v>
      </c>
      <c r="D47">
        <f t="shared" si="1"/>
        <v>-0.33333333550738919</v>
      </c>
      <c r="E47">
        <f t="shared" si="2"/>
        <v>47.291066395056667</v>
      </c>
    </row>
    <row r="48" spans="1:5">
      <c r="A48">
        <v>1992</v>
      </c>
      <c r="B48">
        <v>0</v>
      </c>
      <c r="C48">
        <f t="shared" si="0"/>
        <v>0.71653130901601014</v>
      </c>
      <c r="D48">
        <f t="shared" si="1"/>
        <v>-0.33333333550738919</v>
      </c>
      <c r="E48">
        <f t="shared" si="2"/>
        <v>47.291066395056667</v>
      </c>
    </row>
    <row r="49" spans="1:5">
      <c r="A49">
        <v>1993</v>
      </c>
      <c r="B49">
        <v>2</v>
      </c>
      <c r="C49">
        <f t="shared" si="0"/>
        <v>3.9807295464593613E-2</v>
      </c>
      <c r="D49">
        <f t="shared" si="1"/>
        <v>-3.2237050803592182</v>
      </c>
      <c r="E49">
        <f t="shared" si="2"/>
        <v>2.6272815006631784</v>
      </c>
    </row>
    <row r="50" spans="1:5">
      <c r="A50">
        <v>1994</v>
      </c>
      <c r="B50">
        <v>0</v>
      </c>
      <c r="C50">
        <f t="shared" si="0"/>
        <v>0.71653130901601014</v>
      </c>
      <c r="D50">
        <f t="shared" si="1"/>
        <v>-0.33333333550738919</v>
      </c>
      <c r="E50">
        <f t="shared" si="2"/>
        <v>47.291066395056667</v>
      </c>
    </row>
    <row r="51" spans="1:5">
      <c r="A51">
        <v>1995</v>
      </c>
      <c r="B51">
        <v>0</v>
      </c>
      <c r="C51">
        <f t="shared" si="0"/>
        <v>0.71653130901601014</v>
      </c>
      <c r="D51">
        <f t="shared" si="1"/>
        <v>-0.33333333550738919</v>
      </c>
      <c r="E51">
        <f t="shared" si="2"/>
        <v>47.291066395056667</v>
      </c>
    </row>
    <row r="52" spans="1:5">
      <c r="A52">
        <v>1996</v>
      </c>
      <c r="B52">
        <v>0</v>
      </c>
      <c r="C52">
        <f t="shared" si="0"/>
        <v>0.71653130901601014</v>
      </c>
      <c r="D52">
        <f t="shared" si="1"/>
        <v>-0.33333333550738919</v>
      </c>
      <c r="E52">
        <f t="shared" si="2"/>
        <v>47.291066395056667</v>
      </c>
    </row>
    <row r="53" spans="1:5">
      <c r="A53">
        <v>1997</v>
      </c>
      <c r="B53">
        <v>0</v>
      </c>
      <c r="C53">
        <f t="shared" si="0"/>
        <v>0.71653130901601014</v>
      </c>
      <c r="D53">
        <f t="shared" si="1"/>
        <v>-0.33333333550738919</v>
      </c>
      <c r="E53">
        <f t="shared" si="2"/>
        <v>47.291066395056667</v>
      </c>
    </row>
    <row r="54" spans="1:5">
      <c r="A54">
        <v>1998</v>
      </c>
      <c r="B54">
        <v>0</v>
      </c>
      <c r="C54">
        <f t="shared" si="0"/>
        <v>0.71653130901601014</v>
      </c>
      <c r="D54">
        <f t="shared" si="1"/>
        <v>-0.33333333550738919</v>
      </c>
      <c r="E54">
        <f t="shared" si="2"/>
        <v>47.291066395056667</v>
      </c>
    </row>
    <row r="55" spans="1:5">
      <c r="A55">
        <v>1999</v>
      </c>
      <c r="B55">
        <v>4</v>
      </c>
      <c r="C55">
        <f t="shared" si="0"/>
        <v>3.6858607392456787E-4</v>
      </c>
      <c r="D55">
        <f t="shared" si="1"/>
        <v>-7.9058362944391023</v>
      </c>
      <c r="E55">
        <f t="shared" si="2"/>
        <v>2.432668087902148E-2</v>
      </c>
    </row>
    <row r="56" spans="1:5">
      <c r="A56">
        <v>2000</v>
      </c>
      <c r="B56">
        <v>0</v>
      </c>
      <c r="C56">
        <f t="shared" si="0"/>
        <v>0.71653130901601014</v>
      </c>
      <c r="D56">
        <f t="shared" si="1"/>
        <v>-0.33333333550738919</v>
      </c>
      <c r="E56">
        <f t="shared" si="2"/>
        <v>47.291066395056667</v>
      </c>
    </row>
    <row r="57" spans="1:5">
      <c r="A57">
        <v>2001</v>
      </c>
      <c r="B57">
        <v>0</v>
      </c>
      <c r="C57">
        <f t="shared" si="0"/>
        <v>0.71653130901601014</v>
      </c>
      <c r="D57">
        <f t="shared" si="1"/>
        <v>-0.33333333550738919</v>
      </c>
      <c r="E57">
        <f t="shared" si="2"/>
        <v>47.291066395056667</v>
      </c>
    </row>
    <row r="58" spans="1:5">
      <c r="A58">
        <v>2002</v>
      </c>
      <c r="B58">
        <v>0</v>
      </c>
      <c r="C58">
        <f t="shared" si="0"/>
        <v>0.71653130901601014</v>
      </c>
      <c r="D58">
        <f t="shared" si="1"/>
        <v>-0.33333333550738919</v>
      </c>
      <c r="E58">
        <f t="shared" si="2"/>
        <v>47.291066395056667</v>
      </c>
    </row>
    <row r="59" spans="1:5">
      <c r="A59">
        <v>2003</v>
      </c>
      <c r="B59">
        <v>1</v>
      </c>
      <c r="C59">
        <f t="shared" si="0"/>
        <v>0.23884377122978251</v>
      </c>
      <c r="D59">
        <f t="shared" si="1"/>
        <v>-1.4319456176533312</v>
      </c>
      <c r="E59">
        <f t="shared" si="2"/>
        <v>15.763688901165645</v>
      </c>
    </row>
    <row r="60" spans="1:5">
      <c r="A60">
        <v>2004</v>
      </c>
      <c r="B60">
        <v>0</v>
      </c>
      <c r="C60">
        <f t="shared" si="0"/>
        <v>0.71653130901601014</v>
      </c>
      <c r="D60">
        <f t="shared" si="1"/>
        <v>-0.33333333550738919</v>
      </c>
      <c r="E60">
        <f t="shared" si="2"/>
        <v>47.291066395056667</v>
      </c>
    </row>
    <row r="61" spans="1:5">
      <c r="A61">
        <v>2005</v>
      </c>
      <c r="B61">
        <v>2</v>
      </c>
      <c r="C61">
        <f t="shared" si="0"/>
        <v>3.9807295464593613E-2</v>
      </c>
      <c r="D61">
        <f t="shared" si="1"/>
        <v>-3.2237050803592182</v>
      </c>
      <c r="E61">
        <f t="shared" si="2"/>
        <v>2.6272815006631784</v>
      </c>
    </row>
    <row r="62" spans="1:5">
      <c r="A62">
        <v>2006</v>
      </c>
      <c r="B62">
        <v>2</v>
      </c>
      <c r="C62">
        <f t="shared" si="0"/>
        <v>3.9807295464593613E-2</v>
      </c>
      <c r="D62">
        <f t="shared" si="1"/>
        <v>-3.2237050803592182</v>
      </c>
      <c r="E62">
        <f t="shared" si="2"/>
        <v>2.6272815006631784</v>
      </c>
    </row>
    <row r="63" spans="1:5">
      <c r="A63">
        <v>2007</v>
      </c>
      <c r="B63">
        <v>0</v>
      </c>
      <c r="C63">
        <f t="shared" si="0"/>
        <v>0.71653130901601014</v>
      </c>
      <c r="D63">
        <f t="shared" si="1"/>
        <v>-0.33333333550738919</v>
      </c>
      <c r="E63">
        <f t="shared" si="2"/>
        <v>47.291066395056667</v>
      </c>
    </row>
    <row r="64" spans="1:5">
      <c r="A64">
        <v>2008</v>
      </c>
      <c r="B64">
        <v>0</v>
      </c>
      <c r="C64">
        <f t="shared" si="0"/>
        <v>0.71653130901601014</v>
      </c>
      <c r="D64">
        <f t="shared" si="1"/>
        <v>-0.33333333550738919</v>
      </c>
      <c r="E64">
        <f t="shared" si="2"/>
        <v>47.291066395056667</v>
      </c>
    </row>
    <row r="65" spans="1:5">
      <c r="A65">
        <v>2009</v>
      </c>
      <c r="B65">
        <v>0</v>
      </c>
      <c r="C65">
        <f t="shared" si="0"/>
        <v>0.71653130901601014</v>
      </c>
      <c r="D65">
        <f t="shared" si="1"/>
        <v>-0.33333333550738919</v>
      </c>
      <c r="E65">
        <f t="shared" si="2"/>
        <v>47.291066395056667</v>
      </c>
    </row>
    <row r="66" spans="1:5">
      <c r="A66">
        <v>2010</v>
      </c>
      <c r="B66">
        <v>0</v>
      </c>
      <c r="C66">
        <f t="shared" si="0"/>
        <v>0.71653130901601014</v>
      </c>
      <c r="D66">
        <f t="shared" si="1"/>
        <v>-0.33333333550738919</v>
      </c>
      <c r="E66">
        <f t="shared" si="2"/>
        <v>47.291066395056667</v>
      </c>
    </row>
    <row r="67" spans="1:5">
      <c r="A67">
        <v>2011</v>
      </c>
      <c r="B67">
        <v>2</v>
      </c>
      <c r="C67">
        <f t="shared" si="0"/>
        <v>3.9807295464593613E-2</v>
      </c>
      <c r="D67">
        <f t="shared" si="1"/>
        <v>-3.2237050803592182</v>
      </c>
      <c r="E67">
        <f t="shared" si="2"/>
        <v>2.6272815006631784</v>
      </c>
    </row>
    <row r="68" spans="1:5">
      <c r="A68">
        <v>2012</v>
      </c>
      <c r="B68">
        <v>0</v>
      </c>
      <c r="C68">
        <f t="shared" si="0"/>
        <v>0.71653130901601014</v>
      </c>
      <c r="D68">
        <f t="shared" si="1"/>
        <v>-0.33333333550738919</v>
      </c>
      <c r="E68">
        <f t="shared" si="2"/>
        <v>47.291066395056667</v>
      </c>
    </row>
    <row r="69" spans="1:5">
      <c r="A69">
        <v>2013</v>
      </c>
      <c r="B69">
        <v>0</v>
      </c>
      <c r="C69">
        <f t="shared" si="0"/>
        <v>0.71653130901601014</v>
      </c>
      <c r="D69">
        <f t="shared" si="1"/>
        <v>-0.33333333550738919</v>
      </c>
      <c r="E69">
        <f t="shared" si="2"/>
        <v>47.291066395056667</v>
      </c>
    </row>
    <row r="70" spans="1:5">
      <c r="A70">
        <v>2014</v>
      </c>
      <c r="B70">
        <v>0</v>
      </c>
      <c r="C70">
        <f t="shared" si="0"/>
        <v>0.71653130901601014</v>
      </c>
      <c r="D70">
        <f t="shared" si="1"/>
        <v>-0.33333333550738919</v>
      </c>
      <c r="E70">
        <f t="shared" si="2"/>
        <v>47.291066395056667</v>
      </c>
    </row>
    <row r="71" spans="1:5">
      <c r="A71">
        <v>2015</v>
      </c>
      <c r="B71">
        <v>0</v>
      </c>
      <c r="C71">
        <f>(EXP(-$B$1))*($B$1^B71)/FACT(B71)</f>
        <v>0.71653130901601014</v>
      </c>
      <c r="D71">
        <f>LN(C71)</f>
        <v>-0.33333333550738919</v>
      </c>
      <c r="E71">
        <f>C71*66</f>
        <v>47.291066395056667</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topLeftCell="A5" workbookViewId="0">
      <selection activeCell="M12" sqref="M12"/>
    </sheetView>
  </sheetViews>
  <sheetFormatPr baseColWidth="10" defaultRowHeight="17" x14ac:dyDescent="0"/>
  <cols>
    <col min="3" max="3" width="11" bestFit="1" customWidth="1"/>
    <col min="4" max="4" width="11" customWidth="1"/>
    <col min="5" max="6" width="11.6640625" bestFit="1" customWidth="1"/>
    <col min="8" max="8" width="12.6640625" style="48" customWidth="1"/>
    <col min="9" max="9" width="15.5" style="48" bestFit="1" customWidth="1"/>
    <col min="10" max="11" width="11" style="48" bestFit="1" customWidth="1"/>
    <col min="12" max="13" width="14.83203125" style="48" bestFit="1" customWidth="1"/>
  </cols>
  <sheetData>
    <row r="1" spans="1:13" ht="34">
      <c r="A1" t="s">
        <v>159</v>
      </c>
      <c r="B1">
        <v>1.1016907945417109</v>
      </c>
      <c r="C1" t="s">
        <v>164</v>
      </c>
      <c r="E1" t="s">
        <v>165</v>
      </c>
      <c r="H1" s="37" t="s">
        <v>175</v>
      </c>
      <c r="I1" s="38"/>
      <c r="J1" s="38"/>
      <c r="K1" s="38"/>
      <c r="L1" s="38"/>
      <c r="M1" s="39"/>
    </row>
    <row r="2" spans="1:13">
      <c r="A2" t="s">
        <v>177</v>
      </c>
      <c r="B2">
        <v>0.54615126026290339</v>
      </c>
      <c r="H2" s="40" t="s">
        <v>178</v>
      </c>
      <c r="I2" s="41">
        <v>0.4999999992616761</v>
      </c>
      <c r="J2" s="41"/>
      <c r="K2" s="41"/>
      <c r="L2" s="41"/>
      <c r="M2" s="42"/>
    </row>
    <row r="3" spans="1:13">
      <c r="E3" t="s">
        <v>157</v>
      </c>
      <c r="F3">
        <f>SUM(E6:E71)</f>
        <v>-62.164826144115345</v>
      </c>
      <c r="H3" s="40" t="s">
        <v>157</v>
      </c>
      <c r="I3" s="41">
        <f>F3</f>
        <v>-62.164826144115345</v>
      </c>
      <c r="J3" s="43"/>
      <c r="K3" s="41"/>
      <c r="L3" s="41"/>
      <c r="M3" s="42"/>
    </row>
    <row r="4" spans="1:13" ht="34">
      <c r="H4" s="40"/>
      <c r="I4" s="44" t="s">
        <v>176</v>
      </c>
      <c r="J4" s="38" t="s">
        <v>152</v>
      </c>
      <c r="K4" s="38" t="s">
        <v>168</v>
      </c>
      <c r="L4" s="38" t="s">
        <v>169</v>
      </c>
      <c r="M4" s="39" t="s">
        <v>170</v>
      </c>
    </row>
    <row r="5" spans="1:13">
      <c r="A5" t="s">
        <v>151</v>
      </c>
      <c r="B5" t="s">
        <v>152</v>
      </c>
      <c r="C5" t="s">
        <v>155</v>
      </c>
      <c r="D5" t="s">
        <v>179</v>
      </c>
      <c r="E5" t="s">
        <v>156</v>
      </c>
      <c r="H5" s="40"/>
      <c r="I5" s="40"/>
      <c r="J5" s="41">
        <v>0</v>
      </c>
      <c r="K5" s="41">
        <v>46</v>
      </c>
      <c r="L5" s="41">
        <f>F6</f>
        <v>45.999964844171572</v>
      </c>
      <c r="M5" s="42">
        <f>((K5-L5)^2)/L5</f>
        <v>2.68681134136083E-11</v>
      </c>
    </row>
    <row r="6" spans="1:13">
      <c r="A6">
        <v>1950</v>
      </c>
      <c r="B6">
        <v>0</v>
      </c>
      <c r="C6">
        <f>(EXP(-$B$1))*($B$1^B6)/FACT(B6)</f>
        <v>0.33230874262224797</v>
      </c>
      <c r="D6">
        <f>IF(B6=0, $B$2+(1-$B$2)*C6, (1-$B$2)*C6)</f>
        <v>0.69696916430562983</v>
      </c>
      <c r="E6">
        <f>LN(D6)</f>
        <v>-0.36101410979476239</v>
      </c>
      <c r="F6">
        <f>D6*66</f>
        <v>45.999964844171572</v>
      </c>
      <c r="H6" s="40"/>
      <c r="I6" s="40"/>
      <c r="J6" s="41">
        <v>1</v>
      </c>
      <c r="K6" s="41">
        <v>11</v>
      </c>
      <c r="L6" s="41">
        <f>F8</f>
        <v>10.966209971372489</v>
      </c>
      <c r="M6" s="42">
        <f>((K6-L6)^2)/L6</f>
        <v>1.0411674020729149E-4</v>
      </c>
    </row>
    <row r="7" spans="1:13">
      <c r="A7">
        <v>1951</v>
      </c>
      <c r="B7">
        <v>0</v>
      </c>
      <c r="C7">
        <f t="shared" ref="C7:C70" si="0">(EXP(-$B$1))*($B$1^B7)/FACT(B7)</f>
        <v>0.33230874262224797</v>
      </c>
      <c r="D7">
        <f t="shared" ref="D7:D70" si="1">IF(B7=0, $B$2+(1-$B$2)*C7, (1-$B$2)*C7)</f>
        <v>0.69696916430562983</v>
      </c>
      <c r="E7">
        <f t="shared" ref="E7:E70" si="2">LN(D7)</f>
        <v>-0.36101410979476239</v>
      </c>
      <c r="F7">
        <f t="shared" ref="F7:F70" si="3">D7*66</f>
        <v>45.999964844171572</v>
      </c>
      <c r="H7" s="40"/>
      <c r="I7" s="40"/>
      <c r="J7" s="41">
        <v>2</v>
      </c>
      <c r="K7" s="41">
        <v>6</v>
      </c>
      <c r="L7" s="41">
        <f>F13</f>
        <v>6.0406862882362962</v>
      </c>
      <c r="M7" s="42">
        <f>((K7-L7)^2)/L7</f>
        <v>2.7403741420418845E-4</v>
      </c>
    </row>
    <row r="8" spans="1:13">
      <c r="A8">
        <v>1952</v>
      </c>
      <c r="B8">
        <v>1</v>
      </c>
      <c r="C8">
        <f t="shared" si="0"/>
        <v>0.3661014826926613</v>
      </c>
      <c r="D8">
        <f t="shared" si="1"/>
        <v>0.16615469653594681</v>
      </c>
      <c r="E8">
        <f t="shared" si="2"/>
        <v>-1.7948360177381397</v>
      </c>
      <c r="F8">
        <f t="shared" si="3"/>
        <v>10.966209971372489</v>
      </c>
      <c r="H8" s="40"/>
      <c r="I8" s="40"/>
      <c r="J8" s="41">
        <v>3</v>
      </c>
      <c r="K8" s="41">
        <v>2</v>
      </c>
      <c r="L8" s="41">
        <f>F61</f>
        <v>2.2183228254880873</v>
      </c>
      <c r="M8" s="42">
        <f>((K8-L8)^2)/L8</f>
        <v>2.1486888915103849E-2</v>
      </c>
    </row>
    <row r="9" spans="1:13">
      <c r="A9">
        <v>1953</v>
      </c>
      <c r="B9">
        <v>0</v>
      </c>
      <c r="C9">
        <f t="shared" si="0"/>
        <v>0.33230874262224797</v>
      </c>
      <c r="D9">
        <f t="shared" si="1"/>
        <v>0.69696916430562983</v>
      </c>
      <c r="E9">
        <f>LN(D9)</f>
        <v>-0.36101410979476239</v>
      </c>
      <c r="F9">
        <f t="shared" si="3"/>
        <v>45.999964844171572</v>
      </c>
      <c r="H9" s="40"/>
      <c r="I9" s="40"/>
      <c r="J9" s="41">
        <v>4</v>
      </c>
      <c r="K9" s="41">
        <v>1</v>
      </c>
      <c r="L9" s="41">
        <f>F55</f>
        <v>0.61097645904049602</v>
      </c>
      <c r="M9" s="42">
        <f>((K9-L9)^2)/L9</f>
        <v>0.24770073082413141</v>
      </c>
    </row>
    <row r="10" spans="1:13">
      <c r="A10">
        <v>1954</v>
      </c>
      <c r="B10">
        <v>0</v>
      </c>
      <c r="C10">
        <f t="shared" si="0"/>
        <v>0.33230874262224797</v>
      </c>
      <c r="D10">
        <f t="shared" si="1"/>
        <v>0.69696916430562983</v>
      </c>
      <c r="E10">
        <f t="shared" si="2"/>
        <v>-0.36101410979476239</v>
      </c>
      <c r="F10">
        <f t="shared" si="3"/>
        <v>45.999964844171572</v>
      </c>
      <c r="H10" s="40"/>
      <c r="I10" s="40"/>
      <c r="J10" s="41"/>
      <c r="K10" s="41"/>
      <c r="L10" s="41" t="s">
        <v>171</v>
      </c>
      <c r="M10" s="42">
        <f>SUM(M5:M9)</f>
        <v>0.26956577392051484</v>
      </c>
    </row>
    <row r="11" spans="1:13">
      <c r="A11">
        <v>1955</v>
      </c>
      <c r="B11">
        <v>0</v>
      </c>
      <c r="C11">
        <f t="shared" si="0"/>
        <v>0.33230874262224797</v>
      </c>
      <c r="D11">
        <f t="shared" si="1"/>
        <v>0.69696916430562983</v>
      </c>
      <c r="E11">
        <f t="shared" si="2"/>
        <v>-0.36101410979476239</v>
      </c>
      <c r="F11">
        <f t="shared" si="3"/>
        <v>45.999964844171572</v>
      </c>
      <c r="H11" s="40"/>
      <c r="I11" s="40"/>
      <c r="J11" s="41"/>
      <c r="K11" s="41"/>
      <c r="L11" s="41" t="s">
        <v>172</v>
      </c>
      <c r="M11" s="42">
        <v>2</v>
      </c>
    </row>
    <row r="12" spans="1:13">
      <c r="A12">
        <v>1956</v>
      </c>
      <c r="B12">
        <v>0</v>
      </c>
      <c r="C12">
        <f t="shared" si="0"/>
        <v>0.33230874262224797</v>
      </c>
      <c r="D12">
        <f t="shared" si="1"/>
        <v>0.69696916430562983</v>
      </c>
      <c r="E12">
        <f t="shared" si="2"/>
        <v>-0.36101410979476239</v>
      </c>
      <c r="F12">
        <f t="shared" si="3"/>
        <v>45.999964844171572</v>
      </c>
      <c r="H12" s="45"/>
      <c r="I12" s="45"/>
      <c r="J12" s="46"/>
      <c r="K12" s="46"/>
      <c r="L12" s="46" t="s">
        <v>173</v>
      </c>
      <c r="M12" s="47">
        <f>_xlfn.CHISQ.DIST.RT(M10,M11)</f>
        <v>0.87390562739962463</v>
      </c>
    </row>
    <row r="13" spans="1:13">
      <c r="A13">
        <v>1957</v>
      </c>
      <c r="B13">
        <v>2</v>
      </c>
      <c r="C13">
        <f t="shared" si="0"/>
        <v>0.20166531667528823</v>
      </c>
      <c r="D13">
        <f t="shared" si="1"/>
        <v>9.1525549821762059E-2</v>
      </c>
      <c r="E13">
        <f t="shared" si="2"/>
        <v>-2.3911371126542247</v>
      </c>
      <c r="F13">
        <f t="shared" si="3"/>
        <v>6.0406862882362962</v>
      </c>
    </row>
    <row r="14" spans="1:13">
      <c r="A14">
        <v>1958</v>
      </c>
      <c r="B14">
        <v>2</v>
      </c>
      <c r="C14">
        <f t="shared" si="0"/>
        <v>0.20166531667528823</v>
      </c>
      <c r="D14">
        <f t="shared" si="1"/>
        <v>9.1525549821762059E-2</v>
      </c>
      <c r="E14">
        <f t="shared" si="2"/>
        <v>-2.3911371126542247</v>
      </c>
      <c r="F14">
        <f t="shared" si="3"/>
        <v>6.0406862882362962</v>
      </c>
    </row>
    <row r="15" spans="1:13">
      <c r="A15">
        <v>1959</v>
      </c>
      <c r="B15">
        <v>1</v>
      </c>
      <c r="C15">
        <f t="shared" si="0"/>
        <v>0.3661014826926613</v>
      </c>
      <c r="D15">
        <f t="shared" si="1"/>
        <v>0.16615469653594681</v>
      </c>
      <c r="E15">
        <f t="shared" si="2"/>
        <v>-1.7948360177381397</v>
      </c>
      <c r="F15">
        <f t="shared" si="3"/>
        <v>10.966209971372489</v>
      </c>
    </row>
    <row r="16" spans="1:13">
      <c r="A16">
        <v>1960</v>
      </c>
      <c r="B16">
        <v>0</v>
      </c>
      <c r="C16">
        <f t="shared" si="0"/>
        <v>0.33230874262224797</v>
      </c>
      <c r="D16">
        <f t="shared" si="1"/>
        <v>0.69696916430562983</v>
      </c>
      <c r="E16">
        <f t="shared" si="2"/>
        <v>-0.36101410979476239</v>
      </c>
      <c r="F16">
        <f t="shared" si="3"/>
        <v>45.999964844171572</v>
      </c>
    </row>
    <row r="17" spans="1:6">
      <c r="A17">
        <v>1961</v>
      </c>
      <c r="B17">
        <v>0</v>
      </c>
      <c r="C17">
        <f t="shared" si="0"/>
        <v>0.33230874262224797</v>
      </c>
      <c r="D17">
        <f t="shared" si="1"/>
        <v>0.69696916430562983</v>
      </c>
      <c r="E17">
        <f t="shared" si="2"/>
        <v>-0.36101410979476239</v>
      </c>
      <c r="F17">
        <f t="shared" si="3"/>
        <v>45.999964844171572</v>
      </c>
    </row>
    <row r="18" spans="1:6">
      <c r="A18">
        <v>1962</v>
      </c>
      <c r="B18">
        <v>0</v>
      </c>
      <c r="C18">
        <f t="shared" si="0"/>
        <v>0.33230874262224797</v>
      </c>
      <c r="D18">
        <f t="shared" si="1"/>
        <v>0.69696916430562983</v>
      </c>
      <c r="E18">
        <f t="shared" si="2"/>
        <v>-0.36101410979476239</v>
      </c>
      <c r="F18">
        <f t="shared" si="3"/>
        <v>45.999964844171572</v>
      </c>
    </row>
    <row r="19" spans="1:6">
      <c r="A19">
        <v>1963</v>
      </c>
      <c r="B19">
        <v>0</v>
      </c>
      <c r="C19">
        <f t="shared" si="0"/>
        <v>0.33230874262224797</v>
      </c>
      <c r="D19">
        <f t="shared" si="1"/>
        <v>0.69696916430562983</v>
      </c>
      <c r="E19">
        <f t="shared" si="2"/>
        <v>-0.36101410979476239</v>
      </c>
      <c r="F19">
        <f t="shared" si="3"/>
        <v>45.999964844171572</v>
      </c>
    </row>
    <row r="20" spans="1:6">
      <c r="A20">
        <v>1964</v>
      </c>
      <c r="B20">
        <v>1</v>
      </c>
      <c r="C20">
        <f t="shared" si="0"/>
        <v>0.3661014826926613</v>
      </c>
      <c r="D20">
        <f t="shared" si="1"/>
        <v>0.16615469653594681</v>
      </c>
      <c r="E20">
        <f t="shared" si="2"/>
        <v>-1.7948360177381397</v>
      </c>
      <c r="F20">
        <f t="shared" si="3"/>
        <v>10.966209971372489</v>
      </c>
    </row>
    <row r="21" spans="1:6">
      <c r="A21">
        <v>1965</v>
      </c>
      <c r="B21">
        <v>0</v>
      </c>
      <c r="C21">
        <f t="shared" si="0"/>
        <v>0.33230874262224797</v>
      </c>
      <c r="D21">
        <f t="shared" si="1"/>
        <v>0.69696916430562983</v>
      </c>
      <c r="E21">
        <f t="shared" si="2"/>
        <v>-0.36101410979476239</v>
      </c>
      <c r="F21">
        <f t="shared" si="3"/>
        <v>45.999964844171572</v>
      </c>
    </row>
    <row r="22" spans="1:6">
      <c r="A22">
        <v>1966</v>
      </c>
      <c r="B22">
        <v>1</v>
      </c>
      <c r="C22">
        <f t="shared" si="0"/>
        <v>0.3661014826926613</v>
      </c>
      <c r="D22">
        <f t="shared" si="1"/>
        <v>0.16615469653594681</v>
      </c>
      <c r="E22">
        <f t="shared" si="2"/>
        <v>-1.7948360177381397</v>
      </c>
      <c r="F22">
        <f t="shared" si="3"/>
        <v>10.966209971372489</v>
      </c>
    </row>
    <row r="23" spans="1:6">
      <c r="A23">
        <v>1967</v>
      </c>
      <c r="B23">
        <v>1</v>
      </c>
      <c r="C23">
        <f t="shared" si="0"/>
        <v>0.3661014826926613</v>
      </c>
      <c r="D23">
        <f t="shared" si="1"/>
        <v>0.16615469653594681</v>
      </c>
      <c r="E23">
        <f t="shared" si="2"/>
        <v>-1.7948360177381397</v>
      </c>
      <c r="F23">
        <f t="shared" si="3"/>
        <v>10.966209971372489</v>
      </c>
    </row>
    <row r="24" spans="1:6">
      <c r="A24">
        <v>1968</v>
      </c>
      <c r="B24">
        <v>0</v>
      </c>
      <c r="C24">
        <f t="shared" si="0"/>
        <v>0.33230874262224797</v>
      </c>
      <c r="D24">
        <f t="shared" si="1"/>
        <v>0.69696916430562983</v>
      </c>
      <c r="E24">
        <f t="shared" si="2"/>
        <v>-0.36101410979476239</v>
      </c>
      <c r="F24">
        <f t="shared" si="3"/>
        <v>45.999964844171572</v>
      </c>
    </row>
    <row r="25" spans="1:6">
      <c r="A25">
        <v>1969</v>
      </c>
      <c r="B25">
        <v>1</v>
      </c>
      <c r="C25">
        <f t="shared" si="0"/>
        <v>0.3661014826926613</v>
      </c>
      <c r="D25">
        <f t="shared" si="1"/>
        <v>0.16615469653594681</v>
      </c>
      <c r="E25">
        <f t="shared" si="2"/>
        <v>-1.7948360177381397</v>
      </c>
      <c r="F25">
        <f t="shared" si="3"/>
        <v>10.966209971372489</v>
      </c>
    </row>
    <row r="26" spans="1:6">
      <c r="A26">
        <v>1970</v>
      </c>
      <c r="B26">
        <v>0</v>
      </c>
      <c r="C26">
        <f t="shared" si="0"/>
        <v>0.33230874262224797</v>
      </c>
      <c r="D26">
        <f t="shared" si="1"/>
        <v>0.69696916430562983</v>
      </c>
      <c r="E26">
        <f t="shared" si="2"/>
        <v>-0.36101410979476239</v>
      </c>
      <c r="F26">
        <f t="shared" si="3"/>
        <v>45.999964844171572</v>
      </c>
    </row>
    <row r="27" spans="1:6">
      <c r="A27">
        <v>1971</v>
      </c>
      <c r="B27">
        <v>0</v>
      </c>
      <c r="C27">
        <f t="shared" si="0"/>
        <v>0.33230874262224797</v>
      </c>
      <c r="D27">
        <f t="shared" si="1"/>
        <v>0.69696916430562983</v>
      </c>
      <c r="E27">
        <f t="shared" si="2"/>
        <v>-0.36101410979476239</v>
      </c>
      <c r="F27">
        <f t="shared" si="3"/>
        <v>45.999964844171572</v>
      </c>
    </row>
    <row r="28" spans="1:6">
      <c r="A28">
        <v>1972</v>
      </c>
      <c r="B28">
        <v>0</v>
      </c>
      <c r="C28">
        <f t="shared" si="0"/>
        <v>0.33230874262224797</v>
      </c>
      <c r="D28">
        <f t="shared" si="1"/>
        <v>0.69696916430562983</v>
      </c>
      <c r="E28">
        <f t="shared" si="2"/>
        <v>-0.36101410979476239</v>
      </c>
      <c r="F28">
        <f t="shared" si="3"/>
        <v>45.999964844171572</v>
      </c>
    </row>
    <row r="29" spans="1:6">
      <c r="A29">
        <v>1973</v>
      </c>
      <c r="B29">
        <v>0</v>
      </c>
      <c r="C29">
        <f t="shared" si="0"/>
        <v>0.33230874262224797</v>
      </c>
      <c r="D29">
        <f t="shared" si="1"/>
        <v>0.69696916430562983</v>
      </c>
      <c r="E29">
        <f t="shared" si="2"/>
        <v>-0.36101410979476239</v>
      </c>
      <c r="F29">
        <f t="shared" si="3"/>
        <v>45.999964844171572</v>
      </c>
    </row>
    <row r="30" spans="1:6">
      <c r="A30">
        <v>1974</v>
      </c>
      <c r="B30">
        <v>0</v>
      </c>
      <c r="C30">
        <f t="shared" si="0"/>
        <v>0.33230874262224797</v>
      </c>
      <c r="D30">
        <f t="shared" si="1"/>
        <v>0.69696916430562983</v>
      </c>
      <c r="E30">
        <f t="shared" si="2"/>
        <v>-0.36101410979476239</v>
      </c>
      <c r="F30">
        <f t="shared" si="3"/>
        <v>45.999964844171572</v>
      </c>
    </row>
    <row r="31" spans="1:6">
      <c r="A31">
        <v>1975</v>
      </c>
      <c r="B31">
        <v>0</v>
      </c>
      <c r="C31">
        <f t="shared" si="0"/>
        <v>0.33230874262224797</v>
      </c>
      <c r="D31">
        <f t="shared" si="1"/>
        <v>0.69696916430562983</v>
      </c>
      <c r="E31">
        <f t="shared" si="2"/>
        <v>-0.36101410979476239</v>
      </c>
      <c r="F31">
        <f t="shared" si="3"/>
        <v>45.999964844171572</v>
      </c>
    </row>
    <row r="32" spans="1:6">
      <c r="A32">
        <v>1976</v>
      </c>
      <c r="B32">
        <v>0</v>
      </c>
      <c r="C32">
        <f t="shared" si="0"/>
        <v>0.33230874262224797</v>
      </c>
      <c r="D32">
        <f t="shared" si="1"/>
        <v>0.69696916430562983</v>
      </c>
      <c r="E32">
        <f t="shared" si="2"/>
        <v>-0.36101410979476239</v>
      </c>
      <c r="F32">
        <f t="shared" si="3"/>
        <v>45.999964844171572</v>
      </c>
    </row>
    <row r="33" spans="1:6">
      <c r="A33">
        <v>1977</v>
      </c>
      <c r="B33">
        <v>1</v>
      </c>
      <c r="C33">
        <f t="shared" si="0"/>
        <v>0.3661014826926613</v>
      </c>
      <c r="D33">
        <f t="shared" si="1"/>
        <v>0.16615469653594681</v>
      </c>
      <c r="E33">
        <f t="shared" si="2"/>
        <v>-1.7948360177381397</v>
      </c>
      <c r="F33">
        <f t="shared" si="3"/>
        <v>10.966209971372489</v>
      </c>
    </row>
    <row r="34" spans="1:6">
      <c r="A34">
        <v>1978</v>
      </c>
      <c r="B34">
        <v>0</v>
      </c>
      <c r="C34">
        <f t="shared" si="0"/>
        <v>0.33230874262224797</v>
      </c>
      <c r="D34">
        <f t="shared" si="1"/>
        <v>0.69696916430562983</v>
      </c>
      <c r="E34">
        <f t="shared" si="2"/>
        <v>-0.36101410979476239</v>
      </c>
      <c r="F34">
        <f t="shared" si="3"/>
        <v>45.999964844171572</v>
      </c>
    </row>
    <row r="35" spans="1:6">
      <c r="A35">
        <v>1979</v>
      </c>
      <c r="B35">
        <v>1</v>
      </c>
      <c r="C35">
        <f t="shared" si="0"/>
        <v>0.3661014826926613</v>
      </c>
      <c r="D35">
        <f t="shared" si="1"/>
        <v>0.16615469653594681</v>
      </c>
      <c r="E35">
        <f t="shared" si="2"/>
        <v>-1.7948360177381397</v>
      </c>
      <c r="F35">
        <f t="shared" si="3"/>
        <v>10.966209971372489</v>
      </c>
    </row>
    <row r="36" spans="1:6">
      <c r="A36">
        <v>1980</v>
      </c>
      <c r="B36">
        <v>1</v>
      </c>
      <c r="C36">
        <f t="shared" si="0"/>
        <v>0.3661014826926613</v>
      </c>
      <c r="D36">
        <f t="shared" si="1"/>
        <v>0.16615469653594681</v>
      </c>
      <c r="E36">
        <f t="shared" si="2"/>
        <v>-1.7948360177381397</v>
      </c>
      <c r="F36">
        <f t="shared" si="3"/>
        <v>10.966209971372489</v>
      </c>
    </row>
    <row r="37" spans="1:6">
      <c r="A37">
        <v>1981</v>
      </c>
      <c r="B37">
        <v>1</v>
      </c>
      <c r="C37">
        <f t="shared" si="0"/>
        <v>0.3661014826926613</v>
      </c>
      <c r="D37">
        <f t="shared" si="1"/>
        <v>0.16615469653594681</v>
      </c>
      <c r="E37">
        <f t="shared" si="2"/>
        <v>-1.7948360177381397</v>
      </c>
      <c r="F37">
        <f t="shared" si="3"/>
        <v>10.966209971372489</v>
      </c>
    </row>
    <row r="38" spans="1:6">
      <c r="A38">
        <v>1982</v>
      </c>
      <c r="B38">
        <v>0</v>
      </c>
      <c r="C38">
        <f t="shared" si="0"/>
        <v>0.33230874262224797</v>
      </c>
      <c r="D38">
        <f t="shared" si="1"/>
        <v>0.69696916430562983</v>
      </c>
      <c r="E38">
        <f t="shared" si="2"/>
        <v>-0.36101410979476239</v>
      </c>
      <c r="F38">
        <f t="shared" si="3"/>
        <v>45.999964844171572</v>
      </c>
    </row>
    <row r="39" spans="1:6">
      <c r="A39">
        <v>1983</v>
      </c>
      <c r="B39">
        <v>0</v>
      </c>
      <c r="C39">
        <f t="shared" si="0"/>
        <v>0.33230874262224797</v>
      </c>
      <c r="D39">
        <f t="shared" si="1"/>
        <v>0.69696916430562983</v>
      </c>
      <c r="E39">
        <f t="shared" si="2"/>
        <v>-0.36101410979476239</v>
      </c>
      <c r="F39">
        <f t="shared" si="3"/>
        <v>45.999964844171572</v>
      </c>
    </row>
    <row r="40" spans="1:6">
      <c r="A40">
        <v>1984</v>
      </c>
      <c r="B40">
        <v>0</v>
      </c>
      <c r="C40">
        <f t="shared" si="0"/>
        <v>0.33230874262224797</v>
      </c>
      <c r="D40">
        <f t="shared" si="1"/>
        <v>0.69696916430562983</v>
      </c>
      <c r="E40">
        <f t="shared" si="2"/>
        <v>-0.36101410979476239</v>
      </c>
      <c r="F40">
        <f t="shared" si="3"/>
        <v>45.999964844171572</v>
      </c>
    </row>
    <row r="41" spans="1:6">
      <c r="A41">
        <v>1985</v>
      </c>
      <c r="B41">
        <v>0</v>
      </c>
      <c r="C41">
        <f t="shared" si="0"/>
        <v>0.33230874262224797</v>
      </c>
      <c r="D41">
        <f t="shared" si="1"/>
        <v>0.69696916430562983</v>
      </c>
      <c r="E41">
        <f t="shared" si="2"/>
        <v>-0.36101410979476239</v>
      </c>
      <c r="F41">
        <f t="shared" si="3"/>
        <v>45.999964844171572</v>
      </c>
    </row>
    <row r="42" spans="1:6">
      <c r="A42">
        <v>1986</v>
      </c>
      <c r="B42">
        <v>2</v>
      </c>
      <c r="C42">
        <f t="shared" si="0"/>
        <v>0.20166531667528823</v>
      </c>
      <c r="D42">
        <f t="shared" si="1"/>
        <v>9.1525549821762059E-2</v>
      </c>
      <c r="E42">
        <f t="shared" si="2"/>
        <v>-2.3911371126542247</v>
      </c>
      <c r="F42">
        <f t="shared" si="3"/>
        <v>6.0406862882362962</v>
      </c>
    </row>
    <row r="43" spans="1:6">
      <c r="A43">
        <v>1987</v>
      </c>
      <c r="B43">
        <v>0</v>
      </c>
      <c r="C43">
        <f t="shared" si="0"/>
        <v>0.33230874262224797</v>
      </c>
      <c r="D43">
        <f t="shared" si="1"/>
        <v>0.69696916430562983</v>
      </c>
      <c r="E43">
        <f t="shared" si="2"/>
        <v>-0.36101410979476239</v>
      </c>
      <c r="F43">
        <f t="shared" si="3"/>
        <v>45.999964844171572</v>
      </c>
    </row>
    <row r="44" spans="1:6">
      <c r="A44">
        <v>1988</v>
      </c>
      <c r="B44">
        <v>0</v>
      </c>
      <c r="C44">
        <f t="shared" si="0"/>
        <v>0.33230874262224797</v>
      </c>
      <c r="D44">
        <f t="shared" si="1"/>
        <v>0.69696916430562983</v>
      </c>
      <c r="E44">
        <f t="shared" si="2"/>
        <v>-0.36101410979476239</v>
      </c>
      <c r="F44">
        <f t="shared" si="3"/>
        <v>45.999964844171572</v>
      </c>
    </row>
    <row r="45" spans="1:6">
      <c r="A45">
        <v>1989</v>
      </c>
      <c r="B45">
        <v>2</v>
      </c>
      <c r="C45">
        <f t="shared" si="0"/>
        <v>0.20166531667528823</v>
      </c>
      <c r="D45">
        <f t="shared" si="1"/>
        <v>9.1525549821762059E-2</v>
      </c>
      <c r="E45">
        <f t="shared" si="2"/>
        <v>-2.3911371126542247</v>
      </c>
      <c r="F45">
        <f t="shared" si="3"/>
        <v>6.0406862882362962</v>
      </c>
    </row>
    <row r="46" spans="1:6">
      <c r="A46">
        <v>1990</v>
      </c>
      <c r="B46">
        <v>0</v>
      </c>
      <c r="C46">
        <f t="shared" si="0"/>
        <v>0.33230874262224797</v>
      </c>
      <c r="D46">
        <f t="shared" si="1"/>
        <v>0.69696916430562983</v>
      </c>
      <c r="E46">
        <f t="shared" si="2"/>
        <v>-0.36101410979476239</v>
      </c>
      <c r="F46">
        <f t="shared" si="3"/>
        <v>45.999964844171572</v>
      </c>
    </row>
    <row r="47" spans="1:6">
      <c r="A47">
        <v>1991</v>
      </c>
      <c r="B47">
        <v>0</v>
      </c>
      <c r="C47">
        <f t="shared" si="0"/>
        <v>0.33230874262224797</v>
      </c>
      <c r="D47">
        <f t="shared" si="1"/>
        <v>0.69696916430562983</v>
      </c>
      <c r="E47">
        <f t="shared" si="2"/>
        <v>-0.36101410979476239</v>
      </c>
      <c r="F47">
        <f t="shared" si="3"/>
        <v>45.999964844171572</v>
      </c>
    </row>
    <row r="48" spans="1:6">
      <c r="A48">
        <v>1992</v>
      </c>
      <c r="B48">
        <v>0</v>
      </c>
      <c r="C48">
        <f t="shared" si="0"/>
        <v>0.33230874262224797</v>
      </c>
      <c r="D48">
        <f t="shared" si="1"/>
        <v>0.69696916430562983</v>
      </c>
      <c r="E48">
        <f t="shared" si="2"/>
        <v>-0.36101410979476239</v>
      </c>
      <c r="F48">
        <f t="shared" si="3"/>
        <v>45.999964844171572</v>
      </c>
    </row>
    <row r="49" spans="1:6">
      <c r="A49">
        <v>1993</v>
      </c>
      <c r="B49">
        <v>2</v>
      </c>
      <c r="C49">
        <f t="shared" si="0"/>
        <v>0.20166531667528823</v>
      </c>
      <c r="D49">
        <f t="shared" si="1"/>
        <v>9.1525549821762059E-2</v>
      </c>
      <c r="E49">
        <f t="shared" si="2"/>
        <v>-2.3911371126542247</v>
      </c>
      <c r="F49">
        <f t="shared" si="3"/>
        <v>6.0406862882362962</v>
      </c>
    </row>
    <row r="50" spans="1:6">
      <c r="A50">
        <v>1994</v>
      </c>
      <c r="B50">
        <v>0</v>
      </c>
      <c r="C50">
        <f t="shared" si="0"/>
        <v>0.33230874262224797</v>
      </c>
      <c r="D50">
        <f t="shared" si="1"/>
        <v>0.69696916430562983</v>
      </c>
      <c r="E50">
        <f t="shared" si="2"/>
        <v>-0.36101410979476239</v>
      </c>
      <c r="F50">
        <f t="shared" si="3"/>
        <v>45.999964844171572</v>
      </c>
    </row>
    <row r="51" spans="1:6">
      <c r="A51">
        <v>1995</v>
      </c>
      <c r="B51">
        <v>0</v>
      </c>
      <c r="C51">
        <f t="shared" si="0"/>
        <v>0.33230874262224797</v>
      </c>
      <c r="D51">
        <f t="shared" si="1"/>
        <v>0.69696916430562983</v>
      </c>
      <c r="E51">
        <f t="shared" si="2"/>
        <v>-0.36101410979476239</v>
      </c>
      <c r="F51">
        <f t="shared" si="3"/>
        <v>45.999964844171572</v>
      </c>
    </row>
    <row r="52" spans="1:6">
      <c r="A52">
        <v>1996</v>
      </c>
      <c r="B52">
        <v>0</v>
      </c>
      <c r="C52">
        <f t="shared" si="0"/>
        <v>0.33230874262224797</v>
      </c>
      <c r="D52">
        <f t="shared" si="1"/>
        <v>0.69696916430562983</v>
      </c>
      <c r="E52">
        <f t="shared" si="2"/>
        <v>-0.36101410979476239</v>
      </c>
      <c r="F52">
        <f t="shared" si="3"/>
        <v>45.999964844171572</v>
      </c>
    </row>
    <row r="53" spans="1:6">
      <c r="A53">
        <v>1997</v>
      </c>
      <c r="B53">
        <v>0</v>
      </c>
      <c r="C53">
        <f t="shared" si="0"/>
        <v>0.33230874262224797</v>
      </c>
      <c r="D53">
        <f t="shared" si="1"/>
        <v>0.69696916430562983</v>
      </c>
      <c r="E53">
        <f t="shared" si="2"/>
        <v>-0.36101410979476239</v>
      </c>
      <c r="F53">
        <f t="shared" si="3"/>
        <v>45.999964844171572</v>
      </c>
    </row>
    <row r="54" spans="1:6">
      <c r="A54">
        <v>1998</v>
      </c>
      <c r="B54">
        <v>0</v>
      </c>
      <c r="C54">
        <f t="shared" si="0"/>
        <v>0.33230874262224797</v>
      </c>
      <c r="D54">
        <f t="shared" si="1"/>
        <v>0.69696916430562983</v>
      </c>
      <c r="E54">
        <f t="shared" si="2"/>
        <v>-0.36101410979476239</v>
      </c>
      <c r="F54">
        <f t="shared" si="3"/>
        <v>45.999964844171572</v>
      </c>
    </row>
    <row r="55" spans="1:6">
      <c r="A55">
        <v>1999</v>
      </c>
      <c r="B55">
        <v>4</v>
      </c>
      <c r="C55">
        <f t="shared" si="0"/>
        <v>2.0397146154319236E-2</v>
      </c>
      <c r="D55">
        <f t="shared" si="1"/>
        <v>9.2572190763711513E-3</v>
      </c>
      <c r="E55">
        <f t="shared" si="2"/>
        <v>-4.6823515911545046</v>
      </c>
      <c r="F55">
        <f t="shared" si="3"/>
        <v>0.61097645904049602</v>
      </c>
    </row>
    <row r="56" spans="1:6">
      <c r="A56">
        <v>2000</v>
      </c>
      <c r="B56">
        <v>0</v>
      </c>
      <c r="C56">
        <f t="shared" si="0"/>
        <v>0.33230874262224797</v>
      </c>
      <c r="D56">
        <f t="shared" si="1"/>
        <v>0.69696916430562983</v>
      </c>
      <c r="E56">
        <f t="shared" si="2"/>
        <v>-0.36101410979476239</v>
      </c>
      <c r="F56">
        <f t="shared" si="3"/>
        <v>45.999964844171572</v>
      </c>
    </row>
    <row r="57" spans="1:6">
      <c r="A57">
        <v>2001</v>
      </c>
      <c r="B57">
        <v>0</v>
      </c>
      <c r="C57">
        <f t="shared" si="0"/>
        <v>0.33230874262224797</v>
      </c>
      <c r="D57">
        <f t="shared" si="1"/>
        <v>0.69696916430562983</v>
      </c>
      <c r="E57">
        <f t="shared" si="2"/>
        <v>-0.36101410979476239</v>
      </c>
      <c r="F57">
        <f t="shared" si="3"/>
        <v>45.999964844171572</v>
      </c>
    </row>
    <row r="58" spans="1:6">
      <c r="A58">
        <v>2002</v>
      </c>
      <c r="B58">
        <v>0</v>
      </c>
      <c r="C58">
        <f t="shared" si="0"/>
        <v>0.33230874262224797</v>
      </c>
      <c r="D58">
        <f t="shared" si="1"/>
        <v>0.69696916430562983</v>
      </c>
      <c r="E58">
        <f t="shared" si="2"/>
        <v>-0.36101410979476239</v>
      </c>
      <c r="F58">
        <f t="shared" si="3"/>
        <v>45.999964844171572</v>
      </c>
    </row>
    <row r="59" spans="1:6">
      <c r="A59">
        <v>2003</v>
      </c>
      <c r="B59">
        <v>1</v>
      </c>
      <c r="C59">
        <f t="shared" si="0"/>
        <v>0.3661014826926613</v>
      </c>
      <c r="D59">
        <f t="shared" si="1"/>
        <v>0.16615469653594681</v>
      </c>
      <c r="E59">
        <f t="shared" si="2"/>
        <v>-1.7948360177381397</v>
      </c>
      <c r="F59">
        <f t="shared" si="3"/>
        <v>10.966209971372489</v>
      </c>
    </row>
    <row r="60" spans="1:6">
      <c r="A60">
        <v>2004</v>
      </c>
      <c r="B60">
        <v>0</v>
      </c>
      <c r="C60">
        <f t="shared" si="0"/>
        <v>0.33230874262224797</v>
      </c>
      <c r="D60">
        <f t="shared" si="1"/>
        <v>0.69696916430562983</v>
      </c>
      <c r="E60">
        <f t="shared" si="2"/>
        <v>-0.36101410979476239</v>
      </c>
      <c r="F60">
        <f t="shared" si="3"/>
        <v>45.999964844171572</v>
      </c>
    </row>
    <row r="61" spans="1:6">
      <c r="A61">
        <v>2005</v>
      </c>
      <c r="B61">
        <v>3</v>
      </c>
      <c r="C61">
        <f t="shared" si="0"/>
        <v>7.4057607653168003E-2</v>
      </c>
      <c r="D61">
        <f t="shared" si="1"/>
        <v>3.361095190133466E-2</v>
      </c>
      <c r="E61">
        <f t="shared" si="2"/>
        <v>-3.3929033156784745</v>
      </c>
      <c r="F61">
        <f t="shared" si="3"/>
        <v>2.2183228254880873</v>
      </c>
    </row>
    <row r="62" spans="1:6">
      <c r="A62">
        <v>2006</v>
      </c>
      <c r="B62">
        <v>3</v>
      </c>
      <c r="C62">
        <f t="shared" si="0"/>
        <v>7.4057607653168003E-2</v>
      </c>
      <c r="D62">
        <f t="shared" si="1"/>
        <v>3.361095190133466E-2</v>
      </c>
      <c r="E62">
        <f t="shared" si="2"/>
        <v>-3.3929033156784745</v>
      </c>
      <c r="F62">
        <f t="shared" si="3"/>
        <v>2.2183228254880873</v>
      </c>
    </row>
    <row r="63" spans="1:6">
      <c r="A63">
        <v>2007</v>
      </c>
      <c r="B63">
        <v>0</v>
      </c>
      <c r="C63">
        <f t="shared" si="0"/>
        <v>0.33230874262224797</v>
      </c>
      <c r="D63">
        <f t="shared" si="1"/>
        <v>0.69696916430562983</v>
      </c>
      <c r="E63">
        <f t="shared" si="2"/>
        <v>-0.36101410979476239</v>
      </c>
      <c r="F63">
        <f t="shared" si="3"/>
        <v>45.999964844171572</v>
      </c>
    </row>
    <row r="64" spans="1:6">
      <c r="A64">
        <v>2008</v>
      </c>
      <c r="B64">
        <v>0</v>
      </c>
      <c r="C64">
        <f t="shared" si="0"/>
        <v>0.33230874262224797</v>
      </c>
      <c r="D64">
        <f t="shared" si="1"/>
        <v>0.69696916430562983</v>
      </c>
      <c r="E64">
        <f t="shared" si="2"/>
        <v>-0.36101410979476239</v>
      </c>
      <c r="F64">
        <f t="shared" si="3"/>
        <v>45.999964844171572</v>
      </c>
    </row>
    <row r="65" spans="1:6">
      <c r="A65">
        <v>2009</v>
      </c>
      <c r="B65">
        <v>0</v>
      </c>
      <c r="C65">
        <f t="shared" si="0"/>
        <v>0.33230874262224797</v>
      </c>
      <c r="D65">
        <f t="shared" si="1"/>
        <v>0.69696916430562983</v>
      </c>
      <c r="E65">
        <f t="shared" si="2"/>
        <v>-0.36101410979476239</v>
      </c>
      <c r="F65">
        <f t="shared" si="3"/>
        <v>45.999964844171572</v>
      </c>
    </row>
    <row r="66" spans="1:6">
      <c r="A66">
        <v>2010</v>
      </c>
      <c r="B66">
        <v>0</v>
      </c>
      <c r="C66">
        <f t="shared" si="0"/>
        <v>0.33230874262224797</v>
      </c>
      <c r="D66">
        <f t="shared" si="1"/>
        <v>0.69696916430562983</v>
      </c>
      <c r="E66">
        <f t="shared" si="2"/>
        <v>-0.36101410979476239</v>
      </c>
      <c r="F66">
        <f t="shared" si="3"/>
        <v>45.999964844171572</v>
      </c>
    </row>
    <row r="67" spans="1:6">
      <c r="A67">
        <v>2011</v>
      </c>
      <c r="B67">
        <v>2</v>
      </c>
      <c r="C67">
        <f t="shared" si="0"/>
        <v>0.20166531667528823</v>
      </c>
      <c r="D67">
        <f t="shared" si="1"/>
        <v>9.1525549821762059E-2</v>
      </c>
      <c r="E67">
        <f t="shared" si="2"/>
        <v>-2.3911371126542247</v>
      </c>
      <c r="F67">
        <f t="shared" si="3"/>
        <v>6.0406862882362962</v>
      </c>
    </row>
    <row r="68" spans="1:6">
      <c r="A68">
        <v>2012</v>
      </c>
      <c r="B68">
        <v>0</v>
      </c>
      <c r="C68">
        <f t="shared" si="0"/>
        <v>0.33230874262224797</v>
      </c>
      <c r="D68">
        <f t="shared" si="1"/>
        <v>0.69696916430562983</v>
      </c>
      <c r="E68">
        <f t="shared" si="2"/>
        <v>-0.36101410979476239</v>
      </c>
      <c r="F68">
        <f t="shared" si="3"/>
        <v>45.999964844171572</v>
      </c>
    </row>
    <row r="69" spans="1:6">
      <c r="A69">
        <v>2013</v>
      </c>
      <c r="B69">
        <v>0</v>
      </c>
      <c r="C69">
        <f t="shared" si="0"/>
        <v>0.33230874262224797</v>
      </c>
      <c r="D69">
        <f t="shared" si="1"/>
        <v>0.69696916430562983</v>
      </c>
      <c r="E69">
        <f t="shared" si="2"/>
        <v>-0.36101410979476239</v>
      </c>
      <c r="F69">
        <f t="shared" si="3"/>
        <v>45.999964844171572</v>
      </c>
    </row>
    <row r="70" spans="1:6">
      <c r="A70">
        <v>2014</v>
      </c>
      <c r="B70">
        <v>0</v>
      </c>
      <c r="C70">
        <f t="shared" si="0"/>
        <v>0.33230874262224797</v>
      </c>
      <c r="D70">
        <f t="shared" si="1"/>
        <v>0.69696916430562983</v>
      </c>
      <c r="E70">
        <f t="shared" si="2"/>
        <v>-0.36101410979476239</v>
      </c>
      <c r="F70">
        <f t="shared" si="3"/>
        <v>45.999964844171572</v>
      </c>
    </row>
    <row r="71" spans="1:6">
      <c r="A71">
        <v>2015</v>
      </c>
      <c r="B71">
        <v>0</v>
      </c>
      <c r="C71">
        <f>(EXP(-$B$1))*($B$1^B71)/FACT(B71)</f>
        <v>0.33230874262224797</v>
      </c>
      <c r="D71">
        <f>IF(B71=0, $B$2+(1-$B$2)*C71, (1-$B$2)*C71)</f>
        <v>0.69696916430562983</v>
      </c>
      <c r="E71">
        <f>LN(D71)</f>
        <v>-0.36101410979476239</v>
      </c>
      <c r="F71">
        <f>D71*66</f>
        <v>45.999964844171572</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workbookViewId="0">
      <selection activeCell="H15" sqref="H15"/>
    </sheetView>
  </sheetViews>
  <sheetFormatPr baseColWidth="10" defaultRowHeight="12" x14ac:dyDescent="0"/>
  <cols>
    <col min="1" max="2" width="11" bestFit="1" customWidth="1"/>
    <col min="3" max="3" width="11.1640625" bestFit="1" customWidth="1"/>
    <col min="4" max="5" width="11.83203125" bestFit="1" customWidth="1"/>
    <col min="7" max="7" width="12.6640625" customWidth="1"/>
    <col min="8" max="8" width="15.6640625" bestFit="1" customWidth="1"/>
    <col min="9" max="10" width="11.1640625" bestFit="1" customWidth="1"/>
    <col min="11" max="12" width="15" bestFit="1" customWidth="1"/>
  </cols>
  <sheetData>
    <row r="1" spans="1:12" ht="34">
      <c r="A1" t="s">
        <v>159</v>
      </c>
      <c r="B1">
        <v>0.4999999992616761</v>
      </c>
      <c r="C1" t="s">
        <v>164</v>
      </c>
      <c r="D1" t="s">
        <v>165</v>
      </c>
      <c r="G1" s="37" t="s">
        <v>175</v>
      </c>
      <c r="H1" s="38"/>
      <c r="I1" s="38"/>
      <c r="J1" s="38"/>
      <c r="K1" s="38"/>
      <c r="L1" s="39"/>
    </row>
    <row r="2" spans="1:12" ht="17">
      <c r="A2" t="s">
        <v>177</v>
      </c>
      <c r="B2">
        <v>0.5</v>
      </c>
      <c r="G2" s="40" t="s">
        <v>178</v>
      </c>
      <c r="H2" s="41">
        <f>ROUND(0.499999999261676,3)</f>
        <v>0.5</v>
      </c>
      <c r="I2" s="41"/>
      <c r="J2" s="41"/>
      <c r="K2" s="41"/>
      <c r="L2" s="42"/>
    </row>
    <row r="3" spans="1:12" ht="17">
      <c r="D3" t="s">
        <v>157</v>
      </c>
      <c r="E3">
        <f>SUM(D6:D71)</f>
        <v>-66.794312810641884</v>
      </c>
      <c r="G3" s="40" t="s">
        <v>157</v>
      </c>
      <c r="H3" s="41">
        <f>ROUND(E3,2)</f>
        <v>-66.790000000000006</v>
      </c>
      <c r="I3" s="43"/>
      <c r="J3" s="41"/>
      <c r="K3" s="41"/>
      <c r="L3" s="42"/>
    </row>
    <row r="4" spans="1:12" ht="34">
      <c r="G4" s="40"/>
      <c r="H4" s="44" t="s">
        <v>176</v>
      </c>
      <c r="I4" s="38" t="s">
        <v>152</v>
      </c>
      <c r="J4" s="38" t="s">
        <v>168</v>
      </c>
      <c r="K4" s="38" t="s">
        <v>169</v>
      </c>
      <c r="L4" s="39" t="s">
        <v>170</v>
      </c>
    </row>
    <row r="5" spans="1:12" ht="17">
      <c r="A5" t="s">
        <v>151</v>
      </c>
      <c r="B5" t="s">
        <v>152</v>
      </c>
      <c r="C5" t="s">
        <v>155</v>
      </c>
      <c r="D5" t="s">
        <v>156</v>
      </c>
      <c r="G5" s="40"/>
      <c r="H5" s="40"/>
      <c r="I5" s="41">
        <v>0</v>
      </c>
      <c r="J5" s="41">
        <v>46</v>
      </c>
      <c r="K5" s="41">
        <f>ROUND(E6,2)</f>
        <v>40.03</v>
      </c>
      <c r="L5" s="42">
        <f>ROUND((((J5-K5)^2)/K5), 2)</f>
        <v>0.89</v>
      </c>
    </row>
    <row r="6" spans="1:12" ht="17">
      <c r="A6">
        <v>1950</v>
      </c>
      <c r="B6">
        <v>0</v>
      </c>
      <c r="C6">
        <f>(EXP(-$B$1))*($B$1^B6)/FACT(B6)</f>
        <v>0.60653066016044954</v>
      </c>
      <c r="D6">
        <f>LN(C6)</f>
        <v>-0.49999999926167604</v>
      </c>
      <c r="E6">
        <f>C6*66</f>
        <v>40.031023570589667</v>
      </c>
      <c r="G6" s="40"/>
      <c r="H6" s="40"/>
      <c r="I6" s="41">
        <v>1</v>
      </c>
      <c r="J6" s="41">
        <v>11</v>
      </c>
      <c r="K6" s="41">
        <f>ROUND(E8,2)</f>
        <v>20.02</v>
      </c>
      <c r="L6" s="42">
        <f>ROUND((((J6-K6)^2)/K6),2)</f>
        <v>4.0599999999999996</v>
      </c>
    </row>
    <row r="7" spans="1:12" ht="17">
      <c r="A7">
        <v>1951</v>
      </c>
      <c r="B7">
        <v>0</v>
      </c>
      <c r="C7">
        <f t="shared" ref="C7:C70" si="0">(EXP(-$B$1))*($B$1^B7)/FACT(B7)</f>
        <v>0.60653066016044954</v>
      </c>
      <c r="D7">
        <f t="shared" ref="D7:D70" si="1">LN(C7)</f>
        <v>-0.49999999926167604</v>
      </c>
      <c r="E7">
        <f t="shared" ref="E7:E70" si="2">C7*66</f>
        <v>40.031023570589667</v>
      </c>
      <c r="G7" s="40"/>
      <c r="H7" s="40"/>
      <c r="I7" s="41">
        <v>2</v>
      </c>
      <c r="J7" s="41">
        <v>6</v>
      </c>
      <c r="K7" s="41">
        <f>ROUND(E13,2)</f>
        <v>5</v>
      </c>
      <c r="L7" s="42">
        <f>((J7-K7)^2)/K7</f>
        <v>0.2</v>
      </c>
    </row>
    <row r="8" spans="1:12" ht="17">
      <c r="A8">
        <v>1952</v>
      </c>
      <c r="B8">
        <v>1</v>
      </c>
      <c r="C8">
        <f t="shared" si="0"/>
        <v>0.30326532963240871</v>
      </c>
      <c r="D8">
        <f t="shared" si="1"/>
        <v>-1.193147181298269</v>
      </c>
      <c r="E8">
        <f>C8*66</f>
        <v>20.015511755738974</v>
      </c>
      <c r="G8" s="40"/>
      <c r="H8" s="40"/>
      <c r="I8" s="41">
        <v>3</v>
      </c>
      <c r="J8" s="41">
        <v>2</v>
      </c>
      <c r="K8" s="41">
        <f>ROUND(E61,2)</f>
        <v>0.83</v>
      </c>
      <c r="L8" s="42">
        <f>ROUND((((J8-K8)^2)/K8),2)</f>
        <v>1.65</v>
      </c>
    </row>
    <row r="9" spans="1:12" ht="17">
      <c r="A9">
        <v>1953</v>
      </c>
      <c r="B9">
        <v>0</v>
      </c>
      <c r="C9">
        <f t="shared" si="0"/>
        <v>0.60653066016044954</v>
      </c>
      <c r="D9">
        <f t="shared" si="1"/>
        <v>-0.49999999926167604</v>
      </c>
      <c r="E9">
        <f t="shared" si="2"/>
        <v>40.031023570589667</v>
      </c>
      <c r="G9" s="40"/>
      <c r="H9" s="40"/>
      <c r="I9" s="41">
        <v>4</v>
      </c>
      <c r="J9" s="41">
        <v>1</v>
      </c>
      <c r="K9" s="41">
        <f>ROUND(E55,2)</f>
        <v>0.1</v>
      </c>
      <c r="L9" s="42">
        <f>((J9-K9)^2)/K9</f>
        <v>8.1</v>
      </c>
    </row>
    <row r="10" spans="1:12" ht="17">
      <c r="A10">
        <v>1954</v>
      </c>
      <c r="B10">
        <v>0</v>
      </c>
      <c r="C10">
        <f t="shared" si="0"/>
        <v>0.60653066016044954</v>
      </c>
      <c r="D10">
        <f t="shared" si="1"/>
        <v>-0.49999999926167604</v>
      </c>
      <c r="E10">
        <f t="shared" si="2"/>
        <v>40.031023570589667</v>
      </c>
      <c r="G10" s="40"/>
      <c r="H10" s="40"/>
      <c r="I10" s="41"/>
      <c r="J10" s="41"/>
      <c r="K10" s="41" t="s">
        <v>171</v>
      </c>
      <c r="L10" s="42">
        <f>SUM(L5:L9)</f>
        <v>14.899999999999999</v>
      </c>
    </row>
    <row r="11" spans="1:12" ht="17">
      <c r="A11">
        <v>1955</v>
      </c>
      <c r="B11">
        <v>0</v>
      </c>
      <c r="C11">
        <f t="shared" si="0"/>
        <v>0.60653066016044954</v>
      </c>
      <c r="D11">
        <f t="shared" si="1"/>
        <v>-0.49999999926167604</v>
      </c>
      <c r="E11">
        <f t="shared" si="2"/>
        <v>40.031023570589667</v>
      </c>
      <c r="G11" s="40"/>
      <c r="H11" s="40"/>
      <c r="I11" s="41"/>
      <c r="J11" s="41"/>
      <c r="K11" s="41" t="s">
        <v>172</v>
      </c>
      <c r="L11" s="42">
        <v>3</v>
      </c>
    </row>
    <row r="12" spans="1:12" ht="17">
      <c r="A12">
        <v>1956</v>
      </c>
      <c r="B12">
        <v>0</v>
      </c>
      <c r="C12">
        <f t="shared" si="0"/>
        <v>0.60653066016044954</v>
      </c>
      <c r="D12">
        <f t="shared" si="1"/>
        <v>-0.49999999926167604</v>
      </c>
      <c r="E12">
        <f t="shared" si="2"/>
        <v>40.031023570589667</v>
      </c>
      <c r="G12" s="45"/>
      <c r="H12" s="45"/>
      <c r="I12" s="46"/>
      <c r="J12" s="46"/>
      <c r="K12" s="46" t="s">
        <v>173</v>
      </c>
      <c r="L12" s="47">
        <f>ROUND(_xlfn.CHISQ.DIST.RT(L10,L11),4)</f>
        <v>1.9E-3</v>
      </c>
    </row>
    <row r="13" spans="1:12">
      <c r="A13">
        <v>1957</v>
      </c>
      <c r="B13">
        <v>2</v>
      </c>
      <c r="C13">
        <f t="shared" si="0"/>
        <v>7.5816332296148148E-2</v>
      </c>
      <c r="D13">
        <f t="shared" si="1"/>
        <v>-2.5794415438948075</v>
      </c>
      <c r="E13">
        <f t="shared" si="2"/>
        <v>5.0038779315457775</v>
      </c>
    </row>
    <row r="14" spans="1:12">
      <c r="A14">
        <v>1958</v>
      </c>
      <c r="B14">
        <v>2</v>
      </c>
      <c r="C14">
        <f t="shared" si="0"/>
        <v>7.5816332296148148E-2</v>
      </c>
      <c r="D14">
        <f t="shared" si="1"/>
        <v>-2.5794415438948075</v>
      </c>
      <c r="E14">
        <f t="shared" si="2"/>
        <v>5.0038779315457775</v>
      </c>
    </row>
    <row r="15" spans="1:12">
      <c r="A15">
        <v>1959</v>
      </c>
      <c r="B15">
        <v>1</v>
      </c>
      <c r="C15">
        <f t="shared" si="0"/>
        <v>0.30326532963240871</v>
      </c>
      <c r="D15">
        <f t="shared" si="1"/>
        <v>-1.193147181298269</v>
      </c>
      <c r="E15">
        <f t="shared" si="2"/>
        <v>20.015511755738974</v>
      </c>
    </row>
    <row r="16" spans="1:12">
      <c r="A16">
        <v>1960</v>
      </c>
      <c r="B16">
        <v>0</v>
      </c>
      <c r="C16">
        <f t="shared" si="0"/>
        <v>0.60653066016044954</v>
      </c>
      <c r="D16">
        <f t="shared" si="1"/>
        <v>-0.49999999926167604</v>
      </c>
      <c r="E16">
        <f t="shared" si="2"/>
        <v>40.031023570589667</v>
      </c>
    </row>
    <row r="17" spans="1:5">
      <c r="A17">
        <v>1961</v>
      </c>
      <c r="B17">
        <v>0</v>
      </c>
      <c r="C17">
        <f t="shared" si="0"/>
        <v>0.60653066016044954</v>
      </c>
      <c r="D17">
        <f t="shared" si="1"/>
        <v>-0.49999999926167604</v>
      </c>
      <c r="E17">
        <f t="shared" si="2"/>
        <v>40.031023570589667</v>
      </c>
    </row>
    <row r="18" spans="1:5">
      <c r="A18">
        <v>1962</v>
      </c>
      <c r="B18">
        <v>0</v>
      </c>
      <c r="C18">
        <f t="shared" si="0"/>
        <v>0.60653066016044954</v>
      </c>
      <c r="D18">
        <f t="shared" si="1"/>
        <v>-0.49999999926167604</v>
      </c>
      <c r="E18">
        <f t="shared" si="2"/>
        <v>40.031023570589667</v>
      </c>
    </row>
    <row r="19" spans="1:5">
      <c r="A19">
        <v>1963</v>
      </c>
      <c r="B19">
        <v>0</v>
      </c>
      <c r="C19">
        <f t="shared" si="0"/>
        <v>0.60653066016044954</v>
      </c>
      <c r="D19">
        <f t="shared" si="1"/>
        <v>-0.49999999926167604</v>
      </c>
      <c r="E19">
        <f t="shared" si="2"/>
        <v>40.031023570589667</v>
      </c>
    </row>
    <row r="20" spans="1:5">
      <c r="A20">
        <v>1964</v>
      </c>
      <c r="B20">
        <v>1</v>
      </c>
      <c r="C20">
        <f t="shared" si="0"/>
        <v>0.30326532963240871</v>
      </c>
      <c r="D20">
        <f t="shared" si="1"/>
        <v>-1.193147181298269</v>
      </c>
      <c r="E20">
        <f t="shared" si="2"/>
        <v>20.015511755738974</v>
      </c>
    </row>
    <row r="21" spans="1:5">
      <c r="A21">
        <v>1965</v>
      </c>
      <c r="B21">
        <v>0</v>
      </c>
      <c r="C21">
        <f t="shared" si="0"/>
        <v>0.60653066016044954</v>
      </c>
      <c r="D21">
        <f t="shared" si="1"/>
        <v>-0.49999999926167604</v>
      </c>
      <c r="E21">
        <f t="shared" si="2"/>
        <v>40.031023570589667</v>
      </c>
    </row>
    <row r="22" spans="1:5">
      <c r="A22">
        <v>1966</v>
      </c>
      <c r="B22">
        <v>1</v>
      </c>
      <c r="C22">
        <f t="shared" si="0"/>
        <v>0.30326532963240871</v>
      </c>
      <c r="D22">
        <f t="shared" si="1"/>
        <v>-1.193147181298269</v>
      </c>
      <c r="E22">
        <f t="shared" si="2"/>
        <v>20.015511755738974</v>
      </c>
    </row>
    <row r="23" spans="1:5">
      <c r="A23">
        <v>1967</v>
      </c>
      <c r="B23">
        <v>1</v>
      </c>
      <c r="C23">
        <f t="shared" si="0"/>
        <v>0.30326532963240871</v>
      </c>
      <c r="D23">
        <f t="shared" si="1"/>
        <v>-1.193147181298269</v>
      </c>
      <c r="E23">
        <f t="shared" si="2"/>
        <v>20.015511755738974</v>
      </c>
    </row>
    <row r="24" spans="1:5">
      <c r="A24">
        <v>1968</v>
      </c>
      <c r="B24">
        <v>0</v>
      </c>
      <c r="C24">
        <f t="shared" si="0"/>
        <v>0.60653066016044954</v>
      </c>
      <c r="D24">
        <f t="shared" si="1"/>
        <v>-0.49999999926167604</v>
      </c>
      <c r="E24">
        <f t="shared" si="2"/>
        <v>40.031023570589667</v>
      </c>
    </row>
    <row r="25" spans="1:5">
      <c r="A25">
        <v>1969</v>
      </c>
      <c r="B25">
        <v>1</v>
      </c>
      <c r="C25">
        <f t="shared" si="0"/>
        <v>0.30326532963240871</v>
      </c>
      <c r="D25">
        <f t="shared" si="1"/>
        <v>-1.193147181298269</v>
      </c>
      <c r="E25">
        <f t="shared" si="2"/>
        <v>20.015511755738974</v>
      </c>
    </row>
    <row r="26" spans="1:5">
      <c r="A26">
        <v>1970</v>
      </c>
      <c r="B26">
        <v>0</v>
      </c>
      <c r="C26">
        <f t="shared" si="0"/>
        <v>0.60653066016044954</v>
      </c>
      <c r="D26">
        <f t="shared" si="1"/>
        <v>-0.49999999926167604</v>
      </c>
      <c r="E26">
        <f t="shared" si="2"/>
        <v>40.031023570589667</v>
      </c>
    </row>
    <row r="27" spans="1:5">
      <c r="A27">
        <v>1971</v>
      </c>
      <c r="B27">
        <v>0</v>
      </c>
      <c r="C27">
        <f t="shared" si="0"/>
        <v>0.60653066016044954</v>
      </c>
      <c r="D27">
        <f t="shared" si="1"/>
        <v>-0.49999999926167604</v>
      </c>
      <c r="E27">
        <f t="shared" si="2"/>
        <v>40.031023570589667</v>
      </c>
    </row>
    <row r="28" spans="1:5">
      <c r="A28">
        <v>1972</v>
      </c>
      <c r="B28">
        <v>0</v>
      </c>
      <c r="C28">
        <f t="shared" si="0"/>
        <v>0.60653066016044954</v>
      </c>
      <c r="D28">
        <f t="shared" si="1"/>
        <v>-0.49999999926167604</v>
      </c>
      <c r="E28">
        <f t="shared" si="2"/>
        <v>40.031023570589667</v>
      </c>
    </row>
    <row r="29" spans="1:5">
      <c r="A29">
        <v>1973</v>
      </c>
      <c r="B29">
        <v>0</v>
      </c>
      <c r="C29">
        <f t="shared" si="0"/>
        <v>0.60653066016044954</v>
      </c>
      <c r="D29">
        <f t="shared" si="1"/>
        <v>-0.49999999926167604</v>
      </c>
      <c r="E29">
        <f t="shared" si="2"/>
        <v>40.031023570589667</v>
      </c>
    </row>
    <row r="30" spans="1:5">
      <c r="A30">
        <v>1974</v>
      </c>
      <c r="B30">
        <v>0</v>
      </c>
      <c r="C30">
        <f t="shared" si="0"/>
        <v>0.60653066016044954</v>
      </c>
      <c r="D30">
        <f t="shared" si="1"/>
        <v>-0.49999999926167604</v>
      </c>
      <c r="E30">
        <f t="shared" si="2"/>
        <v>40.031023570589667</v>
      </c>
    </row>
    <row r="31" spans="1:5">
      <c r="A31">
        <v>1975</v>
      </c>
      <c r="B31">
        <v>0</v>
      </c>
      <c r="C31">
        <f t="shared" si="0"/>
        <v>0.60653066016044954</v>
      </c>
      <c r="D31">
        <f t="shared" si="1"/>
        <v>-0.49999999926167604</v>
      </c>
      <c r="E31">
        <f t="shared" si="2"/>
        <v>40.031023570589667</v>
      </c>
    </row>
    <row r="32" spans="1:5">
      <c r="A32">
        <v>1976</v>
      </c>
      <c r="B32">
        <v>0</v>
      </c>
      <c r="C32">
        <f t="shared" si="0"/>
        <v>0.60653066016044954</v>
      </c>
      <c r="D32">
        <f t="shared" si="1"/>
        <v>-0.49999999926167604</v>
      </c>
      <c r="E32">
        <f t="shared" si="2"/>
        <v>40.031023570589667</v>
      </c>
    </row>
    <row r="33" spans="1:5">
      <c r="A33">
        <v>1977</v>
      </c>
      <c r="B33">
        <v>1</v>
      </c>
      <c r="C33">
        <f t="shared" si="0"/>
        <v>0.30326532963240871</v>
      </c>
      <c r="D33">
        <f t="shared" si="1"/>
        <v>-1.193147181298269</v>
      </c>
      <c r="E33">
        <f t="shared" si="2"/>
        <v>20.015511755738974</v>
      </c>
    </row>
    <row r="34" spans="1:5">
      <c r="A34">
        <v>1978</v>
      </c>
      <c r="B34">
        <v>0</v>
      </c>
      <c r="C34">
        <f t="shared" si="0"/>
        <v>0.60653066016044954</v>
      </c>
      <c r="D34">
        <f t="shared" si="1"/>
        <v>-0.49999999926167604</v>
      </c>
      <c r="E34">
        <f t="shared" si="2"/>
        <v>40.031023570589667</v>
      </c>
    </row>
    <row r="35" spans="1:5">
      <c r="A35">
        <v>1979</v>
      </c>
      <c r="B35">
        <v>1</v>
      </c>
      <c r="C35">
        <f t="shared" si="0"/>
        <v>0.30326532963240871</v>
      </c>
      <c r="D35">
        <f t="shared" si="1"/>
        <v>-1.193147181298269</v>
      </c>
      <c r="E35">
        <f t="shared" si="2"/>
        <v>20.015511755738974</v>
      </c>
    </row>
    <row r="36" spans="1:5">
      <c r="A36">
        <v>1980</v>
      </c>
      <c r="B36">
        <v>1</v>
      </c>
      <c r="C36">
        <f t="shared" si="0"/>
        <v>0.30326532963240871</v>
      </c>
      <c r="D36">
        <f t="shared" si="1"/>
        <v>-1.193147181298269</v>
      </c>
      <c r="E36">
        <f t="shared" si="2"/>
        <v>20.015511755738974</v>
      </c>
    </row>
    <row r="37" spans="1:5">
      <c r="A37">
        <v>1981</v>
      </c>
      <c r="B37">
        <v>1</v>
      </c>
      <c r="C37">
        <f t="shared" si="0"/>
        <v>0.30326532963240871</v>
      </c>
      <c r="D37">
        <f t="shared" si="1"/>
        <v>-1.193147181298269</v>
      </c>
      <c r="E37">
        <f t="shared" si="2"/>
        <v>20.015511755738974</v>
      </c>
    </row>
    <row r="38" spans="1:5">
      <c r="A38">
        <v>1982</v>
      </c>
      <c r="B38">
        <v>0</v>
      </c>
      <c r="C38">
        <f t="shared" si="0"/>
        <v>0.60653066016044954</v>
      </c>
      <c r="D38">
        <f t="shared" si="1"/>
        <v>-0.49999999926167604</v>
      </c>
      <c r="E38">
        <f t="shared" si="2"/>
        <v>40.031023570589667</v>
      </c>
    </row>
    <row r="39" spans="1:5">
      <c r="A39">
        <v>1983</v>
      </c>
      <c r="B39">
        <v>0</v>
      </c>
      <c r="C39">
        <f t="shared" si="0"/>
        <v>0.60653066016044954</v>
      </c>
      <c r="D39">
        <f t="shared" si="1"/>
        <v>-0.49999999926167604</v>
      </c>
      <c r="E39">
        <f t="shared" si="2"/>
        <v>40.031023570589667</v>
      </c>
    </row>
    <row r="40" spans="1:5">
      <c r="A40">
        <v>1984</v>
      </c>
      <c r="B40">
        <v>0</v>
      </c>
      <c r="C40">
        <f t="shared" si="0"/>
        <v>0.60653066016044954</v>
      </c>
      <c r="D40">
        <f t="shared" si="1"/>
        <v>-0.49999999926167604</v>
      </c>
      <c r="E40">
        <f t="shared" si="2"/>
        <v>40.031023570589667</v>
      </c>
    </row>
    <row r="41" spans="1:5">
      <c r="A41">
        <v>1985</v>
      </c>
      <c r="B41">
        <v>0</v>
      </c>
      <c r="C41">
        <f t="shared" si="0"/>
        <v>0.60653066016044954</v>
      </c>
      <c r="D41">
        <f t="shared" si="1"/>
        <v>-0.49999999926167604</v>
      </c>
      <c r="E41">
        <f t="shared" si="2"/>
        <v>40.031023570589667</v>
      </c>
    </row>
    <row r="42" spans="1:5">
      <c r="A42">
        <v>1986</v>
      </c>
      <c r="B42">
        <v>2</v>
      </c>
      <c r="C42">
        <f t="shared" si="0"/>
        <v>7.5816332296148148E-2</v>
      </c>
      <c r="D42">
        <f t="shared" si="1"/>
        <v>-2.5794415438948075</v>
      </c>
      <c r="E42">
        <f t="shared" si="2"/>
        <v>5.0038779315457775</v>
      </c>
    </row>
    <row r="43" spans="1:5">
      <c r="A43">
        <v>1987</v>
      </c>
      <c r="B43">
        <v>0</v>
      </c>
      <c r="C43">
        <f t="shared" si="0"/>
        <v>0.60653066016044954</v>
      </c>
      <c r="D43">
        <f t="shared" si="1"/>
        <v>-0.49999999926167604</v>
      </c>
      <c r="E43">
        <f t="shared" si="2"/>
        <v>40.031023570589667</v>
      </c>
    </row>
    <row r="44" spans="1:5">
      <c r="A44">
        <v>1988</v>
      </c>
      <c r="B44">
        <v>0</v>
      </c>
      <c r="C44">
        <f t="shared" si="0"/>
        <v>0.60653066016044954</v>
      </c>
      <c r="D44">
        <f t="shared" si="1"/>
        <v>-0.49999999926167604</v>
      </c>
      <c r="E44">
        <f t="shared" si="2"/>
        <v>40.031023570589667</v>
      </c>
    </row>
    <row r="45" spans="1:5">
      <c r="A45">
        <v>1989</v>
      </c>
      <c r="B45">
        <v>2</v>
      </c>
      <c r="C45">
        <f t="shared" si="0"/>
        <v>7.5816332296148148E-2</v>
      </c>
      <c r="D45">
        <f t="shared" si="1"/>
        <v>-2.5794415438948075</v>
      </c>
      <c r="E45">
        <f t="shared" si="2"/>
        <v>5.0038779315457775</v>
      </c>
    </row>
    <row r="46" spans="1:5">
      <c r="A46">
        <v>1990</v>
      </c>
      <c r="B46">
        <v>0</v>
      </c>
      <c r="C46">
        <f t="shared" si="0"/>
        <v>0.60653066016044954</v>
      </c>
      <c r="D46">
        <f t="shared" si="1"/>
        <v>-0.49999999926167604</v>
      </c>
      <c r="E46">
        <f t="shared" si="2"/>
        <v>40.031023570589667</v>
      </c>
    </row>
    <row r="47" spans="1:5">
      <c r="A47">
        <v>1991</v>
      </c>
      <c r="B47">
        <v>0</v>
      </c>
      <c r="C47">
        <f t="shared" si="0"/>
        <v>0.60653066016044954</v>
      </c>
      <c r="D47">
        <f t="shared" si="1"/>
        <v>-0.49999999926167604</v>
      </c>
      <c r="E47">
        <f t="shared" si="2"/>
        <v>40.031023570589667</v>
      </c>
    </row>
    <row r="48" spans="1:5">
      <c r="A48">
        <v>1992</v>
      </c>
      <c r="B48">
        <v>0</v>
      </c>
      <c r="C48">
        <f t="shared" si="0"/>
        <v>0.60653066016044954</v>
      </c>
      <c r="D48">
        <f t="shared" si="1"/>
        <v>-0.49999999926167604</v>
      </c>
      <c r="E48">
        <f t="shared" si="2"/>
        <v>40.031023570589667</v>
      </c>
    </row>
    <row r="49" spans="1:5">
      <c r="A49">
        <v>1993</v>
      </c>
      <c r="B49">
        <v>2</v>
      </c>
      <c r="C49">
        <f t="shared" si="0"/>
        <v>7.5816332296148148E-2</v>
      </c>
      <c r="D49">
        <f t="shared" si="1"/>
        <v>-2.5794415438948075</v>
      </c>
      <c r="E49">
        <f t="shared" si="2"/>
        <v>5.0038779315457775</v>
      </c>
    </row>
    <row r="50" spans="1:5">
      <c r="A50">
        <v>1994</v>
      </c>
      <c r="B50">
        <v>0</v>
      </c>
      <c r="C50">
        <f t="shared" si="0"/>
        <v>0.60653066016044954</v>
      </c>
      <c r="D50">
        <f t="shared" si="1"/>
        <v>-0.49999999926167604</v>
      </c>
      <c r="E50">
        <f t="shared" si="2"/>
        <v>40.031023570589667</v>
      </c>
    </row>
    <row r="51" spans="1:5">
      <c r="A51">
        <v>1995</v>
      </c>
      <c r="B51">
        <v>0</v>
      </c>
      <c r="C51">
        <f t="shared" si="0"/>
        <v>0.60653066016044954</v>
      </c>
      <c r="D51">
        <f t="shared" si="1"/>
        <v>-0.49999999926167604</v>
      </c>
      <c r="E51">
        <f t="shared" si="2"/>
        <v>40.031023570589667</v>
      </c>
    </row>
    <row r="52" spans="1:5">
      <c r="A52">
        <v>1996</v>
      </c>
      <c r="B52">
        <v>0</v>
      </c>
      <c r="C52">
        <f t="shared" si="0"/>
        <v>0.60653066016044954</v>
      </c>
      <c r="D52">
        <f t="shared" si="1"/>
        <v>-0.49999999926167604</v>
      </c>
      <c r="E52">
        <f t="shared" si="2"/>
        <v>40.031023570589667</v>
      </c>
    </row>
    <row r="53" spans="1:5">
      <c r="A53">
        <v>1997</v>
      </c>
      <c r="B53">
        <v>0</v>
      </c>
      <c r="C53">
        <f t="shared" si="0"/>
        <v>0.60653066016044954</v>
      </c>
      <c r="D53">
        <f t="shared" si="1"/>
        <v>-0.49999999926167604</v>
      </c>
      <c r="E53">
        <f t="shared" si="2"/>
        <v>40.031023570589667</v>
      </c>
    </row>
    <row r="54" spans="1:5">
      <c r="A54">
        <v>1998</v>
      </c>
      <c r="B54">
        <v>0</v>
      </c>
      <c r="C54">
        <f t="shared" si="0"/>
        <v>0.60653066016044954</v>
      </c>
      <c r="D54">
        <f t="shared" si="1"/>
        <v>-0.49999999926167604</v>
      </c>
      <c r="E54">
        <f t="shared" si="2"/>
        <v>40.031023570589667</v>
      </c>
    </row>
    <row r="55" spans="1:5">
      <c r="A55">
        <v>1999</v>
      </c>
      <c r="B55">
        <v>4</v>
      </c>
      <c r="C55">
        <f t="shared" si="0"/>
        <v>1.5795069181716687E-3</v>
      </c>
      <c r="D55">
        <f t="shared" si="1"/>
        <v>-6.4506425577559945</v>
      </c>
      <c r="E55">
        <f t="shared" si="2"/>
        <v>0.10424745659933014</v>
      </c>
    </row>
    <row r="56" spans="1:5">
      <c r="A56">
        <v>2000</v>
      </c>
      <c r="B56">
        <v>0</v>
      </c>
      <c r="C56">
        <f t="shared" si="0"/>
        <v>0.60653066016044954</v>
      </c>
      <c r="D56">
        <f t="shared" si="1"/>
        <v>-0.49999999926167604</v>
      </c>
      <c r="E56">
        <f t="shared" si="2"/>
        <v>40.031023570589667</v>
      </c>
    </row>
    <row r="57" spans="1:5">
      <c r="A57">
        <v>2001</v>
      </c>
      <c r="B57">
        <v>0</v>
      </c>
      <c r="C57">
        <f t="shared" si="0"/>
        <v>0.60653066016044954</v>
      </c>
      <c r="D57">
        <f t="shared" si="1"/>
        <v>-0.49999999926167604</v>
      </c>
      <c r="E57">
        <f t="shared" si="2"/>
        <v>40.031023570589667</v>
      </c>
    </row>
    <row r="58" spans="1:5">
      <c r="A58">
        <v>2002</v>
      </c>
      <c r="B58">
        <v>0</v>
      </c>
      <c r="C58">
        <f t="shared" si="0"/>
        <v>0.60653066016044954</v>
      </c>
      <c r="D58">
        <f t="shared" si="1"/>
        <v>-0.49999999926167604</v>
      </c>
      <c r="E58">
        <f t="shared" si="2"/>
        <v>40.031023570589667</v>
      </c>
    </row>
    <row r="59" spans="1:5">
      <c r="A59">
        <v>2003</v>
      </c>
      <c r="B59">
        <v>1</v>
      </c>
      <c r="C59">
        <f t="shared" si="0"/>
        <v>0.30326532963240871</v>
      </c>
      <c r="D59">
        <f t="shared" si="1"/>
        <v>-1.193147181298269</v>
      </c>
      <c r="E59">
        <f t="shared" si="2"/>
        <v>20.015511755738974</v>
      </c>
    </row>
    <row r="60" spans="1:5">
      <c r="A60">
        <v>2004</v>
      </c>
      <c r="B60">
        <v>0</v>
      </c>
      <c r="C60">
        <f t="shared" si="0"/>
        <v>0.60653066016044954</v>
      </c>
      <c r="D60">
        <f t="shared" si="1"/>
        <v>-0.49999999926167604</v>
      </c>
      <c r="E60">
        <f t="shared" si="2"/>
        <v>40.031023570589667</v>
      </c>
    </row>
    <row r="61" spans="1:5">
      <c r="A61">
        <v>2005</v>
      </c>
      <c r="B61">
        <v>3</v>
      </c>
      <c r="C61">
        <f t="shared" si="0"/>
        <v>1.2636055364032355E-2</v>
      </c>
      <c r="D61">
        <f t="shared" si="1"/>
        <v>-4.3712010145995102</v>
      </c>
      <c r="E61">
        <f t="shared" si="2"/>
        <v>0.83397965402613539</v>
      </c>
    </row>
    <row r="62" spans="1:5">
      <c r="A62">
        <v>2006</v>
      </c>
      <c r="B62">
        <v>3</v>
      </c>
      <c r="C62">
        <f t="shared" si="0"/>
        <v>1.2636055364032355E-2</v>
      </c>
      <c r="D62">
        <f t="shared" si="1"/>
        <v>-4.3712010145995102</v>
      </c>
      <c r="E62">
        <f t="shared" si="2"/>
        <v>0.83397965402613539</v>
      </c>
    </row>
    <row r="63" spans="1:5">
      <c r="A63">
        <v>2007</v>
      </c>
      <c r="B63">
        <v>0</v>
      </c>
      <c r="C63">
        <f t="shared" si="0"/>
        <v>0.60653066016044954</v>
      </c>
      <c r="D63">
        <f t="shared" si="1"/>
        <v>-0.49999999926167604</v>
      </c>
      <c r="E63">
        <f t="shared" si="2"/>
        <v>40.031023570589667</v>
      </c>
    </row>
    <row r="64" spans="1:5">
      <c r="A64">
        <v>2008</v>
      </c>
      <c r="B64">
        <v>0</v>
      </c>
      <c r="C64">
        <f t="shared" si="0"/>
        <v>0.60653066016044954</v>
      </c>
      <c r="D64">
        <f t="shared" si="1"/>
        <v>-0.49999999926167604</v>
      </c>
      <c r="E64">
        <f t="shared" si="2"/>
        <v>40.031023570589667</v>
      </c>
    </row>
    <row r="65" spans="1:5">
      <c r="A65">
        <v>2009</v>
      </c>
      <c r="B65">
        <v>0</v>
      </c>
      <c r="C65">
        <f t="shared" si="0"/>
        <v>0.60653066016044954</v>
      </c>
      <c r="D65">
        <f t="shared" si="1"/>
        <v>-0.49999999926167604</v>
      </c>
      <c r="E65">
        <f t="shared" si="2"/>
        <v>40.031023570589667</v>
      </c>
    </row>
    <row r="66" spans="1:5">
      <c r="A66">
        <v>2010</v>
      </c>
      <c r="B66">
        <v>0</v>
      </c>
      <c r="C66">
        <f t="shared" si="0"/>
        <v>0.60653066016044954</v>
      </c>
      <c r="D66">
        <f t="shared" si="1"/>
        <v>-0.49999999926167604</v>
      </c>
      <c r="E66">
        <f t="shared" si="2"/>
        <v>40.031023570589667</v>
      </c>
    </row>
    <row r="67" spans="1:5">
      <c r="A67">
        <v>2011</v>
      </c>
      <c r="B67">
        <v>2</v>
      </c>
      <c r="C67">
        <f t="shared" si="0"/>
        <v>7.5816332296148148E-2</v>
      </c>
      <c r="D67">
        <f t="shared" si="1"/>
        <v>-2.5794415438948075</v>
      </c>
      <c r="E67">
        <f t="shared" si="2"/>
        <v>5.0038779315457775</v>
      </c>
    </row>
    <row r="68" spans="1:5">
      <c r="A68">
        <v>2012</v>
      </c>
      <c r="B68">
        <v>0</v>
      </c>
      <c r="C68">
        <f t="shared" si="0"/>
        <v>0.60653066016044954</v>
      </c>
      <c r="D68">
        <f t="shared" si="1"/>
        <v>-0.49999999926167604</v>
      </c>
      <c r="E68">
        <f t="shared" si="2"/>
        <v>40.031023570589667</v>
      </c>
    </row>
    <row r="69" spans="1:5">
      <c r="A69">
        <v>2013</v>
      </c>
      <c r="B69">
        <v>0</v>
      </c>
      <c r="C69">
        <f t="shared" si="0"/>
        <v>0.60653066016044954</v>
      </c>
      <c r="D69">
        <f t="shared" si="1"/>
        <v>-0.49999999926167604</v>
      </c>
      <c r="E69">
        <f t="shared" si="2"/>
        <v>40.031023570589667</v>
      </c>
    </row>
    <row r="70" spans="1:5">
      <c r="A70">
        <v>2014</v>
      </c>
      <c r="B70">
        <v>0</v>
      </c>
      <c r="C70">
        <f t="shared" si="0"/>
        <v>0.60653066016044954</v>
      </c>
      <c r="D70">
        <f t="shared" si="1"/>
        <v>-0.49999999926167604</v>
      </c>
      <c r="E70">
        <f t="shared" si="2"/>
        <v>40.031023570589667</v>
      </c>
    </row>
    <row r="71" spans="1:5">
      <c r="A71">
        <v>2015</v>
      </c>
      <c r="B71">
        <v>0</v>
      </c>
      <c r="C71">
        <f>(EXP(-$B$1))*($B$1^B71)/FACT(B71)</f>
        <v>0.60653066016044954</v>
      </c>
      <c r="D71">
        <f>LN(C71)</f>
        <v>-0.49999999926167604</v>
      </c>
      <c r="E71">
        <f>C71*66</f>
        <v>40.031023570589667</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topLeftCell="A6" workbookViewId="0">
      <selection activeCell="D6" sqref="D6"/>
    </sheetView>
  </sheetViews>
  <sheetFormatPr baseColWidth="10" defaultRowHeight="12" x14ac:dyDescent="0"/>
  <cols>
    <col min="5" max="6" width="11.6640625" bestFit="1" customWidth="1"/>
    <col min="7" max="7" width="11" bestFit="1" customWidth="1"/>
    <col min="11" max="12" width="11" bestFit="1" customWidth="1"/>
  </cols>
  <sheetData>
    <row r="1" spans="1:12" ht="24">
      <c r="A1" t="s">
        <v>153</v>
      </c>
      <c r="B1">
        <v>7120.1109396036873</v>
      </c>
      <c r="E1" t="s">
        <v>162</v>
      </c>
      <c r="F1" t="s">
        <v>163</v>
      </c>
      <c r="G1">
        <f>(B1/B2)+(B1/(B2^2))</f>
        <v>1.1017542259241613</v>
      </c>
      <c r="I1" t="s">
        <v>167</v>
      </c>
    </row>
    <row r="2" spans="1:12">
      <c r="A2" t="s">
        <v>154</v>
      </c>
      <c r="B2">
        <v>6463.52185980987</v>
      </c>
      <c r="E2" t="s">
        <v>158</v>
      </c>
      <c r="F2">
        <f>B1/B2</f>
        <v>1.1015837950323155</v>
      </c>
    </row>
    <row r="3" spans="1:12">
      <c r="A3" t="s">
        <v>160</v>
      </c>
      <c r="B3">
        <v>0.54610815920357814</v>
      </c>
      <c r="E3" t="s">
        <v>157</v>
      </c>
      <c r="F3">
        <f>SUM(E6:E71)</f>
        <v>-62.164851172584498</v>
      </c>
    </row>
    <row r="4" spans="1:12">
      <c r="I4" t="s">
        <v>152</v>
      </c>
      <c r="J4" t="s">
        <v>168</v>
      </c>
      <c r="K4" t="s">
        <v>169</v>
      </c>
      <c r="L4" t="s">
        <v>170</v>
      </c>
    </row>
    <row r="5" spans="1:12">
      <c r="A5" t="s">
        <v>151</v>
      </c>
      <c r="B5" t="s">
        <v>152</v>
      </c>
      <c r="C5" t="s">
        <v>155</v>
      </c>
      <c r="D5" t="s">
        <v>161</v>
      </c>
      <c r="E5" t="s">
        <v>156</v>
      </c>
      <c r="I5">
        <v>0</v>
      </c>
      <c r="J5">
        <v>46</v>
      </c>
      <c r="K5">
        <f>F6</f>
        <v>45.999979065190217</v>
      </c>
      <c r="L5">
        <f>((J5-K5)^2)/K5</f>
        <v>9.5275317411044852E-12</v>
      </c>
    </row>
    <row r="6" spans="1:12">
      <c r="A6">
        <v>1950</v>
      </c>
      <c r="B6">
        <v>0</v>
      </c>
      <c r="C6">
        <f>(($B$2/($B$2+1))^$B$1)*((1/($B$2+1))^B6)*(EXP(GAMMALN($B$1+B6)-GAMMALN($B$1)-GAMMALN(B6+1)))</f>
        <v>0.3323726205505752</v>
      </c>
      <c r="D6">
        <f>IF(B6=0, $B$3+(1-$B$3)*C6, (1-$B$3)*C6)</f>
        <v>0.69696937977560935</v>
      </c>
      <c r="E6">
        <f>LN(D6)</f>
        <v>-0.36101380064199462</v>
      </c>
      <c r="F6">
        <f>D6*66</f>
        <v>45.999979065190217</v>
      </c>
      <c r="I6">
        <v>1</v>
      </c>
      <c r="J6">
        <v>11</v>
      </c>
      <c r="K6">
        <f>F8</f>
        <v>10.966597517455345</v>
      </c>
      <c r="L6">
        <f>((J6-K6)^2)/K6</f>
        <v>1.0173856005658396E-4</v>
      </c>
    </row>
    <row r="7" spans="1:12">
      <c r="A7">
        <v>1951</v>
      </c>
      <c r="B7">
        <v>0</v>
      </c>
      <c r="C7">
        <f t="shared" ref="C7:C70" si="0">(($B$2/($B$2+1))^$B$1)*((1/($B$2+1))^B7)*(EXP(GAMMALN($B$1+B7)-GAMMALN($B$1)-GAMMALN(B7+1)))</f>
        <v>0.3323726205505752</v>
      </c>
      <c r="D7">
        <f t="shared" ref="D7:D70" si="1">IF(B7=0, $B$3+(1-$B$3)*C7, (1-$B$3)*C7)</f>
        <v>0.69696937977560935</v>
      </c>
      <c r="E7">
        <f t="shared" ref="E7:E70" si="2">LN(D7)</f>
        <v>-0.36101380064199462</v>
      </c>
      <c r="F7">
        <f t="shared" ref="F7:F70" si="3">D7*66</f>
        <v>45.999979065190217</v>
      </c>
      <c r="I7">
        <v>2</v>
      </c>
      <c r="J7">
        <v>6</v>
      </c>
      <c r="K7">
        <f>F13</f>
        <v>6.0402268911117964</v>
      </c>
      <c r="L7">
        <f>((J7-K7)^2)/K7</f>
        <v>2.6790430188996974E-4</v>
      </c>
    </row>
    <row r="8" spans="1:12">
      <c r="A8">
        <v>1952</v>
      </c>
      <c r="B8">
        <v>1</v>
      </c>
      <c r="C8">
        <f t="shared" si="0"/>
        <v>0.36607965491236688</v>
      </c>
      <c r="D8">
        <f t="shared" si="1"/>
        <v>0.16616056844629309</v>
      </c>
      <c r="E8">
        <f t="shared" si="2"/>
        <v>-1.794800678342297</v>
      </c>
      <c r="F8">
        <f t="shared" si="3"/>
        <v>10.966597517455345</v>
      </c>
      <c r="I8">
        <v>3</v>
      </c>
      <c r="J8">
        <v>2</v>
      </c>
      <c r="K8">
        <f>F62</f>
        <v>2.2182185035953137</v>
      </c>
      <c r="L8">
        <f>((J8-K8)^2)/K8</f>
        <v>2.1467369077571036E-2</v>
      </c>
    </row>
    <row r="9" spans="1:12">
      <c r="A9">
        <v>1953</v>
      </c>
      <c r="B9">
        <v>0</v>
      </c>
      <c r="C9">
        <f t="shared" si="0"/>
        <v>0.3323726205505752</v>
      </c>
      <c r="D9">
        <f t="shared" si="1"/>
        <v>0.69696937977560935</v>
      </c>
      <c r="E9">
        <f t="shared" si="2"/>
        <v>-0.36101380064199462</v>
      </c>
      <c r="F9">
        <f t="shared" si="3"/>
        <v>45.999979065190217</v>
      </c>
      <c r="I9">
        <v>4</v>
      </c>
      <c r="J9">
        <v>1</v>
      </c>
      <c r="K9">
        <f>F55</f>
        <v>0.61105124369544006</v>
      </c>
      <c r="L9">
        <f>((J9-K9)^2)/K9</f>
        <v>0.24757520190281365</v>
      </c>
    </row>
    <row r="10" spans="1:12">
      <c r="A10">
        <v>1954</v>
      </c>
      <c r="B10">
        <v>0</v>
      </c>
      <c r="C10">
        <f t="shared" si="0"/>
        <v>0.3323726205505752</v>
      </c>
      <c r="D10">
        <f t="shared" si="1"/>
        <v>0.69696937977560935</v>
      </c>
      <c r="E10">
        <f t="shared" si="2"/>
        <v>-0.36101380064199462</v>
      </c>
      <c r="F10">
        <f t="shared" si="3"/>
        <v>45.999979065190217</v>
      </c>
      <c r="K10" t="s">
        <v>171</v>
      </c>
      <c r="L10">
        <f>SUM(L5:L9)</f>
        <v>0.26941221385185876</v>
      </c>
    </row>
    <row r="11" spans="1:12">
      <c r="A11">
        <v>1955</v>
      </c>
      <c r="B11">
        <v>0</v>
      </c>
      <c r="C11">
        <f t="shared" si="0"/>
        <v>0.3323726205505752</v>
      </c>
      <c r="D11">
        <f t="shared" si="1"/>
        <v>0.69696937977560935</v>
      </c>
      <c r="E11">
        <f t="shared" si="2"/>
        <v>-0.36101380064199462</v>
      </c>
      <c r="F11">
        <f t="shared" si="3"/>
        <v>45.999979065190217</v>
      </c>
      <c r="K11" t="s">
        <v>172</v>
      </c>
      <c r="L11">
        <v>1</v>
      </c>
    </row>
    <row r="12" spans="1:12">
      <c r="A12">
        <v>1956</v>
      </c>
      <c r="B12">
        <v>0</v>
      </c>
      <c r="C12">
        <f t="shared" si="0"/>
        <v>0.3323726205505752</v>
      </c>
      <c r="D12">
        <f t="shared" si="1"/>
        <v>0.69696937977560935</v>
      </c>
      <c r="E12">
        <f t="shared" si="2"/>
        <v>-0.36101380064199462</v>
      </c>
      <c r="F12">
        <f t="shared" si="3"/>
        <v>45.999979065190217</v>
      </c>
      <c r="K12" t="s">
        <v>173</v>
      </c>
      <c r="L12">
        <f>_xlfn.CHISQ.DIST.RT(L10,L11)</f>
        <v>0.6037263369331114</v>
      </c>
    </row>
    <row r="13" spans="1:12">
      <c r="A13">
        <v>1957</v>
      </c>
      <c r="B13">
        <v>2</v>
      </c>
      <c r="C13">
        <f t="shared" si="0"/>
        <v>0.20163083147449057</v>
      </c>
      <c r="D13">
        <f>IF(B13=0, $B$3+(1-$B$3)*C13, (1-$B$3)*C13)</f>
        <v>9.1518589259269645E-2</v>
      </c>
      <c r="E13">
        <f t="shared" si="2"/>
        <v>-2.3912131660316311</v>
      </c>
      <c r="F13">
        <f t="shared" si="3"/>
        <v>6.0402268911117964</v>
      </c>
    </row>
    <row r="14" spans="1:12">
      <c r="A14">
        <v>1958</v>
      </c>
      <c r="B14">
        <v>2</v>
      </c>
      <c r="C14">
        <f t="shared" si="0"/>
        <v>0.20163083147449057</v>
      </c>
      <c r="D14">
        <f t="shared" si="1"/>
        <v>9.1518589259269645E-2</v>
      </c>
      <c r="E14">
        <f t="shared" si="2"/>
        <v>-2.3912131660316311</v>
      </c>
      <c r="F14">
        <f t="shared" si="3"/>
        <v>6.0402268911117964</v>
      </c>
    </row>
    <row r="15" spans="1:12">
      <c r="A15">
        <v>1959</v>
      </c>
      <c r="B15">
        <v>1</v>
      </c>
      <c r="C15">
        <f t="shared" si="0"/>
        <v>0.36607965491236688</v>
      </c>
      <c r="D15">
        <f t="shared" si="1"/>
        <v>0.16616056844629309</v>
      </c>
      <c r="E15">
        <f t="shared" si="2"/>
        <v>-1.794800678342297</v>
      </c>
      <c r="F15">
        <f t="shared" si="3"/>
        <v>10.966597517455345</v>
      </c>
    </row>
    <row r="16" spans="1:12">
      <c r="A16">
        <v>1960</v>
      </c>
      <c r="B16">
        <v>0</v>
      </c>
      <c r="C16">
        <f t="shared" si="0"/>
        <v>0.3323726205505752</v>
      </c>
      <c r="D16">
        <f t="shared" si="1"/>
        <v>0.69696937977560935</v>
      </c>
      <c r="E16">
        <f t="shared" si="2"/>
        <v>-0.36101380064199462</v>
      </c>
      <c r="F16">
        <f t="shared" si="3"/>
        <v>45.999979065190217</v>
      </c>
    </row>
    <row r="17" spans="1:6">
      <c r="A17">
        <v>1961</v>
      </c>
      <c r="B17">
        <v>0</v>
      </c>
      <c r="C17">
        <f t="shared" si="0"/>
        <v>0.3323726205505752</v>
      </c>
      <c r="D17">
        <f t="shared" si="1"/>
        <v>0.69696937977560935</v>
      </c>
      <c r="E17">
        <f t="shared" si="2"/>
        <v>-0.36101380064199462</v>
      </c>
      <c r="F17">
        <f t="shared" si="3"/>
        <v>45.999979065190217</v>
      </c>
    </row>
    <row r="18" spans="1:6">
      <c r="A18">
        <v>1962</v>
      </c>
      <c r="B18">
        <v>0</v>
      </c>
      <c r="C18">
        <f t="shared" si="0"/>
        <v>0.3323726205505752</v>
      </c>
      <c r="D18">
        <f t="shared" si="1"/>
        <v>0.69696937977560935</v>
      </c>
      <c r="E18">
        <f t="shared" si="2"/>
        <v>-0.36101380064199462</v>
      </c>
      <c r="F18">
        <f t="shared" si="3"/>
        <v>45.999979065190217</v>
      </c>
    </row>
    <row r="19" spans="1:6">
      <c r="A19">
        <v>1963</v>
      </c>
      <c r="B19">
        <v>0</v>
      </c>
      <c r="C19">
        <f t="shared" si="0"/>
        <v>0.3323726205505752</v>
      </c>
      <c r="D19">
        <f t="shared" si="1"/>
        <v>0.69696937977560935</v>
      </c>
      <c r="E19">
        <f t="shared" si="2"/>
        <v>-0.36101380064199462</v>
      </c>
      <c r="F19">
        <f t="shared" si="3"/>
        <v>45.999979065190217</v>
      </c>
    </row>
    <row r="20" spans="1:6">
      <c r="A20">
        <v>1964</v>
      </c>
      <c r="B20">
        <v>1</v>
      </c>
      <c r="C20">
        <f t="shared" si="0"/>
        <v>0.36607965491236688</v>
      </c>
      <c r="D20">
        <f t="shared" si="1"/>
        <v>0.16616056844629309</v>
      </c>
      <c r="E20">
        <f t="shared" si="2"/>
        <v>-1.794800678342297</v>
      </c>
      <c r="F20">
        <f t="shared" si="3"/>
        <v>10.966597517455345</v>
      </c>
    </row>
    <row r="21" spans="1:6">
      <c r="A21">
        <v>1965</v>
      </c>
      <c r="B21">
        <v>0</v>
      </c>
      <c r="C21">
        <f t="shared" si="0"/>
        <v>0.3323726205505752</v>
      </c>
      <c r="D21">
        <f t="shared" si="1"/>
        <v>0.69696937977560935</v>
      </c>
      <c r="E21">
        <f t="shared" si="2"/>
        <v>-0.36101380064199462</v>
      </c>
      <c r="F21">
        <f t="shared" si="3"/>
        <v>45.999979065190217</v>
      </c>
    </row>
    <row r="22" spans="1:6">
      <c r="A22">
        <v>1966</v>
      </c>
      <c r="B22">
        <v>1</v>
      </c>
      <c r="C22">
        <f t="shared" si="0"/>
        <v>0.36607965491236688</v>
      </c>
      <c r="D22">
        <f t="shared" si="1"/>
        <v>0.16616056844629309</v>
      </c>
      <c r="E22">
        <f t="shared" si="2"/>
        <v>-1.794800678342297</v>
      </c>
      <c r="F22">
        <f t="shared" si="3"/>
        <v>10.966597517455345</v>
      </c>
    </row>
    <row r="23" spans="1:6">
      <c r="A23">
        <v>1967</v>
      </c>
      <c r="B23">
        <v>1</v>
      </c>
      <c r="C23">
        <f t="shared" si="0"/>
        <v>0.36607965491236688</v>
      </c>
      <c r="D23">
        <f t="shared" si="1"/>
        <v>0.16616056844629309</v>
      </c>
      <c r="E23">
        <f t="shared" si="2"/>
        <v>-1.794800678342297</v>
      </c>
      <c r="F23">
        <f t="shared" si="3"/>
        <v>10.966597517455345</v>
      </c>
    </row>
    <row r="24" spans="1:6">
      <c r="A24">
        <v>1968</v>
      </c>
      <c r="B24">
        <v>0</v>
      </c>
      <c r="C24">
        <f t="shared" si="0"/>
        <v>0.3323726205505752</v>
      </c>
      <c r="D24">
        <f t="shared" si="1"/>
        <v>0.69696937977560935</v>
      </c>
      <c r="E24">
        <f t="shared" si="2"/>
        <v>-0.36101380064199462</v>
      </c>
      <c r="F24">
        <f t="shared" si="3"/>
        <v>45.999979065190217</v>
      </c>
    </row>
    <row r="25" spans="1:6">
      <c r="A25">
        <v>1969</v>
      </c>
      <c r="B25">
        <v>1</v>
      </c>
      <c r="C25">
        <f t="shared" si="0"/>
        <v>0.36607965491236688</v>
      </c>
      <c r="D25">
        <f t="shared" si="1"/>
        <v>0.16616056844629309</v>
      </c>
      <c r="E25">
        <f t="shared" si="2"/>
        <v>-1.794800678342297</v>
      </c>
      <c r="F25">
        <f t="shared" si="3"/>
        <v>10.966597517455345</v>
      </c>
    </row>
    <row r="26" spans="1:6">
      <c r="A26">
        <v>1970</v>
      </c>
      <c r="B26">
        <v>0</v>
      </c>
      <c r="C26">
        <f t="shared" si="0"/>
        <v>0.3323726205505752</v>
      </c>
      <c r="D26">
        <f t="shared" si="1"/>
        <v>0.69696937977560935</v>
      </c>
      <c r="E26">
        <f t="shared" si="2"/>
        <v>-0.36101380064199462</v>
      </c>
      <c r="F26">
        <f t="shared" si="3"/>
        <v>45.999979065190217</v>
      </c>
    </row>
    <row r="27" spans="1:6">
      <c r="A27">
        <v>1971</v>
      </c>
      <c r="B27">
        <v>0</v>
      </c>
      <c r="C27">
        <f t="shared" si="0"/>
        <v>0.3323726205505752</v>
      </c>
      <c r="D27">
        <f t="shared" si="1"/>
        <v>0.69696937977560935</v>
      </c>
      <c r="E27">
        <f t="shared" si="2"/>
        <v>-0.36101380064199462</v>
      </c>
      <c r="F27">
        <f t="shared" si="3"/>
        <v>45.999979065190217</v>
      </c>
    </row>
    <row r="28" spans="1:6">
      <c r="A28">
        <v>1972</v>
      </c>
      <c r="B28">
        <v>0</v>
      </c>
      <c r="C28">
        <f t="shared" si="0"/>
        <v>0.3323726205505752</v>
      </c>
      <c r="D28">
        <f t="shared" si="1"/>
        <v>0.69696937977560935</v>
      </c>
      <c r="E28">
        <f t="shared" si="2"/>
        <v>-0.36101380064199462</v>
      </c>
      <c r="F28">
        <f t="shared" si="3"/>
        <v>45.999979065190217</v>
      </c>
    </row>
    <row r="29" spans="1:6">
      <c r="A29">
        <v>1973</v>
      </c>
      <c r="B29">
        <v>0</v>
      </c>
      <c r="C29">
        <f t="shared" si="0"/>
        <v>0.3323726205505752</v>
      </c>
      <c r="D29">
        <f t="shared" si="1"/>
        <v>0.69696937977560935</v>
      </c>
      <c r="E29">
        <f t="shared" si="2"/>
        <v>-0.36101380064199462</v>
      </c>
      <c r="F29">
        <f t="shared" si="3"/>
        <v>45.999979065190217</v>
      </c>
    </row>
    <row r="30" spans="1:6">
      <c r="A30">
        <v>1974</v>
      </c>
      <c r="B30">
        <v>0</v>
      </c>
      <c r="C30">
        <f t="shared" si="0"/>
        <v>0.3323726205505752</v>
      </c>
      <c r="D30">
        <f t="shared" si="1"/>
        <v>0.69696937977560935</v>
      </c>
      <c r="E30">
        <f t="shared" si="2"/>
        <v>-0.36101380064199462</v>
      </c>
      <c r="F30">
        <f t="shared" si="3"/>
        <v>45.999979065190217</v>
      </c>
    </row>
    <row r="31" spans="1:6">
      <c r="A31">
        <v>1975</v>
      </c>
      <c r="B31">
        <v>0</v>
      </c>
      <c r="C31">
        <f t="shared" si="0"/>
        <v>0.3323726205505752</v>
      </c>
      <c r="D31">
        <f t="shared" si="1"/>
        <v>0.69696937977560935</v>
      </c>
      <c r="E31">
        <f t="shared" si="2"/>
        <v>-0.36101380064199462</v>
      </c>
      <c r="F31">
        <f t="shared" si="3"/>
        <v>45.999979065190217</v>
      </c>
    </row>
    <row r="32" spans="1:6">
      <c r="A32">
        <v>1976</v>
      </c>
      <c r="B32">
        <v>0</v>
      </c>
      <c r="C32">
        <f t="shared" si="0"/>
        <v>0.3323726205505752</v>
      </c>
      <c r="D32">
        <f t="shared" si="1"/>
        <v>0.69696937977560935</v>
      </c>
      <c r="E32">
        <f t="shared" si="2"/>
        <v>-0.36101380064199462</v>
      </c>
      <c r="F32">
        <f t="shared" si="3"/>
        <v>45.999979065190217</v>
      </c>
    </row>
    <row r="33" spans="1:6">
      <c r="A33">
        <v>1977</v>
      </c>
      <c r="B33">
        <v>1</v>
      </c>
      <c r="C33">
        <f t="shared" si="0"/>
        <v>0.36607965491236688</v>
      </c>
      <c r="D33">
        <f t="shared" si="1"/>
        <v>0.16616056844629309</v>
      </c>
      <c r="E33">
        <f t="shared" si="2"/>
        <v>-1.794800678342297</v>
      </c>
      <c r="F33">
        <f t="shared" si="3"/>
        <v>10.966597517455345</v>
      </c>
    </row>
    <row r="34" spans="1:6">
      <c r="A34">
        <v>1978</v>
      </c>
      <c r="B34">
        <v>0</v>
      </c>
      <c r="C34">
        <f t="shared" si="0"/>
        <v>0.3323726205505752</v>
      </c>
      <c r="D34">
        <f t="shared" si="1"/>
        <v>0.69696937977560935</v>
      </c>
      <c r="E34">
        <f t="shared" si="2"/>
        <v>-0.36101380064199462</v>
      </c>
      <c r="F34">
        <f t="shared" si="3"/>
        <v>45.999979065190217</v>
      </c>
    </row>
    <row r="35" spans="1:6">
      <c r="A35">
        <v>1979</v>
      </c>
      <c r="B35">
        <v>1</v>
      </c>
      <c r="C35">
        <f t="shared" si="0"/>
        <v>0.36607965491236688</v>
      </c>
      <c r="D35">
        <f t="shared" si="1"/>
        <v>0.16616056844629309</v>
      </c>
      <c r="E35">
        <f t="shared" si="2"/>
        <v>-1.794800678342297</v>
      </c>
      <c r="F35">
        <f t="shared" si="3"/>
        <v>10.966597517455345</v>
      </c>
    </row>
    <row r="36" spans="1:6">
      <c r="A36">
        <v>1980</v>
      </c>
      <c r="B36">
        <v>1</v>
      </c>
      <c r="C36">
        <f t="shared" si="0"/>
        <v>0.36607965491236688</v>
      </c>
      <c r="D36">
        <f t="shared" si="1"/>
        <v>0.16616056844629309</v>
      </c>
      <c r="E36">
        <f t="shared" si="2"/>
        <v>-1.794800678342297</v>
      </c>
      <c r="F36">
        <f t="shared" si="3"/>
        <v>10.966597517455345</v>
      </c>
    </row>
    <row r="37" spans="1:6">
      <c r="A37">
        <v>1981</v>
      </c>
      <c r="B37">
        <v>1</v>
      </c>
      <c r="C37">
        <f t="shared" si="0"/>
        <v>0.36607965491236688</v>
      </c>
      <c r="D37">
        <f t="shared" si="1"/>
        <v>0.16616056844629309</v>
      </c>
      <c r="E37">
        <f t="shared" si="2"/>
        <v>-1.794800678342297</v>
      </c>
      <c r="F37">
        <f t="shared" si="3"/>
        <v>10.966597517455345</v>
      </c>
    </row>
    <row r="38" spans="1:6">
      <c r="A38">
        <v>1982</v>
      </c>
      <c r="B38">
        <v>0</v>
      </c>
      <c r="C38">
        <f t="shared" si="0"/>
        <v>0.3323726205505752</v>
      </c>
      <c r="D38">
        <f t="shared" si="1"/>
        <v>0.69696937977560935</v>
      </c>
      <c r="E38">
        <f t="shared" si="2"/>
        <v>-0.36101380064199462</v>
      </c>
      <c r="F38">
        <f t="shared" si="3"/>
        <v>45.999979065190217</v>
      </c>
    </row>
    <row r="39" spans="1:6">
      <c r="A39">
        <v>1983</v>
      </c>
      <c r="B39">
        <v>0</v>
      </c>
      <c r="C39">
        <f t="shared" si="0"/>
        <v>0.3323726205505752</v>
      </c>
      <c r="D39">
        <f t="shared" si="1"/>
        <v>0.69696937977560935</v>
      </c>
      <c r="E39">
        <f t="shared" si="2"/>
        <v>-0.36101380064199462</v>
      </c>
      <c r="F39">
        <f t="shared" si="3"/>
        <v>45.999979065190217</v>
      </c>
    </row>
    <row r="40" spans="1:6">
      <c r="A40">
        <v>1984</v>
      </c>
      <c r="B40">
        <v>0</v>
      </c>
      <c r="C40">
        <f t="shared" si="0"/>
        <v>0.3323726205505752</v>
      </c>
      <c r="D40">
        <f t="shared" si="1"/>
        <v>0.69696937977560935</v>
      </c>
      <c r="E40">
        <f t="shared" si="2"/>
        <v>-0.36101380064199462</v>
      </c>
      <c r="F40">
        <f t="shared" si="3"/>
        <v>45.999979065190217</v>
      </c>
    </row>
    <row r="41" spans="1:6">
      <c r="A41">
        <v>1985</v>
      </c>
      <c r="B41">
        <v>0</v>
      </c>
      <c r="C41">
        <f t="shared" si="0"/>
        <v>0.3323726205505752</v>
      </c>
      <c r="D41">
        <f t="shared" si="1"/>
        <v>0.69696937977560935</v>
      </c>
      <c r="E41">
        <f t="shared" si="2"/>
        <v>-0.36101380064199462</v>
      </c>
      <c r="F41">
        <f t="shared" si="3"/>
        <v>45.999979065190217</v>
      </c>
    </row>
    <row r="42" spans="1:6">
      <c r="A42">
        <v>1986</v>
      </c>
      <c r="B42">
        <v>2</v>
      </c>
      <c r="C42">
        <f t="shared" si="0"/>
        <v>0.20163083147449057</v>
      </c>
      <c r="D42">
        <f t="shared" si="1"/>
        <v>9.1518589259269645E-2</v>
      </c>
      <c r="E42">
        <f t="shared" si="2"/>
        <v>-2.3912131660316311</v>
      </c>
      <c r="F42">
        <f t="shared" si="3"/>
        <v>6.0402268911117964</v>
      </c>
    </row>
    <row r="43" spans="1:6">
      <c r="A43">
        <v>1987</v>
      </c>
      <c r="B43">
        <v>0</v>
      </c>
      <c r="C43">
        <f t="shared" si="0"/>
        <v>0.3323726205505752</v>
      </c>
      <c r="D43">
        <f t="shared" si="1"/>
        <v>0.69696937977560935</v>
      </c>
      <c r="E43">
        <f t="shared" si="2"/>
        <v>-0.36101380064199462</v>
      </c>
      <c r="F43">
        <f t="shared" si="3"/>
        <v>45.999979065190217</v>
      </c>
    </row>
    <row r="44" spans="1:6">
      <c r="A44">
        <v>1988</v>
      </c>
      <c r="B44">
        <v>0</v>
      </c>
      <c r="C44">
        <f t="shared" si="0"/>
        <v>0.3323726205505752</v>
      </c>
      <c r="D44">
        <f t="shared" si="1"/>
        <v>0.69696937977560935</v>
      </c>
      <c r="E44">
        <f t="shared" si="2"/>
        <v>-0.36101380064199462</v>
      </c>
      <c r="F44">
        <f t="shared" si="3"/>
        <v>45.999979065190217</v>
      </c>
    </row>
    <row r="45" spans="1:6">
      <c r="A45">
        <v>1989</v>
      </c>
      <c r="B45">
        <v>2</v>
      </c>
      <c r="C45">
        <f t="shared" si="0"/>
        <v>0.20163083147449057</v>
      </c>
      <c r="D45">
        <f t="shared" si="1"/>
        <v>9.1518589259269645E-2</v>
      </c>
      <c r="E45">
        <f t="shared" si="2"/>
        <v>-2.3912131660316311</v>
      </c>
      <c r="F45">
        <f t="shared" si="3"/>
        <v>6.0402268911117964</v>
      </c>
    </row>
    <row r="46" spans="1:6">
      <c r="A46">
        <v>1990</v>
      </c>
      <c r="B46">
        <v>0</v>
      </c>
      <c r="C46">
        <f t="shared" si="0"/>
        <v>0.3323726205505752</v>
      </c>
      <c r="D46">
        <f t="shared" si="1"/>
        <v>0.69696937977560935</v>
      </c>
      <c r="E46">
        <f t="shared" si="2"/>
        <v>-0.36101380064199462</v>
      </c>
      <c r="F46">
        <f t="shared" si="3"/>
        <v>45.999979065190217</v>
      </c>
    </row>
    <row r="47" spans="1:6">
      <c r="A47">
        <v>1991</v>
      </c>
      <c r="B47">
        <v>0</v>
      </c>
      <c r="C47">
        <f t="shared" si="0"/>
        <v>0.3323726205505752</v>
      </c>
      <c r="D47">
        <f t="shared" si="1"/>
        <v>0.69696937977560935</v>
      </c>
      <c r="E47">
        <f t="shared" si="2"/>
        <v>-0.36101380064199462</v>
      </c>
      <c r="F47">
        <f t="shared" si="3"/>
        <v>45.999979065190217</v>
      </c>
    </row>
    <row r="48" spans="1:6">
      <c r="A48">
        <v>1992</v>
      </c>
      <c r="B48">
        <v>0</v>
      </c>
      <c r="C48">
        <f t="shared" si="0"/>
        <v>0.3323726205505752</v>
      </c>
      <c r="D48">
        <f t="shared" si="1"/>
        <v>0.69696937977560935</v>
      </c>
      <c r="E48">
        <f t="shared" si="2"/>
        <v>-0.36101380064199462</v>
      </c>
      <c r="F48">
        <f t="shared" si="3"/>
        <v>45.999979065190217</v>
      </c>
    </row>
    <row r="49" spans="1:6">
      <c r="A49">
        <v>1993</v>
      </c>
      <c r="B49">
        <v>2</v>
      </c>
      <c r="C49">
        <f t="shared" si="0"/>
        <v>0.20163083147449057</v>
      </c>
      <c r="D49">
        <f t="shared" si="1"/>
        <v>9.1518589259269645E-2</v>
      </c>
      <c r="E49">
        <f t="shared" si="2"/>
        <v>-2.3912131660316311</v>
      </c>
      <c r="F49">
        <f t="shared" si="3"/>
        <v>6.0402268911117964</v>
      </c>
    </row>
    <row r="50" spans="1:6">
      <c r="A50">
        <v>1994</v>
      </c>
      <c r="B50">
        <v>0</v>
      </c>
      <c r="C50">
        <f t="shared" si="0"/>
        <v>0.3323726205505752</v>
      </c>
      <c r="D50">
        <f t="shared" si="1"/>
        <v>0.69696937977560935</v>
      </c>
      <c r="E50">
        <f t="shared" si="2"/>
        <v>-0.36101380064199462</v>
      </c>
      <c r="F50">
        <f t="shared" si="3"/>
        <v>45.999979065190217</v>
      </c>
    </row>
    <row r="51" spans="1:6">
      <c r="A51">
        <v>1995</v>
      </c>
      <c r="B51">
        <v>0</v>
      </c>
      <c r="C51">
        <f t="shared" si="0"/>
        <v>0.3323726205505752</v>
      </c>
      <c r="D51">
        <f t="shared" si="1"/>
        <v>0.69696937977560935</v>
      </c>
      <c r="E51">
        <f t="shared" si="2"/>
        <v>-0.36101380064199462</v>
      </c>
      <c r="F51">
        <f t="shared" si="3"/>
        <v>45.999979065190217</v>
      </c>
    </row>
    <row r="52" spans="1:6">
      <c r="A52">
        <v>1996</v>
      </c>
      <c r="B52">
        <v>0</v>
      </c>
      <c r="C52">
        <f t="shared" si="0"/>
        <v>0.3323726205505752</v>
      </c>
      <c r="D52">
        <f t="shared" si="1"/>
        <v>0.69696937977560935</v>
      </c>
      <c r="E52">
        <f t="shared" si="2"/>
        <v>-0.36101380064199462</v>
      </c>
      <c r="F52">
        <f t="shared" si="3"/>
        <v>45.999979065190217</v>
      </c>
    </row>
    <row r="53" spans="1:6">
      <c r="A53">
        <v>1997</v>
      </c>
      <c r="B53">
        <v>0</v>
      </c>
      <c r="C53">
        <f t="shared" si="0"/>
        <v>0.3323726205505752</v>
      </c>
      <c r="D53">
        <f t="shared" si="1"/>
        <v>0.69696937977560935</v>
      </c>
      <c r="E53">
        <f t="shared" si="2"/>
        <v>-0.36101380064199462</v>
      </c>
      <c r="F53">
        <f t="shared" si="3"/>
        <v>45.999979065190217</v>
      </c>
    </row>
    <row r="54" spans="1:6">
      <c r="A54">
        <v>1998</v>
      </c>
      <c r="B54">
        <v>0</v>
      </c>
      <c r="C54">
        <f t="shared" si="0"/>
        <v>0.3323726205505752</v>
      </c>
      <c r="D54">
        <f t="shared" si="1"/>
        <v>0.69696937977560935</v>
      </c>
      <c r="E54">
        <f t="shared" si="2"/>
        <v>-0.36101380064199462</v>
      </c>
      <c r="F54">
        <f t="shared" si="3"/>
        <v>45.999979065190217</v>
      </c>
    </row>
    <row r="55" spans="1:6">
      <c r="A55">
        <v>1999</v>
      </c>
      <c r="B55">
        <v>4</v>
      </c>
      <c r="C55">
        <f t="shared" si="0"/>
        <v>2.039770567578051E-2</v>
      </c>
      <c r="D55">
        <f t="shared" si="1"/>
        <v>9.2583521772036381E-3</v>
      </c>
      <c r="E55">
        <f t="shared" si="2"/>
        <v>-4.6822291967850971</v>
      </c>
      <c r="F55">
        <f t="shared" si="3"/>
        <v>0.61105124369544006</v>
      </c>
    </row>
    <row r="56" spans="1:6">
      <c r="A56">
        <v>2000</v>
      </c>
      <c r="B56">
        <v>0</v>
      </c>
      <c r="C56">
        <f t="shared" si="0"/>
        <v>0.3323726205505752</v>
      </c>
      <c r="D56">
        <f t="shared" si="1"/>
        <v>0.69696937977560935</v>
      </c>
      <c r="E56">
        <f t="shared" si="2"/>
        <v>-0.36101380064199462</v>
      </c>
      <c r="F56">
        <f t="shared" si="3"/>
        <v>45.999979065190217</v>
      </c>
    </row>
    <row r="57" spans="1:6">
      <c r="A57">
        <v>2001</v>
      </c>
      <c r="B57">
        <v>0</v>
      </c>
      <c r="C57">
        <f t="shared" si="0"/>
        <v>0.3323726205505752</v>
      </c>
      <c r="D57">
        <f t="shared" si="1"/>
        <v>0.69696937977560935</v>
      </c>
      <c r="E57">
        <f t="shared" si="2"/>
        <v>-0.36101380064199462</v>
      </c>
      <c r="F57">
        <f t="shared" si="3"/>
        <v>45.999979065190217</v>
      </c>
    </row>
    <row r="58" spans="1:6">
      <c r="A58">
        <v>2002</v>
      </c>
      <c r="B58">
        <v>0</v>
      </c>
      <c r="C58">
        <f t="shared" si="0"/>
        <v>0.3323726205505752</v>
      </c>
      <c r="D58">
        <f t="shared" si="1"/>
        <v>0.69696937977560935</v>
      </c>
      <c r="E58">
        <f t="shared" si="2"/>
        <v>-0.36101380064199462</v>
      </c>
      <c r="F58">
        <f t="shared" si="3"/>
        <v>45.999979065190217</v>
      </c>
    </row>
    <row r="59" spans="1:6">
      <c r="A59">
        <v>2003</v>
      </c>
      <c r="B59">
        <v>1</v>
      </c>
      <c r="C59">
        <f t="shared" si="0"/>
        <v>0.36607965491236688</v>
      </c>
      <c r="D59">
        <f t="shared" si="1"/>
        <v>0.16616056844629309</v>
      </c>
      <c r="E59">
        <f t="shared" si="2"/>
        <v>-1.794800678342297</v>
      </c>
      <c r="F59">
        <f t="shared" si="3"/>
        <v>10.966597517455345</v>
      </c>
    </row>
    <row r="60" spans="1:6">
      <c r="A60">
        <v>2004</v>
      </c>
      <c r="B60">
        <v>0</v>
      </c>
      <c r="C60">
        <f t="shared" si="0"/>
        <v>0.3323726205505752</v>
      </c>
      <c r="D60">
        <f t="shared" si="1"/>
        <v>0.69696937977560935</v>
      </c>
      <c r="E60">
        <f t="shared" si="2"/>
        <v>-0.36101380064199462</v>
      </c>
      <c r="F60">
        <f t="shared" si="3"/>
        <v>45.999979065190217</v>
      </c>
    </row>
    <row r="61" spans="1:6">
      <c r="A61">
        <v>2005</v>
      </c>
      <c r="B61">
        <v>3</v>
      </c>
      <c r="C61">
        <f t="shared" si="0"/>
        <v>7.4047092821988028E-2</v>
      </c>
      <c r="D61">
        <f t="shared" si="1"/>
        <v>3.3609371266595661E-2</v>
      </c>
      <c r="E61">
        <f t="shared" si="2"/>
        <v>-3.3929503441563154</v>
      </c>
      <c r="F61">
        <f t="shared" si="3"/>
        <v>2.2182185035953137</v>
      </c>
    </row>
    <row r="62" spans="1:6">
      <c r="A62">
        <v>2006</v>
      </c>
      <c r="B62">
        <v>3</v>
      </c>
      <c r="C62">
        <f t="shared" si="0"/>
        <v>7.4047092821988028E-2</v>
      </c>
      <c r="D62">
        <f t="shared" si="1"/>
        <v>3.3609371266595661E-2</v>
      </c>
      <c r="E62">
        <f t="shared" si="2"/>
        <v>-3.3929503441563154</v>
      </c>
      <c r="F62">
        <f t="shared" si="3"/>
        <v>2.2182185035953137</v>
      </c>
    </row>
    <row r="63" spans="1:6">
      <c r="A63">
        <v>2007</v>
      </c>
      <c r="B63">
        <v>0</v>
      </c>
      <c r="C63">
        <f t="shared" si="0"/>
        <v>0.3323726205505752</v>
      </c>
      <c r="D63">
        <f t="shared" si="1"/>
        <v>0.69696937977560935</v>
      </c>
      <c r="E63">
        <f t="shared" si="2"/>
        <v>-0.36101380064199462</v>
      </c>
      <c r="F63">
        <f t="shared" si="3"/>
        <v>45.999979065190217</v>
      </c>
    </row>
    <row r="64" spans="1:6">
      <c r="A64">
        <v>2008</v>
      </c>
      <c r="B64">
        <v>0</v>
      </c>
      <c r="C64">
        <f t="shared" si="0"/>
        <v>0.3323726205505752</v>
      </c>
      <c r="D64">
        <f t="shared" si="1"/>
        <v>0.69696937977560935</v>
      </c>
      <c r="E64">
        <f t="shared" si="2"/>
        <v>-0.36101380064199462</v>
      </c>
      <c r="F64">
        <f t="shared" si="3"/>
        <v>45.999979065190217</v>
      </c>
    </row>
    <row r="65" spans="1:6">
      <c r="A65">
        <v>2009</v>
      </c>
      <c r="B65">
        <v>0</v>
      </c>
      <c r="C65">
        <f t="shared" si="0"/>
        <v>0.3323726205505752</v>
      </c>
      <c r="D65">
        <f t="shared" si="1"/>
        <v>0.69696937977560935</v>
      </c>
      <c r="E65">
        <f t="shared" si="2"/>
        <v>-0.36101380064199462</v>
      </c>
      <c r="F65">
        <f t="shared" si="3"/>
        <v>45.999979065190217</v>
      </c>
    </row>
    <row r="66" spans="1:6">
      <c r="A66">
        <v>2010</v>
      </c>
      <c r="B66">
        <v>0</v>
      </c>
      <c r="C66">
        <f t="shared" si="0"/>
        <v>0.3323726205505752</v>
      </c>
      <c r="D66">
        <f t="shared" si="1"/>
        <v>0.69696937977560935</v>
      </c>
      <c r="E66">
        <f t="shared" si="2"/>
        <v>-0.36101380064199462</v>
      </c>
      <c r="F66">
        <f t="shared" si="3"/>
        <v>45.999979065190217</v>
      </c>
    </row>
    <row r="67" spans="1:6">
      <c r="A67">
        <v>2011</v>
      </c>
      <c r="B67">
        <v>2</v>
      </c>
      <c r="C67">
        <f t="shared" si="0"/>
        <v>0.20163083147449057</v>
      </c>
      <c r="D67">
        <f t="shared" si="1"/>
        <v>9.1518589259269645E-2</v>
      </c>
      <c r="E67">
        <f t="shared" si="2"/>
        <v>-2.3912131660316311</v>
      </c>
      <c r="F67">
        <f t="shared" si="3"/>
        <v>6.0402268911117964</v>
      </c>
    </row>
    <row r="68" spans="1:6">
      <c r="A68">
        <v>2012</v>
      </c>
      <c r="B68">
        <v>0</v>
      </c>
      <c r="C68">
        <f t="shared" si="0"/>
        <v>0.3323726205505752</v>
      </c>
      <c r="D68">
        <f t="shared" si="1"/>
        <v>0.69696937977560935</v>
      </c>
      <c r="E68">
        <f t="shared" si="2"/>
        <v>-0.36101380064199462</v>
      </c>
      <c r="F68">
        <f t="shared" si="3"/>
        <v>45.999979065190217</v>
      </c>
    </row>
    <row r="69" spans="1:6">
      <c r="A69">
        <v>2013</v>
      </c>
      <c r="B69">
        <v>0</v>
      </c>
      <c r="C69">
        <f t="shared" si="0"/>
        <v>0.3323726205505752</v>
      </c>
      <c r="D69">
        <f t="shared" si="1"/>
        <v>0.69696937977560935</v>
      </c>
      <c r="E69">
        <f t="shared" si="2"/>
        <v>-0.36101380064199462</v>
      </c>
      <c r="F69">
        <f t="shared" si="3"/>
        <v>45.999979065190217</v>
      </c>
    </row>
    <row r="70" spans="1:6">
      <c r="A70">
        <v>2014</v>
      </c>
      <c r="B70">
        <v>0</v>
      </c>
      <c r="C70">
        <f t="shared" si="0"/>
        <v>0.3323726205505752</v>
      </c>
      <c r="D70">
        <f t="shared" si="1"/>
        <v>0.69696937977560935</v>
      </c>
      <c r="E70">
        <f t="shared" si="2"/>
        <v>-0.36101380064199462</v>
      </c>
      <c r="F70">
        <f t="shared" si="3"/>
        <v>45.999979065190217</v>
      </c>
    </row>
    <row r="71" spans="1:6">
      <c r="A71">
        <v>2015</v>
      </c>
      <c r="B71">
        <v>0</v>
      </c>
      <c r="C71">
        <f>(($B$2/($B$2+1))^$B$1)*((1/($B$2+1))^B71)*(EXP(GAMMALN($B$1+B71)-GAMMALN($B$1)-GAMMALN(B71+1)))</f>
        <v>0.3323726205505752</v>
      </c>
      <c r="D71">
        <f>IF(B71=0, $B$3+(1-$B$3)*C71, (1-$B$3)*C71)</f>
        <v>0.69696937977560935</v>
      </c>
      <c r="E71">
        <f>LN(D71)</f>
        <v>-0.36101380064199462</v>
      </c>
      <c r="F71">
        <f>D71*66</f>
        <v>45.999979065190217</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72"/>
  <sheetViews>
    <sheetView topLeftCell="A34" workbookViewId="0">
      <selection activeCell="B73" sqref="B73"/>
    </sheetView>
  </sheetViews>
  <sheetFormatPr baseColWidth="10" defaultRowHeight="12" x14ac:dyDescent="0"/>
  <cols>
    <col min="2" max="2" width="11" bestFit="1" customWidth="1"/>
    <col min="4" max="5" width="11.6640625" bestFit="1" customWidth="1"/>
    <col min="6" max="6" width="11" bestFit="1" customWidth="1"/>
  </cols>
  <sheetData>
    <row r="5" spans="1:5">
      <c r="A5" t="s">
        <v>151</v>
      </c>
      <c r="B5" t="s">
        <v>152</v>
      </c>
      <c r="D5" t="s">
        <v>152</v>
      </c>
      <c r="E5" t="s">
        <v>166</v>
      </c>
    </row>
    <row r="6" spans="1:5">
      <c r="A6">
        <v>1950</v>
      </c>
      <c r="B6">
        <v>0</v>
      </c>
      <c r="D6">
        <v>0</v>
      </c>
      <c r="E6">
        <v>46</v>
      </c>
    </row>
    <row r="7" spans="1:5">
      <c r="A7">
        <v>1951</v>
      </c>
      <c r="B7">
        <v>0</v>
      </c>
      <c r="D7">
        <v>1</v>
      </c>
      <c r="E7">
        <v>11</v>
      </c>
    </row>
    <row r="8" spans="1:5">
      <c r="A8">
        <v>1952</v>
      </c>
      <c r="B8">
        <v>1</v>
      </c>
      <c r="D8">
        <v>2</v>
      </c>
      <c r="E8">
        <v>6</v>
      </c>
    </row>
    <row r="9" spans="1:5">
      <c r="A9">
        <v>1953</v>
      </c>
      <c r="B9">
        <v>0</v>
      </c>
      <c r="D9">
        <v>3</v>
      </c>
      <c r="E9">
        <v>2</v>
      </c>
    </row>
    <row r="10" spans="1:5">
      <c r="A10">
        <v>1954</v>
      </c>
      <c r="B10">
        <v>0</v>
      </c>
      <c r="D10">
        <v>4</v>
      </c>
      <c r="E10">
        <v>1</v>
      </c>
    </row>
    <row r="11" spans="1:5">
      <c r="A11">
        <v>1955</v>
      </c>
      <c r="B11">
        <v>0</v>
      </c>
    </row>
    <row r="12" spans="1:5">
      <c r="A12">
        <v>1956</v>
      </c>
      <c r="B12">
        <v>0</v>
      </c>
    </row>
    <row r="13" spans="1:5">
      <c r="A13">
        <v>1957</v>
      </c>
      <c r="B13">
        <v>2</v>
      </c>
    </row>
    <row r="14" spans="1:5">
      <c r="A14">
        <v>1958</v>
      </c>
      <c r="B14">
        <v>2</v>
      </c>
    </row>
    <row r="15" spans="1:5">
      <c r="A15">
        <v>1959</v>
      </c>
      <c r="B15">
        <v>1</v>
      </c>
    </row>
    <row r="16" spans="1:5">
      <c r="A16">
        <v>1960</v>
      </c>
      <c r="B16">
        <v>0</v>
      </c>
    </row>
    <row r="17" spans="1:2">
      <c r="A17">
        <v>1961</v>
      </c>
      <c r="B17">
        <v>0</v>
      </c>
    </row>
    <row r="18" spans="1:2">
      <c r="A18">
        <v>1962</v>
      </c>
      <c r="B18">
        <v>0</v>
      </c>
    </row>
    <row r="19" spans="1:2">
      <c r="A19">
        <v>1963</v>
      </c>
      <c r="B19">
        <v>0</v>
      </c>
    </row>
    <row r="20" spans="1:2">
      <c r="A20">
        <v>1964</v>
      </c>
      <c r="B20">
        <v>1</v>
      </c>
    </row>
    <row r="21" spans="1:2">
      <c r="A21">
        <v>1965</v>
      </c>
      <c r="B21">
        <v>0</v>
      </c>
    </row>
    <row r="22" spans="1:2">
      <c r="A22">
        <v>1966</v>
      </c>
      <c r="B22">
        <v>1</v>
      </c>
    </row>
    <row r="23" spans="1:2">
      <c r="A23">
        <v>1967</v>
      </c>
      <c r="B23">
        <v>1</v>
      </c>
    </row>
    <row r="24" spans="1:2">
      <c r="A24">
        <v>1968</v>
      </c>
      <c r="B24">
        <v>0</v>
      </c>
    </row>
    <row r="25" spans="1:2">
      <c r="A25">
        <v>1969</v>
      </c>
      <c r="B25">
        <v>1</v>
      </c>
    </row>
    <row r="26" spans="1:2">
      <c r="A26">
        <v>1970</v>
      </c>
      <c r="B26">
        <v>0</v>
      </c>
    </row>
    <row r="27" spans="1:2">
      <c r="A27">
        <v>1971</v>
      </c>
      <c r="B27">
        <v>0</v>
      </c>
    </row>
    <row r="28" spans="1:2">
      <c r="A28">
        <v>1972</v>
      </c>
      <c r="B28">
        <v>0</v>
      </c>
    </row>
    <row r="29" spans="1:2">
      <c r="A29">
        <v>1973</v>
      </c>
      <c r="B29">
        <v>0</v>
      </c>
    </row>
    <row r="30" spans="1:2">
      <c r="A30">
        <v>1974</v>
      </c>
      <c r="B30">
        <v>0</v>
      </c>
    </row>
    <row r="31" spans="1:2">
      <c r="A31">
        <v>1975</v>
      </c>
      <c r="B31">
        <v>0</v>
      </c>
    </row>
    <row r="32" spans="1:2">
      <c r="A32">
        <v>1976</v>
      </c>
      <c r="B32">
        <v>0</v>
      </c>
    </row>
    <row r="33" spans="1:2">
      <c r="A33">
        <v>1977</v>
      </c>
      <c r="B33">
        <v>1</v>
      </c>
    </row>
    <row r="34" spans="1:2">
      <c r="A34">
        <v>1978</v>
      </c>
      <c r="B34">
        <v>0</v>
      </c>
    </row>
    <row r="35" spans="1:2">
      <c r="A35">
        <v>1979</v>
      </c>
      <c r="B35">
        <v>1</v>
      </c>
    </row>
    <row r="36" spans="1:2">
      <c r="A36">
        <v>1980</v>
      </c>
      <c r="B36">
        <v>1</v>
      </c>
    </row>
    <row r="37" spans="1:2">
      <c r="A37">
        <v>1981</v>
      </c>
      <c r="B37">
        <v>1</v>
      </c>
    </row>
    <row r="38" spans="1:2">
      <c r="A38">
        <v>1982</v>
      </c>
      <c r="B38">
        <v>0</v>
      </c>
    </row>
    <row r="39" spans="1:2">
      <c r="A39">
        <v>1983</v>
      </c>
      <c r="B39">
        <v>0</v>
      </c>
    </row>
    <row r="40" spans="1:2">
      <c r="A40">
        <v>1984</v>
      </c>
      <c r="B40">
        <v>0</v>
      </c>
    </row>
    <row r="41" spans="1:2">
      <c r="A41">
        <v>1985</v>
      </c>
      <c r="B41">
        <v>0</v>
      </c>
    </row>
    <row r="42" spans="1:2">
      <c r="A42">
        <v>1986</v>
      </c>
      <c r="B42">
        <v>2</v>
      </c>
    </row>
    <row r="43" spans="1:2">
      <c r="A43">
        <v>1987</v>
      </c>
      <c r="B43">
        <v>0</v>
      </c>
    </row>
    <row r="44" spans="1:2">
      <c r="A44">
        <v>1988</v>
      </c>
      <c r="B44">
        <v>0</v>
      </c>
    </row>
    <row r="45" spans="1:2">
      <c r="A45">
        <v>1989</v>
      </c>
      <c r="B45">
        <v>2</v>
      </c>
    </row>
    <row r="46" spans="1:2">
      <c r="A46">
        <v>1990</v>
      </c>
      <c r="B46">
        <v>0</v>
      </c>
    </row>
    <row r="47" spans="1:2">
      <c r="A47">
        <v>1991</v>
      </c>
      <c r="B47">
        <v>0</v>
      </c>
    </row>
    <row r="48" spans="1:2">
      <c r="A48">
        <v>1992</v>
      </c>
      <c r="B48">
        <v>0</v>
      </c>
    </row>
    <row r="49" spans="1:2">
      <c r="A49">
        <v>1993</v>
      </c>
      <c r="B49">
        <v>2</v>
      </c>
    </row>
    <row r="50" spans="1:2">
      <c r="A50">
        <v>1994</v>
      </c>
      <c r="B50">
        <v>0</v>
      </c>
    </row>
    <row r="51" spans="1:2">
      <c r="A51">
        <v>1995</v>
      </c>
      <c r="B51">
        <v>0</v>
      </c>
    </row>
    <row r="52" spans="1:2">
      <c r="A52">
        <v>1996</v>
      </c>
      <c r="B52">
        <v>0</v>
      </c>
    </row>
    <row r="53" spans="1:2">
      <c r="A53">
        <v>1997</v>
      </c>
      <c r="B53">
        <v>0</v>
      </c>
    </row>
    <row r="54" spans="1:2">
      <c r="A54">
        <v>1998</v>
      </c>
      <c r="B54">
        <v>0</v>
      </c>
    </row>
    <row r="55" spans="1:2">
      <c r="A55">
        <v>1999</v>
      </c>
      <c r="B55">
        <v>4</v>
      </c>
    </row>
    <row r="56" spans="1:2">
      <c r="A56">
        <v>2000</v>
      </c>
      <c r="B56">
        <v>0</v>
      </c>
    </row>
    <row r="57" spans="1:2">
      <c r="A57">
        <v>2001</v>
      </c>
      <c r="B57">
        <v>0</v>
      </c>
    </row>
    <row r="58" spans="1:2">
      <c r="A58">
        <v>2002</v>
      </c>
      <c r="B58">
        <v>0</v>
      </c>
    </row>
    <row r="59" spans="1:2">
      <c r="A59">
        <v>2003</v>
      </c>
      <c r="B59">
        <v>1</v>
      </c>
    </row>
    <row r="60" spans="1:2">
      <c r="A60">
        <v>2004</v>
      </c>
      <c r="B60">
        <v>0</v>
      </c>
    </row>
    <row r="61" spans="1:2">
      <c r="A61">
        <v>2005</v>
      </c>
      <c r="B61">
        <v>3</v>
      </c>
    </row>
    <row r="62" spans="1:2">
      <c r="A62">
        <v>2006</v>
      </c>
      <c r="B62">
        <v>3</v>
      </c>
    </row>
    <row r="63" spans="1:2">
      <c r="A63">
        <v>2007</v>
      </c>
      <c r="B63">
        <v>0</v>
      </c>
    </row>
    <row r="64" spans="1:2">
      <c r="A64">
        <v>2008</v>
      </c>
      <c r="B64">
        <v>0</v>
      </c>
    </row>
    <row r="65" spans="1:2">
      <c r="A65">
        <v>2009</v>
      </c>
      <c r="B65">
        <v>0</v>
      </c>
    </row>
    <row r="66" spans="1:2">
      <c r="A66">
        <v>2010</v>
      </c>
      <c r="B66">
        <v>0</v>
      </c>
    </row>
    <row r="67" spans="1:2">
      <c r="A67">
        <v>2011</v>
      </c>
      <c r="B67">
        <v>2</v>
      </c>
    </row>
    <row r="68" spans="1:2">
      <c r="A68">
        <v>2012</v>
      </c>
      <c r="B68">
        <v>0</v>
      </c>
    </row>
    <row r="69" spans="1:2">
      <c r="A69">
        <v>2013</v>
      </c>
      <c r="B69">
        <v>0</v>
      </c>
    </row>
    <row r="70" spans="1:2">
      <c r="A70">
        <v>2014</v>
      </c>
      <c r="B70">
        <v>0</v>
      </c>
    </row>
    <row r="71" spans="1:2">
      <c r="A71">
        <v>2015</v>
      </c>
      <c r="B71">
        <v>0</v>
      </c>
    </row>
    <row r="72" spans="1:2">
      <c r="B72">
        <f>VAR(B6:B71)</f>
        <v>0.80769230769230771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workbookViewId="0">
      <selection activeCell="E6" sqref="E6:E38"/>
    </sheetView>
  </sheetViews>
  <sheetFormatPr baseColWidth="10" defaultRowHeight="12" x14ac:dyDescent="0"/>
  <cols>
    <col min="3" max="3" width="11" bestFit="1" customWidth="1"/>
    <col min="4" max="5" width="11.6640625" bestFit="1" customWidth="1"/>
    <col min="6" max="6" width="11" bestFit="1" customWidth="1"/>
    <col min="8" max="8" width="14.83203125" bestFit="1" customWidth="1"/>
    <col min="9" max="9" width="11.33203125" bestFit="1" customWidth="1"/>
    <col min="10" max="10" width="16.5" customWidth="1"/>
    <col min="11" max="11" width="15.5" bestFit="1" customWidth="1"/>
    <col min="12" max="12" width="14.83203125" bestFit="1" customWidth="1"/>
  </cols>
  <sheetData>
    <row r="1" spans="1:12" ht="30">
      <c r="A1" t="s">
        <v>153</v>
      </c>
      <c r="B1">
        <v>0.24554692987360255</v>
      </c>
      <c r="D1" t="s">
        <v>162</v>
      </c>
      <c r="E1" t="s">
        <v>163</v>
      </c>
      <c r="F1">
        <f>(B1/B2)+(B1/(B2^2))</f>
        <v>1.9258056573355107</v>
      </c>
      <c r="G1" s="49" t="s">
        <v>153</v>
      </c>
      <c r="H1" s="51">
        <v>0.64626877583187525</v>
      </c>
      <c r="I1" s="67"/>
      <c r="J1" s="49" t="s">
        <v>162</v>
      </c>
      <c r="K1" s="67" t="s">
        <v>163</v>
      </c>
      <c r="L1" s="51">
        <f>(H1/H2)+(H1/(H2^2))</f>
        <v>0.88685496736583991</v>
      </c>
    </row>
    <row r="2" spans="1:12" ht="15">
      <c r="A2" t="s">
        <v>154</v>
      </c>
      <c r="B2">
        <v>0.42647445690645053</v>
      </c>
      <c r="D2" t="s">
        <v>158</v>
      </c>
      <c r="E2">
        <f>B1/B2</f>
        <v>0.57575999194592931</v>
      </c>
      <c r="G2" s="68" t="s">
        <v>154</v>
      </c>
      <c r="H2" s="64">
        <v>1.292518259497847</v>
      </c>
      <c r="I2" s="53"/>
      <c r="J2" s="69" t="s">
        <v>158</v>
      </c>
      <c r="K2" s="53"/>
      <c r="L2" s="54">
        <v>0.50000746299999999</v>
      </c>
    </row>
    <row r="3" spans="1:12" ht="15">
      <c r="D3" t="s">
        <v>157</v>
      </c>
      <c r="E3">
        <f>SUM(D6:D38)</f>
        <v>-32.159750571531184</v>
      </c>
      <c r="G3" s="70"/>
      <c r="H3" s="53"/>
      <c r="I3" s="53"/>
      <c r="J3" s="68" t="s">
        <v>157</v>
      </c>
      <c r="K3" s="62"/>
      <c r="L3" s="64">
        <v>-62.773057559999998</v>
      </c>
    </row>
    <row r="4" spans="1:12" ht="30">
      <c r="G4" s="49" t="s">
        <v>176</v>
      </c>
      <c r="H4" s="67" t="s">
        <v>152</v>
      </c>
      <c r="I4" s="67" t="s">
        <v>168</v>
      </c>
      <c r="J4" s="67" t="s">
        <v>169</v>
      </c>
      <c r="K4" s="51" t="s">
        <v>170</v>
      </c>
      <c r="L4" s="54"/>
    </row>
    <row r="5" spans="1:12" ht="15">
      <c r="A5" t="s">
        <v>151</v>
      </c>
      <c r="B5" t="s">
        <v>152</v>
      </c>
      <c r="C5" t="s">
        <v>155</v>
      </c>
      <c r="D5" t="s">
        <v>156</v>
      </c>
      <c r="E5" t="s">
        <v>174</v>
      </c>
      <c r="G5" s="70"/>
      <c r="H5" s="53">
        <v>0</v>
      </c>
      <c r="I5" s="53">
        <v>25</v>
      </c>
      <c r="J5" s="53">
        <f>E6</f>
        <v>24.533316236012304</v>
      </c>
      <c r="K5" s="54">
        <f>((I5-J5)^2)/J5</f>
        <v>8.8774682344014057E-3</v>
      </c>
      <c r="L5" s="54"/>
    </row>
    <row r="6" spans="1:12" ht="15">
      <c r="A6">
        <v>1983</v>
      </c>
      <c r="B6">
        <v>0</v>
      </c>
      <c r="C6">
        <f t="shared" ref="C6:C38" si="0">(($B$2/($B$2+1))^$B$1)*((1/($B$2+1))^B6)*(EXP(GAMMALN($B$1+B6)-GAMMALN($B$1)-GAMMALN(B6+1)))</f>
        <v>0.74343382533370617</v>
      </c>
      <c r="D6">
        <f t="shared" ref="D6:D38" si="1">LN(C6)</f>
        <v>-0.29647552130167459</v>
      </c>
      <c r="E6">
        <f>C6*33</f>
        <v>24.533316236012304</v>
      </c>
      <c r="G6" s="70"/>
      <c r="H6" s="53">
        <v>1</v>
      </c>
      <c r="I6" s="53">
        <v>1</v>
      </c>
      <c r="J6" s="53">
        <f>E26</f>
        <v>4.2230552760371607</v>
      </c>
      <c r="K6" s="54">
        <f>((I6-J6)^2)/J6</f>
        <v>2.4598506610453299</v>
      </c>
      <c r="L6" s="54"/>
    </row>
    <row r="7" spans="1:12" ht="15">
      <c r="A7">
        <v>1984</v>
      </c>
      <c r="B7">
        <v>0</v>
      </c>
      <c r="C7">
        <f>(($B$2/($B$2+1))^$B$1)*((1/($B$2+1))^B7)*(EXP(GAMMALN($B$1+B7)-GAMMALN($B$1)-GAMMALN(B7+1)))</f>
        <v>0.74343382533370617</v>
      </c>
      <c r="D7">
        <f t="shared" si="1"/>
        <v>-0.29647552130167459</v>
      </c>
      <c r="E7">
        <f t="shared" ref="E7:E38" si="2">C7*33</f>
        <v>24.533316236012304</v>
      </c>
      <c r="G7" s="70"/>
      <c r="H7" s="53">
        <v>2</v>
      </c>
      <c r="I7" s="53">
        <v>4</v>
      </c>
      <c r="J7" s="53">
        <f>E12</f>
        <v>1.8437110837448252</v>
      </c>
      <c r="K7" s="54">
        <f>((I7-J7)^2)/J7</f>
        <v>2.5218603561904018</v>
      </c>
      <c r="L7" s="54"/>
    </row>
    <row r="8" spans="1:12" ht="15">
      <c r="A8">
        <v>1985</v>
      </c>
      <c r="B8">
        <v>0</v>
      </c>
      <c r="C8">
        <f t="shared" si="0"/>
        <v>0.74343382533370617</v>
      </c>
      <c r="D8">
        <f t="shared" si="1"/>
        <v>-0.29647552130167459</v>
      </c>
      <c r="E8">
        <f t="shared" si="2"/>
        <v>24.533316236012304</v>
      </c>
      <c r="G8" s="70"/>
      <c r="H8" s="53">
        <v>3</v>
      </c>
      <c r="I8" s="53">
        <v>2</v>
      </c>
      <c r="J8" s="53">
        <f>E29</f>
        <v>0.96745271617778417</v>
      </c>
      <c r="K8" s="54">
        <f>((I8-J8)^2)/J8</f>
        <v>1.1020217065913056</v>
      </c>
      <c r="L8" s="54"/>
    </row>
    <row r="9" spans="1:12" ht="15">
      <c r="A9">
        <v>1986</v>
      </c>
      <c r="B9">
        <v>2</v>
      </c>
      <c r="C9">
        <f t="shared" si="0"/>
        <v>5.587003284075228E-2</v>
      </c>
      <c r="D9">
        <f t="shared" si="1"/>
        <v>-2.8847271277046964</v>
      </c>
      <c r="E9">
        <f t="shared" si="2"/>
        <v>1.8437110837448252</v>
      </c>
      <c r="G9" s="70"/>
      <c r="H9" s="53">
        <v>4</v>
      </c>
      <c r="I9" s="53">
        <v>1</v>
      </c>
      <c r="J9" s="53">
        <f>E22</f>
        <v>0.55029257229009776</v>
      </c>
      <c r="K9" s="54">
        <f>((I9-J9)^2)/J9</f>
        <v>0.36750772356571765</v>
      </c>
      <c r="L9" s="54"/>
    </row>
    <row r="10" spans="1:12" ht="15">
      <c r="A10">
        <v>1987</v>
      </c>
      <c r="B10">
        <v>0</v>
      </c>
      <c r="C10">
        <f t="shared" si="0"/>
        <v>0.74343382533370617</v>
      </c>
      <c r="D10">
        <f t="shared" si="1"/>
        <v>-0.29647552130167459</v>
      </c>
      <c r="E10">
        <f t="shared" si="2"/>
        <v>24.533316236012304</v>
      </c>
      <c r="G10" s="70"/>
      <c r="H10" s="53"/>
      <c r="I10" s="53"/>
      <c r="J10" s="53" t="s">
        <v>171</v>
      </c>
      <c r="K10" s="54">
        <f>SUM(K5:K9)</f>
        <v>6.4601179156271566</v>
      </c>
      <c r="L10" s="54"/>
    </row>
    <row r="11" spans="1:12" ht="15">
      <c r="A11">
        <v>1988</v>
      </c>
      <c r="B11">
        <v>0</v>
      </c>
      <c r="C11">
        <f t="shared" si="0"/>
        <v>0.74343382533370617</v>
      </c>
      <c r="D11">
        <f t="shared" si="1"/>
        <v>-0.29647552130167459</v>
      </c>
      <c r="E11">
        <f t="shared" si="2"/>
        <v>24.533316236012304</v>
      </c>
      <c r="G11" s="70"/>
      <c r="H11" s="53"/>
      <c r="I11" s="53"/>
      <c r="J11" s="53" t="s">
        <v>172</v>
      </c>
      <c r="K11" s="54">
        <v>2</v>
      </c>
      <c r="L11" s="54"/>
    </row>
    <row r="12" spans="1:12" ht="15">
      <c r="A12">
        <v>1989</v>
      </c>
      <c r="B12">
        <v>2</v>
      </c>
      <c r="C12">
        <f t="shared" si="0"/>
        <v>5.587003284075228E-2</v>
      </c>
      <c r="D12">
        <f t="shared" si="1"/>
        <v>-2.8847271277046964</v>
      </c>
      <c r="E12">
        <f t="shared" si="2"/>
        <v>1.8437110837448252</v>
      </c>
      <c r="G12" s="71"/>
      <c r="H12" s="62"/>
      <c r="I12" s="62"/>
      <c r="J12" s="62" t="s">
        <v>173</v>
      </c>
      <c r="K12" s="64">
        <f>_xlfn.CHISQ.DIST.RT(K10,K11)</f>
        <v>3.9555166633509588E-2</v>
      </c>
      <c r="L12" s="64"/>
    </row>
    <row r="13" spans="1:12">
      <c r="A13">
        <v>1990</v>
      </c>
      <c r="B13">
        <v>0</v>
      </c>
      <c r="C13">
        <f t="shared" si="0"/>
        <v>0.74343382533370617</v>
      </c>
      <c r="D13">
        <f t="shared" si="1"/>
        <v>-0.29647552130167459</v>
      </c>
      <c r="E13">
        <f t="shared" si="2"/>
        <v>24.533316236012304</v>
      </c>
    </row>
    <row r="14" spans="1:12">
      <c r="A14">
        <v>1991</v>
      </c>
      <c r="B14">
        <v>0</v>
      </c>
      <c r="C14">
        <f t="shared" si="0"/>
        <v>0.74343382533370617</v>
      </c>
      <c r="D14">
        <f t="shared" si="1"/>
        <v>-0.29647552130167459</v>
      </c>
      <c r="E14">
        <f t="shared" si="2"/>
        <v>24.533316236012304</v>
      </c>
    </row>
    <row r="15" spans="1:12">
      <c r="A15">
        <v>1992</v>
      </c>
      <c r="B15">
        <v>0</v>
      </c>
      <c r="C15">
        <f t="shared" si="0"/>
        <v>0.74343382533370617</v>
      </c>
      <c r="D15">
        <f t="shared" si="1"/>
        <v>-0.29647552130167459</v>
      </c>
      <c r="E15">
        <f t="shared" si="2"/>
        <v>24.533316236012304</v>
      </c>
    </row>
    <row r="16" spans="1:12">
      <c r="A16">
        <v>1993</v>
      </c>
      <c r="B16">
        <v>2</v>
      </c>
      <c r="C16">
        <f t="shared" si="0"/>
        <v>5.587003284075228E-2</v>
      </c>
      <c r="D16">
        <f t="shared" si="1"/>
        <v>-2.8847271277046964</v>
      </c>
      <c r="E16">
        <f t="shared" si="2"/>
        <v>1.8437110837448252</v>
      </c>
    </row>
    <row r="17" spans="1:5">
      <c r="A17">
        <v>1994</v>
      </c>
      <c r="B17">
        <v>0</v>
      </c>
      <c r="C17">
        <f t="shared" si="0"/>
        <v>0.74343382533370617</v>
      </c>
      <c r="D17">
        <f t="shared" si="1"/>
        <v>-0.29647552130167459</v>
      </c>
      <c r="E17">
        <f t="shared" si="2"/>
        <v>24.533316236012304</v>
      </c>
    </row>
    <row r="18" spans="1:5">
      <c r="A18">
        <v>1995</v>
      </c>
      <c r="B18">
        <v>0</v>
      </c>
      <c r="C18">
        <f t="shared" si="0"/>
        <v>0.74343382533370617</v>
      </c>
      <c r="D18">
        <f t="shared" si="1"/>
        <v>-0.29647552130167459</v>
      </c>
      <c r="E18">
        <f t="shared" si="2"/>
        <v>24.533316236012304</v>
      </c>
    </row>
    <row r="19" spans="1:5">
      <c r="A19">
        <v>1996</v>
      </c>
      <c r="B19">
        <v>0</v>
      </c>
      <c r="C19">
        <f t="shared" si="0"/>
        <v>0.74343382533370617</v>
      </c>
      <c r="D19">
        <f t="shared" si="1"/>
        <v>-0.29647552130167459</v>
      </c>
      <c r="E19">
        <f t="shared" si="2"/>
        <v>24.533316236012304</v>
      </c>
    </row>
    <row r="20" spans="1:5">
      <c r="A20">
        <v>1997</v>
      </c>
      <c r="B20">
        <v>0</v>
      </c>
      <c r="C20">
        <f t="shared" si="0"/>
        <v>0.74343382533370617</v>
      </c>
      <c r="D20">
        <f t="shared" si="1"/>
        <v>-0.29647552130167459</v>
      </c>
      <c r="E20">
        <f t="shared" si="2"/>
        <v>24.533316236012304</v>
      </c>
    </row>
    <row r="21" spans="1:5">
      <c r="A21">
        <v>1998</v>
      </c>
      <c r="B21">
        <v>0</v>
      </c>
      <c r="C21">
        <f t="shared" si="0"/>
        <v>0.74343382533370617</v>
      </c>
      <c r="D21">
        <f t="shared" si="1"/>
        <v>-0.29647552130167459</v>
      </c>
      <c r="E21">
        <f t="shared" si="2"/>
        <v>24.533316236012304</v>
      </c>
    </row>
    <row r="22" spans="1:5">
      <c r="A22">
        <v>1999</v>
      </c>
      <c r="B22">
        <v>4</v>
      </c>
      <c r="C22">
        <f t="shared" si="0"/>
        <v>1.6675532493639327E-2</v>
      </c>
      <c r="D22">
        <f t="shared" si="1"/>
        <v>-4.0938127540387841</v>
      </c>
      <c r="E22">
        <f t="shared" si="2"/>
        <v>0.55029257229009776</v>
      </c>
    </row>
    <row r="23" spans="1:5">
      <c r="A23">
        <v>2000</v>
      </c>
      <c r="B23">
        <v>0</v>
      </c>
      <c r="C23">
        <f t="shared" si="0"/>
        <v>0.74343382533370617</v>
      </c>
      <c r="D23">
        <f t="shared" si="1"/>
        <v>-0.29647552130167459</v>
      </c>
      <c r="E23">
        <f t="shared" si="2"/>
        <v>24.533316236012304</v>
      </c>
    </row>
    <row r="24" spans="1:5">
      <c r="A24">
        <v>2001</v>
      </c>
      <c r="B24">
        <v>0</v>
      </c>
      <c r="C24">
        <f t="shared" si="0"/>
        <v>0.74343382533370617</v>
      </c>
      <c r="D24">
        <f t="shared" si="1"/>
        <v>-0.29647552130167459</v>
      </c>
      <c r="E24">
        <f t="shared" si="2"/>
        <v>24.533316236012304</v>
      </c>
    </row>
    <row r="25" spans="1:5">
      <c r="A25">
        <v>2002</v>
      </c>
      <c r="B25">
        <v>0</v>
      </c>
      <c r="C25">
        <f t="shared" si="0"/>
        <v>0.74343382533370617</v>
      </c>
      <c r="D25">
        <f t="shared" si="1"/>
        <v>-0.29647552130167459</v>
      </c>
      <c r="E25">
        <f t="shared" si="2"/>
        <v>24.533316236012304</v>
      </c>
    </row>
    <row r="26" spans="1:5">
      <c r="A26">
        <v>2003</v>
      </c>
      <c r="B26">
        <v>1</v>
      </c>
      <c r="C26">
        <f t="shared" si="0"/>
        <v>0.12797137200112607</v>
      </c>
      <c r="D26">
        <f t="shared" si="1"/>
        <v>-2.0559486963185094</v>
      </c>
      <c r="E26">
        <f t="shared" si="2"/>
        <v>4.2230552760371607</v>
      </c>
    </row>
    <row r="27" spans="1:5">
      <c r="A27">
        <v>2004</v>
      </c>
      <c r="B27">
        <v>0</v>
      </c>
      <c r="C27">
        <f t="shared" si="0"/>
        <v>0.74343382533370617</v>
      </c>
      <c r="D27">
        <f t="shared" si="1"/>
        <v>-0.29647552130167459</v>
      </c>
      <c r="E27">
        <f t="shared" si="2"/>
        <v>24.533316236012304</v>
      </c>
    </row>
    <row r="28" spans="1:5">
      <c r="A28">
        <v>2005</v>
      </c>
      <c r="B28">
        <v>3</v>
      </c>
      <c r="C28">
        <f t="shared" si="0"/>
        <v>2.9316748975084368E-2</v>
      </c>
      <c r="D28">
        <f t="shared" si="1"/>
        <v>-3.5295962889066286</v>
      </c>
      <c r="E28">
        <f t="shared" si="2"/>
        <v>0.96745271617778417</v>
      </c>
    </row>
    <row r="29" spans="1:5">
      <c r="A29">
        <v>2006</v>
      </c>
      <c r="B29">
        <v>3</v>
      </c>
      <c r="C29">
        <f t="shared" si="0"/>
        <v>2.9316748975084368E-2</v>
      </c>
      <c r="D29">
        <f t="shared" si="1"/>
        <v>-3.5295962889066286</v>
      </c>
      <c r="E29">
        <f t="shared" si="2"/>
        <v>0.96745271617778417</v>
      </c>
    </row>
    <row r="30" spans="1:5">
      <c r="A30">
        <v>2007</v>
      </c>
      <c r="B30">
        <v>0</v>
      </c>
      <c r="C30">
        <f t="shared" si="0"/>
        <v>0.74343382533370617</v>
      </c>
      <c r="D30">
        <f t="shared" si="1"/>
        <v>-0.29647552130167459</v>
      </c>
      <c r="E30">
        <f t="shared" si="2"/>
        <v>24.533316236012304</v>
      </c>
    </row>
    <row r="31" spans="1:5">
      <c r="A31">
        <v>2008</v>
      </c>
      <c r="B31">
        <v>0</v>
      </c>
      <c r="C31">
        <f t="shared" si="0"/>
        <v>0.74343382533370617</v>
      </c>
      <c r="D31">
        <f t="shared" si="1"/>
        <v>-0.29647552130167459</v>
      </c>
      <c r="E31">
        <f t="shared" si="2"/>
        <v>24.533316236012304</v>
      </c>
    </row>
    <row r="32" spans="1:5">
      <c r="A32">
        <v>2009</v>
      </c>
      <c r="B32">
        <v>0</v>
      </c>
      <c r="C32">
        <f t="shared" si="0"/>
        <v>0.74343382533370617</v>
      </c>
      <c r="D32">
        <f t="shared" si="1"/>
        <v>-0.29647552130167459</v>
      </c>
      <c r="E32">
        <f t="shared" si="2"/>
        <v>24.533316236012304</v>
      </c>
    </row>
    <row r="33" spans="1:5">
      <c r="A33">
        <v>2010</v>
      </c>
      <c r="B33">
        <v>0</v>
      </c>
      <c r="C33">
        <f t="shared" si="0"/>
        <v>0.74343382533370617</v>
      </c>
      <c r="D33">
        <f t="shared" si="1"/>
        <v>-0.29647552130167459</v>
      </c>
      <c r="E33">
        <f t="shared" si="2"/>
        <v>24.533316236012304</v>
      </c>
    </row>
    <row r="34" spans="1:5">
      <c r="A34">
        <v>2011</v>
      </c>
      <c r="B34">
        <v>2</v>
      </c>
      <c r="C34">
        <f t="shared" si="0"/>
        <v>5.587003284075228E-2</v>
      </c>
      <c r="D34">
        <f t="shared" si="1"/>
        <v>-2.8847271277046964</v>
      </c>
      <c r="E34">
        <f t="shared" si="2"/>
        <v>1.8437110837448252</v>
      </c>
    </row>
    <row r="35" spans="1:5">
      <c r="A35">
        <v>2012</v>
      </c>
      <c r="B35">
        <v>0</v>
      </c>
      <c r="C35">
        <f t="shared" si="0"/>
        <v>0.74343382533370617</v>
      </c>
      <c r="D35">
        <f t="shared" si="1"/>
        <v>-0.29647552130167459</v>
      </c>
      <c r="E35">
        <f t="shared" si="2"/>
        <v>24.533316236012304</v>
      </c>
    </row>
    <row r="36" spans="1:5">
      <c r="A36">
        <v>2013</v>
      </c>
      <c r="B36">
        <v>0</v>
      </c>
      <c r="C36">
        <f t="shared" si="0"/>
        <v>0.74343382533370617</v>
      </c>
      <c r="D36">
        <f t="shared" si="1"/>
        <v>-0.29647552130167459</v>
      </c>
      <c r="E36">
        <f t="shared" si="2"/>
        <v>24.533316236012304</v>
      </c>
    </row>
    <row r="37" spans="1:5">
      <c r="A37">
        <v>2014</v>
      </c>
      <c r="B37">
        <v>0</v>
      </c>
      <c r="C37">
        <f t="shared" si="0"/>
        <v>0.74343382533370617</v>
      </c>
      <c r="D37">
        <f t="shared" si="1"/>
        <v>-0.29647552130167459</v>
      </c>
      <c r="E37">
        <f t="shared" si="2"/>
        <v>24.533316236012304</v>
      </c>
    </row>
    <row r="38" spans="1:5">
      <c r="A38">
        <v>2015</v>
      </c>
      <c r="B38">
        <v>0</v>
      </c>
      <c r="C38">
        <f t="shared" si="0"/>
        <v>0.74343382533370617</v>
      </c>
      <c r="D38">
        <f t="shared" si="1"/>
        <v>-0.29647552130167459</v>
      </c>
      <c r="E38">
        <f t="shared" si="2"/>
        <v>24.533316236012304</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workbookViewId="0">
      <selection activeCell="L3" sqref="L3"/>
    </sheetView>
  </sheetViews>
  <sheetFormatPr baseColWidth="10" defaultRowHeight="12" x14ac:dyDescent="0"/>
  <cols>
    <col min="3" max="3" width="11" bestFit="1" customWidth="1"/>
    <col min="4" max="5" width="11.6640625" bestFit="1" customWidth="1"/>
    <col min="6" max="6" width="11" bestFit="1" customWidth="1"/>
    <col min="8" max="8" width="14.83203125" bestFit="1" customWidth="1"/>
    <col min="9" max="9" width="11.33203125" bestFit="1" customWidth="1"/>
    <col min="10" max="10" width="16.5" customWidth="1"/>
    <col min="11" max="11" width="15.5" bestFit="1" customWidth="1"/>
    <col min="12" max="12" width="14.83203125" bestFit="1" customWidth="1"/>
    <col min="13" max="13" width="11" bestFit="1" customWidth="1"/>
    <col min="14" max="14" width="11" customWidth="1"/>
    <col min="15" max="15" width="11.6640625" bestFit="1" customWidth="1"/>
    <col min="16" max="18" width="11" bestFit="1" customWidth="1"/>
    <col min="19" max="19" width="11.6640625" bestFit="1" customWidth="1"/>
    <col min="20" max="20" width="11" bestFit="1" customWidth="1"/>
    <col min="22" max="22" width="11" bestFit="1" customWidth="1"/>
  </cols>
  <sheetData>
    <row r="1" spans="1:18" ht="30">
      <c r="A1" t="s">
        <v>153</v>
      </c>
      <c r="B1">
        <v>0.625926836539901</v>
      </c>
      <c r="G1" s="49"/>
      <c r="H1" s="51"/>
      <c r="I1" s="67"/>
      <c r="J1" s="49" t="s">
        <v>162</v>
      </c>
      <c r="K1" s="67" t="s">
        <v>163</v>
      </c>
      <c r="L1" s="51">
        <f>(B1/B2)+(B1/(B2^2))</f>
        <v>0.86948969515990493</v>
      </c>
    </row>
    <row r="2" spans="1:18" ht="15">
      <c r="A2" t="s">
        <v>154</v>
      </c>
      <c r="B2">
        <v>1.2815869585746309</v>
      </c>
      <c r="G2" s="68"/>
      <c r="H2" s="64"/>
      <c r="I2" s="53"/>
      <c r="J2" s="69" t="s">
        <v>158</v>
      </c>
      <c r="K2" s="53"/>
      <c r="L2" s="54">
        <f>B1/B2</f>
        <v>0.48839981739206445</v>
      </c>
    </row>
    <row r="3" spans="1:18" ht="15">
      <c r="G3" s="70"/>
      <c r="H3" s="53"/>
      <c r="I3" s="53"/>
      <c r="J3" s="68" t="s">
        <v>157</v>
      </c>
      <c r="K3" s="62"/>
      <c r="L3" s="64">
        <v>-62.773057559999998</v>
      </c>
    </row>
    <row r="4" spans="1:18" ht="30">
      <c r="G4" s="49" t="s">
        <v>176</v>
      </c>
      <c r="H4" s="67" t="s">
        <v>152</v>
      </c>
      <c r="I4" s="67" t="s">
        <v>168</v>
      </c>
      <c r="J4" s="67" t="s">
        <v>169</v>
      </c>
      <c r="K4" s="51" t="s">
        <v>170</v>
      </c>
      <c r="L4" s="54"/>
      <c r="M4" t="s">
        <v>221</v>
      </c>
      <c r="N4" t="s">
        <v>155</v>
      </c>
      <c r="O4" t="s">
        <v>156</v>
      </c>
      <c r="P4" t="s">
        <v>174</v>
      </c>
      <c r="R4" t="s">
        <v>170</v>
      </c>
    </row>
    <row r="5" spans="1:18" ht="15">
      <c r="A5" t="s">
        <v>151</v>
      </c>
      <c r="B5" t="s">
        <v>152</v>
      </c>
      <c r="C5" t="s">
        <v>155</v>
      </c>
      <c r="D5" t="s">
        <v>156</v>
      </c>
      <c r="G5" s="70"/>
      <c r="H5" s="53">
        <v>0</v>
      </c>
      <c r="I5" s="53">
        <v>46</v>
      </c>
      <c r="J5" s="53">
        <f>E6</f>
        <v>45.99982524013172</v>
      </c>
      <c r="K5" s="54">
        <f>((I5-J5)^2)/J5</f>
        <v>6.6393755632164204E-10</v>
      </c>
      <c r="L5" s="54"/>
      <c r="M5">
        <f>H5*I5</f>
        <v>0</v>
      </c>
      <c r="N5">
        <f>(($B$2/($B$2+1))^$B$1)*((1/($B$2+1))^H5)*(EXP(GAMMALN($B$1+H5)-GAMMALN($B$1)-GAMMALN(H5+1)))</f>
        <v>0.69696704909290486</v>
      </c>
      <c r="O5">
        <f>LN(N5)</f>
        <v>-0.36101714467211854</v>
      </c>
      <c r="P5">
        <f>N5*66</f>
        <v>45.99982524013172</v>
      </c>
      <c r="R5">
        <f>(I5-P5)^2/P5</f>
        <v>6.6393755632164204E-10</v>
      </c>
    </row>
    <row r="6" spans="1:18" ht="15">
      <c r="A6">
        <v>1950</v>
      </c>
      <c r="B6">
        <v>0</v>
      </c>
      <c r="C6">
        <f>(($B$2/($B$2+1))^$B$1)*((1/($B$2+1))^B6)*(EXP(GAMMALN($B$1+B6)-GAMMALN($B$1)-GAMMALN(B6+1)))</f>
        <v>0.69696704909290486</v>
      </c>
      <c r="D6">
        <f>LN(C6)</f>
        <v>-0.36101714467211854</v>
      </c>
      <c r="E6">
        <f>C6*66</f>
        <v>45.99982524013172</v>
      </c>
      <c r="G6" s="70"/>
      <c r="H6" s="53">
        <v>1</v>
      </c>
      <c r="I6" s="53">
        <v>11</v>
      </c>
      <c r="J6" s="53">
        <f>E8</f>
        <v>12.619516861163778</v>
      </c>
      <c r="K6" s="54">
        <f>((I6-J6)^2)/J6</f>
        <v>0.20783956251649205</v>
      </c>
      <c r="L6" s="54"/>
      <c r="M6">
        <f t="shared" ref="M6:M9" si="0">H6*I6</f>
        <v>11</v>
      </c>
      <c r="N6">
        <f t="shared" ref="N6:N9" si="1">(($B$2/($B$2+1))^$B$1)*((1/($B$2+1))^H6)*(EXP(GAMMALN($B$1+H6)-GAMMALN($B$1)-GAMMALN(H6+1)))</f>
        <v>0.1912048009267239</v>
      </c>
      <c r="O6">
        <f t="shared" ref="O6:O9" si="2">LN(N6)</f>
        <v>-1.6544101692306803</v>
      </c>
      <c r="P6">
        <f t="shared" ref="P6:P9" si="3">N6*66</f>
        <v>12.619516861163778</v>
      </c>
      <c r="R6">
        <f t="shared" ref="R6:R9" si="4">(I6-P6)^2/P6</f>
        <v>0.20783956251649205</v>
      </c>
    </row>
    <row r="7" spans="1:18" ht="15">
      <c r="A7">
        <v>1951</v>
      </c>
      <c r="B7">
        <v>0</v>
      </c>
      <c r="C7">
        <f t="shared" ref="C7:C70" si="5">(($B$2/($B$2+1))^$B$1)*((1/($B$2+1))^B7)*(EXP(GAMMALN($B$1+B7)-GAMMALN($B$1)-GAMMALN(B7+1)))</f>
        <v>0.69696704909290486</v>
      </c>
      <c r="D7">
        <f t="shared" ref="D7:D70" si="6">LN(C7)</f>
        <v>-0.36101714467211854</v>
      </c>
      <c r="E7">
        <f t="shared" ref="E7:E70" si="7">C7*66</f>
        <v>45.99982524013172</v>
      </c>
      <c r="G7" s="70"/>
      <c r="H7" s="53">
        <v>2</v>
      </c>
      <c r="I7" s="53">
        <v>6</v>
      </c>
      <c r="J7" s="53">
        <f>E13</f>
        <v>4.4965218291641111</v>
      </c>
      <c r="K7" s="54">
        <f>((I7-J7)^2)/J7</f>
        <v>0.50271002700775047</v>
      </c>
      <c r="L7" s="54"/>
      <c r="M7">
        <f t="shared" si="0"/>
        <v>12</v>
      </c>
      <c r="N7">
        <f t="shared" si="1"/>
        <v>6.8129118623698651E-2</v>
      </c>
      <c r="O7">
        <f t="shared" si="2"/>
        <v>-2.6863505709645397</v>
      </c>
      <c r="P7">
        <f t="shared" si="3"/>
        <v>4.4965218291641111</v>
      </c>
      <c r="R7">
        <f t="shared" si="4"/>
        <v>0.50271002700775047</v>
      </c>
    </row>
    <row r="8" spans="1:18" ht="15">
      <c r="A8">
        <v>1952</v>
      </c>
      <c r="B8">
        <v>1</v>
      </c>
      <c r="C8">
        <f t="shared" si="5"/>
        <v>0.1912048009267239</v>
      </c>
      <c r="D8">
        <f t="shared" si="6"/>
        <v>-1.6544101692306803</v>
      </c>
      <c r="E8">
        <f t="shared" si="7"/>
        <v>12.619516861163778</v>
      </c>
      <c r="G8" s="70"/>
      <c r="H8" s="53">
        <v>3</v>
      </c>
      <c r="I8" s="53">
        <v>2</v>
      </c>
      <c r="J8" s="53">
        <f>E62</f>
        <v>1.7250474569779291</v>
      </c>
      <c r="K8" s="54">
        <f>((I8-J8)^2)/J8</f>
        <v>4.3824244143835761E-2</v>
      </c>
      <c r="L8" s="54"/>
      <c r="M8">
        <f t="shared" si="0"/>
        <v>6</v>
      </c>
      <c r="N8">
        <f>(($B$2/($B$2+1))^$B$1)*((1/($B$2+1))^H8)*(EXP(GAMMALN($B$1+H8)-GAMMALN($B$1)-GAMMALN(H8+1)))</f>
        <v>2.6137082681483775E-2</v>
      </c>
      <c r="O8">
        <f t="shared" si="2"/>
        <v>-3.6444001806299782</v>
      </c>
      <c r="P8">
        <f t="shared" si="3"/>
        <v>1.7250474569779291</v>
      </c>
      <c r="R8">
        <f t="shared" si="4"/>
        <v>4.3824244143835761E-2</v>
      </c>
    </row>
    <row r="9" spans="1:18" ht="15">
      <c r="A9">
        <v>1953</v>
      </c>
      <c r="B9">
        <v>0</v>
      </c>
      <c r="C9">
        <f t="shared" si="5"/>
        <v>0.69696704909290486</v>
      </c>
      <c r="D9">
        <f t="shared" si="6"/>
        <v>-0.36101714467211854</v>
      </c>
      <c r="E9">
        <f t="shared" si="7"/>
        <v>45.99982524013172</v>
      </c>
      <c r="G9" s="70"/>
      <c r="H9" s="53">
        <v>4</v>
      </c>
      <c r="I9" s="53">
        <v>1</v>
      </c>
      <c r="J9" s="53">
        <f>E55</f>
        <v>0.68536680632028002</v>
      </c>
      <c r="K9" s="54">
        <f>((I9-J9)^2)/J9</f>
        <v>0.14443951129847846</v>
      </c>
      <c r="L9" s="54"/>
      <c r="M9">
        <f t="shared" si="0"/>
        <v>4</v>
      </c>
      <c r="N9">
        <f t="shared" si="1"/>
        <v>1.0384345550307273E-2</v>
      </c>
      <c r="O9">
        <f t="shared" si="2"/>
        <v>-4.5674558423873206</v>
      </c>
      <c r="P9">
        <f t="shared" si="3"/>
        <v>0.68536680632028002</v>
      </c>
      <c r="R9">
        <f t="shared" si="4"/>
        <v>0.14443951129847846</v>
      </c>
    </row>
    <row r="10" spans="1:18" ht="15">
      <c r="A10">
        <v>1954</v>
      </c>
      <c r="B10">
        <v>0</v>
      </c>
      <c r="C10">
        <f t="shared" si="5"/>
        <v>0.69696704909290486</v>
      </c>
      <c r="D10">
        <f t="shared" si="6"/>
        <v>-0.36101714467211854</v>
      </c>
      <c r="E10">
        <f t="shared" si="7"/>
        <v>45.99982524013172</v>
      </c>
      <c r="G10" s="70"/>
      <c r="H10" s="53"/>
      <c r="I10" s="53"/>
      <c r="J10" s="53" t="s">
        <v>171</v>
      </c>
      <c r="K10" s="54">
        <f>SUM(K5:K9)</f>
        <v>0.89881334563049431</v>
      </c>
      <c r="L10" s="54"/>
    </row>
    <row r="11" spans="1:18" ht="15">
      <c r="A11">
        <v>1955</v>
      </c>
      <c r="B11">
        <v>0</v>
      </c>
      <c r="C11">
        <f t="shared" si="5"/>
        <v>0.69696704909290486</v>
      </c>
      <c r="D11">
        <f t="shared" si="6"/>
        <v>-0.36101714467211854</v>
      </c>
      <c r="E11">
        <f t="shared" si="7"/>
        <v>45.99982524013172</v>
      </c>
      <c r="G11" s="70"/>
      <c r="H11" s="53"/>
      <c r="I11" s="53"/>
      <c r="J11" s="53" t="s">
        <v>172</v>
      </c>
      <c r="K11" s="54">
        <v>2</v>
      </c>
      <c r="L11" s="54" t="s">
        <v>171</v>
      </c>
      <c r="M11">
        <f>SUM(M5:M9)</f>
        <v>33</v>
      </c>
      <c r="Q11" t="s">
        <v>232</v>
      </c>
      <c r="R11">
        <f>SUM(R5:R9)</f>
        <v>0.89881334563049431</v>
      </c>
    </row>
    <row r="12" spans="1:18" ht="15">
      <c r="A12">
        <v>1956</v>
      </c>
      <c r="B12">
        <v>0</v>
      </c>
      <c r="C12">
        <f t="shared" si="5"/>
        <v>0.69696704909290486</v>
      </c>
      <c r="D12">
        <f t="shared" si="6"/>
        <v>-0.36101714467211854</v>
      </c>
      <c r="E12">
        <f t="shared" si="7"/>
        <v>45.99982524013172</v>
      </c>
      <c r="G12" s="71"/>
      <c r="H12" s="62"/>
      <c r="I12" s="62"/>
      <c r="J12" s="62" t="s">
        <v>173</v>
      </c>
      <c r="K12" s="64">
        <f>_xlfn.CHISQ.DIST.RT(K10,K11)</f>
        <v>0.63800658599449278</v>
      </c>
      <c r="L12" s="64" t="s">
        <v>222</v>
      </c>
      <c r="M12">
        <f>M11/66</f>
        <v>0.5</v>
      </c>
      <c r="Q12" t="s">
        <v>233</v>
      </c>
      <c r="R12">
        <v>2</v>
      </c>
    </row>
    <row r="13" spans="1:18">
      <c r="A13">
        <v>1957</v>
      </c>
      <c r="B13">
        <v>2</v>
      </c>
      <c r="C13">
        <f t="shared" si="5"/>
        <v>6.8129118623698651E-2</v>
      </c>
      <c r="D13">
        <f t="shared" si="6"/>
        <v>-2.6863505709645397</v>
      </c>
      <c r="E13">
        <f t="shared" si="7"/>
        <v>4.4965218291641111</v>
      </c>
      <c r="L13" t="s">
        <v>235</v>
      </c>
      <c r="M13">
        <f>I5/66</f>
        <v>0.69696969696969702</v>
      </c>
      <c r="Q13" t="s">
        <v>238</v>
      </c>
      <c r="R13">
        <f>_xlfn.CHISQ.DIST.RT(R11,R12)</f>
        <v>0.63800658599449278</v>
      </c>
    </row>
    <row r="14" spans="1:18">
      <c r="A14">
        <v>1958</v>
      </c>
      <c r="B14">
        <v>2</v>
      </c>
      <c r="C14">
        <f t="shared" si="5"/>
        <v>6.8129118623698651E-2</v>
      </c>
      <c r="D14">
        <f t="shared" si="6"/>
        <v>-2.6863505709645397</v>
      </c>
      <c r="E14">
        <f t="shared" si="7"/>
        <v>4.4965218291641111</v>
      </c>
    </row>
    <row r="15" spans="1:18">
      <c r="A15">
        <v>1959</v>
      </c>
      <c r="B15">
        <v>1</v>
      </c>
      <c r="C15">
        <f t="shared" si="5"/>
        <v>0.1912048009267239</v>
      </c>
      <c r="D15">
        <f t="shared" si="6"/>
        <v>-1.6544101692306803</v>
      </c>
      <c r="E15">
        <f t="shared" si="7"/>
        <v>12.619516861163778</v>
      </c>
      <c r="K15" s="76"/>
    </row>
    <row r="16" spans="1:18">
      <c r="A16">
        <v>1960</v>
      </c>
      <c r="B16">
        <v>0</v>
      </c>
      <c r="C16">
        <f t="shared" si="5"/>
        <v>0.69696704909290486</v>
      </c>
      <c r="D16">
        <f t="shared" si="6"/>
        <v>-0.36101714467211854</v>
      </c>
      <c r="E16">
        <f t="shared" si="7"/>
        <v>45.99982524013172</v>
      </c>
      <c r="K16" s="76" t="s">
        <v>236</v>
      </c>
      <c r="L16">
        <f xml:space="preserve"> (B2/(B2+1))^B1</f>
        <v>0.69696704909290486</v>
      </c>
    </row>
    <row r="17" spans="1:12">
      <c r="A17">
        <v>1961</v>
      </c>
      <c r="B17">
        <v>0</v>
      </c>
      <c r="C17">
        <f t="shared" si="5"/>
        <v>0.69696704909290486</v>
      </c>
      <c r="D17">
        <f t="shared" si="6"/>
        <v>-0.36101714467211854</v>
      </c>
      <c r="E17">
        <f t="shared" si="7"/>
        <v>45.99982524013172</v>
      </c>
      <c r="K17" t="s">
        <v>237</v>
      </c>
      <c r="L17">
        <f>(M13-L16)^2</f>
        <v>7.0112515064656933E-12</v>
      </c>
    </row>
    <row r="18" spans="1:12">
      <c r="A18">
        <v>1962</v>
      </c>
      <c r="B18">
        <v>0</v>
      </c>
      <c r="C18">
        <f t="shared" si="5"/>
        <v>0.69696704909290486</v>
      </c>
      <c r="D18">
        <f t="shared" si="6"/>
        <v>-0.36101714467211854</v>
      </c>
      <c r="E18">
        <f t="shared" si="7"/>
        <v>45.99982524013172</v>
      </c>
    </row>
    <row r="19" spans="1:12">
      <c r="A19">
        <v>1963</v>
      </c>
      <c r="B19">
        <v>0</v>
      </c>
      <c r="C19">
        <f t="shared" si="5"/>
        <v>0.69696704909290486</v>
      </c>
      <c r="D19">
        <f t="shared" si="6"/>
        <v>-0.36101714467211854</v>
      </c>
      <c r="E19">
        <f t="shared" si="7"/>
        <v>45.99982524013172</v>
      </c>
    </row>
    <row r="20" spans="1:12">
      <c r="A20">
        <v>1964</v>
      </c>
      <c r="B20">
        <v>1</v>
      </c>
      <c r="C20">
        <f t="shared" si="5"/>
        <v>0.1912048009267239</v>
      </c>
      <c r="D20">
        <f t="shared" si="6"/>
        <v>-1.6544101692306803</v>
      </c>
      <c r="E20">
        <f t="shared" si="7"/>
        <v>12.619516861163778</v>
      </c>
    </row>
    <row r="21" spans="1:12">
      <c r="A21">
        <v>1965</v>
      </c>
      <c r="B21">
        <v>0</v>
      </c>
      <c r="C21">
        <f t="shared" si="5"/>
        <v>0.69696704909290486</v>
      </c>
      <c r="D21">
        <f t="shared" si="6"/>
        <v>-0.36101714467211854</v>
      </c>
      <c r="E21">
        <f t="shared" si="7"/>
        <v>45.99982524013172</v>
      </c>
    </row>
    <row r="22" spans="1:12">
      <c r="A22">
        <v>1966</v>
      </c>
      <c r="B22">
        <v>1</v>
      </c>
      <c r="C22">
        <f t="shared" si="5"/>
        <v>0.1912048009267239</v>
      </c>
      <c r="D22">
        <f t="shared" si="6"/>
        <v>-1.6544101692306803</v>
      </c>
      <c r="E22">
        <f t="shared" si="7"/>
        <v>12.619516861163778</v>
      </c>
    </row>
    <row r="23" spans="1:12">
      <c r="A23">
        <v>1967</v>
      </c>
      <c r="B23">
        <v>1</v>
      </c>
      <c r="C23">
        <f t="shared" si="5"/>
        <v>0.1912048009267239</v>
      </c>
      <c r="D23">
        <f t="shared" si="6"/>
        <v>-1.6544101692306803</v>
      </c>
      <c r="E23">
        <f t="shared" si="7"/>
        <v>12.619516861163778</v>
      </c>
    </row>
    <row r="24" spans="1:12">
      <c r="A24">
        <v>1968</v>
      </c>
      <c r="B24">
        <v>0</v>
      </c>
      <c r="C24">
        <f t="shared" si="5"/>
        <v>0.69696704909290486</v>
      </c>
      <c r="D24">
        <f t="shared" si="6"/>
        <v>-0.36101714467211854</v>
      </c>
      <c r="E24">
        <f t="shared" si="7"/>
        <v>45.99982524013172</v>
      </c>
    </row>
    <row r="25" spans="1:12">
      <c r="A25">
        <v>1969</v>
      </c>
      <c r="B25">
        <v>1</v>
      </c>
      <c r="C25">
        <f t="shared" si="5"/>
        <v>0.1912048009267239</v>
      </c>
      <c r="D25">
        <f t="shared" si="6"/>
        <v>-1.6544101692306803</v>
      </c>
      <c r="E25">
        <f t="shared" si="7"/>
        <v>12.619516861163778</v>
      </c>
    </row>
    <row r="26" spans="1:12">
      <c r="A26">
        <v>1970</v>
      </c>
      <c r="B26">
        <v>0</v>
      </c>
      <c r="C26">
        <f t="shared" si="5"/>
        <v>0.69696704909290486</v>
      </c>
      <c r="D26">
        <f t="shared" si="6"/>
        <v>-0.36101714467211854</v>
      </c>
      <c r="E26">
        <f t="shared" si="7"/>
        <v>45.99982524013172</v>
      </c>
    </row>
    <row r="27" spans="1:12">
      <c r="A27">
        <v>1971</v>
      </c>
      <c r="B27">
        <v>0</v>
      </c>
      <c r="C27">
        <f t="shared" si="5"/>
        <v>0.69696704909290486</v>
      </c>
      <c r="D27">
        <f t="shared" si="6"/>
        <v>-0.36101714467211854</v>
      </c>
      <c r="E27">
        <f t="shared" si="7"/>
        <v>45.99982524013172</v>
      </c>
    </row>
    <row r="28" spans="1:12">
      <c r="A28">
        <v>1972</v>
      </c>
      <c r="B28">
        <v>0</v>
      </c>
      <c r="C28">
        <f t="shared" si="5"/>
        <v>0.69696704909290486</v>
      </c>
      <c r="D28">
        <f t="shared" si="6"/>
        <v>-0.36101714467211854</v>
      </c>
      <c r="E28">
        <f t="shared" si="7"/>
        <v>45.99982524013172</v>
      </c>
    </row>
    <row r="29" spans="1:12">
      <c r="A29">
        <v>1973</v>
      </c>
      <c r="B29">
        <v>0</v>
      </c>
      <c r="C29">
        <f t="shared" si="5"/>
        <v>0.69696704909290486</v>
      </c>
      <c r="D29">
        <f t="shared" si="6"/>
        <v>-0.36101714467211854</v>
      </c>
      <c r="E29">
        <f t="shared" si="7"/>
        <v>45.99982524013172</v>
      </c>
    </row>
    <row r="30" spans="1:12">
      <c r="A30">
        <v>1974</v>
      </c>
      <c r="B30">
        <v>0</v>
      </c>
      <c r="C30">
        <f t="shared" si="5"/>
        <v>0.69696704909290486</v>
      </c>
      <c r="D30">
        <f t="shared" si="6"/>
        <v>-0.36101714467211854</v>
      </c>
      <c r="E30">
        <f t="shared" si="7"/>
        <v>45.99982524013172</v>
      </c>
    </row>
    <row r="31" spans="1:12">
      <c r="A31">
        <v>1975</v>
      </c>
      <c r="B31">
        <v>0</v>
      </c>
      <c r="C31">
        <f t="shared" si="5"/>
        <v>0.69696704909290486</v>
      </c>
      <c r="D31">
        <f t="shared" si="6"/>
        <v>-0.36101714467211854</v>
      </c>
      <c r="E31">
        <f t="shared" si="7"/>
        <v>45.99982524013172</v>
      </c>
    </row>
    <row r="32" spans="1:12">
      <c r="A32">
        <v>1976</v>
      </c>
      <c r="B32">
        <v>0</v>
      </c>
      <c r="C32">
        <f t="shared" si="5"/>
        <v>0.69696704909290486</v>
      </c>
      <c r="D32">
        <f t="shared" si="6"/>
        <v>-0.36101714467211854</v>
      </c>
      <c r="E32">
        <f t="shared" si="7"/>
        <v>45.99982524013172</v>
      </c>
    </row>
    <row r="33" spans="1:5">
      <c r="A33">
        <v>1977</v>
      </c>
      <c r="B33">
        <v>1</v>
      </c>
      <c r="C33">
        <f t="shared" si="5"/>
        <v>0.1912048009267239</v>
      </c>
      <c r="D33">
        <f t="shared" si="6"/>
        <v>-1.6544101692306803</v>
      </c>
      <c r="E33">
        <f t="shared" si="7"/>
        <v>12.619516861163778</v>
      </c>
    </row>
    <row r="34" spans="1:5">
      <c r="A34">
        <v>1978</v>
      </c>
      <c r="B34">
        <v>0</v>
      </c>
      <c r="C34">
        <f t="shared" si="5"/>
        <v>0.69696704909290486</v>
      </c>
      <c r="D34">
        <f t="shared" si="6"/>
        <v>-0.36101714467211854</v>
      </c>
      <c r="E34">
        <f t="shared" si="7"/>
        <v>45.99982524013172</v>
      </c>
    </row>
    <row r="35" spans="1:5">
      <c r="A35">
        <v>1979</v>
      </c>
      <c r="B35">
        <v>1</v>
      </c>
      <c r="C35">
        <f t="shared" si="5"/>
        <v>0.1912048009267239</v>
      </c>
      <c r="D35">
        <f t="shared" si="6"/>
        <v>-1.6544101692306803</v>
      </c>
      <c r="E35">
        <f t="shared" si="7"/>
        <v>12.619516861163778</v>
      </c>
    </row>
    <row r="36" spans="1:5">
      <c r="A36">
        <v>1980</v>
      </c>
      <c r="B36">
        <v>1</v>
      </c>
      <c r="C36">
        <f t="shared" si="5"/>
        <v>0.1912048009267239</v>
      </c>
      <c r="D36">
        <f t="shared" si="6"/>
        <v>-1.6544101692306803</v>
      </c>
      <c r="E36">
        <f t="shared" si="7"/>
        <v>12.619516861163778</v>
      </c>
    </row>
    <row r="37" spans="1:5">
      <c r="A37">
        <v>1981</v>
      </c>
      <c r="B37">
        <v>1</v>
      </c>
      <c r="C37">
        <f t="shared" si="5"/>
        <v>0.1912048009267239</v>
      </c>
      <c r="D37">
        <f t="shared" si="6"/>
        <v>-1.6544101692306803</v>
      </c>
      <c r="E37">
        <f t="shared" si="7"/>
        <v>12.619516861163778</v>
      </c>
    </row>
    <row r="38" spans="1:5">
      <c r="A38">
        <v>1982</v>
      </c>
      <c r="B38">
        <v>0</v>
      </c>
      <c r="C38">
        <f t="shared" si="5"/>
        <v>0.69696704909290486</v>
      </c>
      <c r="D38">
        <f t="shared" si="6"/>
        <v>-0.36101714467211854</v>
      </c>
      <c r="E38">
        <f t="shared" si="7"/>
        <v>45.99982524013172</v>
      </c>
    </row>
    <row r="39" spans="1:5">
      <c r="A39">
        <v>1983</v>
      </c>
      <c r="B39">
        <v>0</v>
      </c>
      <c r="C39">
        <f t="shared" si="5"/>
        <v>0.69696704909290486</v>
      </c>
      <c r="D39">
        <f t="shared" si="6"/>
        <v>-0.36101714467211854</v>
      </c>
      <c r="E39">
        <f t="shared" si="7"/>
        <v>45.99982524013172</v>
      </c>
    </row>
    <row r="40" spans="1:5">
      <c r="A40">
        <v>1984</v>
      </c>
      <c r="B40">
        <v>0</v>
      </c>
      <c r="C40">
        <f t="shared" si="5"/>
        <v>0.69696704909290486</v>
      </c>
      <c r="D40">
        <f t="shared" si="6"/>
        <v>-0.36101714467211854</v>
      </c>
      <c r="E40">
        <f t="shared" si="7"/>
        <v>45.99982524013172</v>
      </c>
    </row>
    <row r="41" spans="1:5">
      <c r="A41">
        <v>1985</v>
      </c>
      <c r="B41">
        <v>0</v>
      </c>
      <c r="C41">
        <f t="shared" si="5"/>
        <v>0.69696704909290486</v>
      </c>
      <c r="D41">
        <f t="shared" si="6"/>
        <v>-0.36101714467211854</v>
      </c>
      <c r="E41">
        <f t="shared" si="7"/>
        <v>45.99982524013172</v>
      </c>
    </row>
    <row r="42" spans="1:5">
      <c r="A42">
        <v>1986</v>
      </c>
      <c r="B42">
        <v>2</v>
      </c>
      <c r="C42">
        <f t="shared" si="5"/>
        <v>6.8129118623698651E-2</v>
      </c>
      <c r="D42">
        <f t="shared" si="6"/>
        <v>-2.6863505709645397</v>
      </c>
      <c r="E42">
        <f t="shared" si="7"/>
        <v>4.4965218291641111</v>
      </c>
    </row>
    <row r="43" spans="1:5">
      <c r="A43">
        <v>1987</v>
      </c>
      <c r="B43">
        <v>0</v>
      </c>
      <c r="C43">
        <f t="shared" si="5"/>
        <v>0.69696704909290486</v>
      </c>
      <c r="D43">
        <f t="shared" si="6"/>
        <v>-0.36101714467211854</v>
      </c>
      <c r="E43">
        <f t="shared" si="7"/>
        <v>45.99982524013172</v>
      </c>
    </row>
    <row r="44" spans="1:5">
      <c r="A44">
        <v>1988</v>
      </c>
      <c r="B44">
        <v>0</v>
      </c>
      <c r="C44">
        <f t="shared" si="5"/>
        <v>0.69696704909290486</v>
      </c>
      <c r="D44">
        <f t="shared" si="6"/>
        <v>-0.36101714467211854</v>
      </c>
      <c r="E44">
        <f t="shared" si="7"/>
        <v>45.99982524013172</v>
      </c>
    </row>
    <row r="45" spans="1:5">
      <c r="A45">
        <v>1989</v>
      </c>
      <c r="B45">
        <v>2</v>
      </c>
      <c r="C45">
        <f t="shared" si="5"/>
        <v>6.8129118623698651E-2</v>
      </c>
      <c r="D45">
        <f t="shared" si="6"/>
        <v>-2.6863505709645397</v>
      </c>
      <c r="E45">
        <f t="shared" si="7"/>
        <v>4.4965218291641111</v>
      </c>
    </row>
    <row r="46" spans="1:5">
      <c r="A46">
        <v>1990</v>
      </c>
      <c r="B46">
        <v>0</v>
      </c>
      <c r="C46">
        <f t="shared" si="5"/>
        <v>0.69696704909290486</v>
      </c>
      <c r="D46">
        <f t="shared" si="6"/>
        <v>-0.36101714467211854</v>
      </c>
      <c r="E46">
        <f t="shared" si="7"/>
        <v>45.99982524013172</v>
      </c>
    </row>
    <row r="47" spans="1:5">
      <c r="A47">
        <v>1991</v>
      </c>
      <c r="B47">
        <v>0</v>
      </c>
      <c r="C47">
        <f t="shared" si="5"/>
        <v>0.69696704909290486</v>
      </c>
      <c r="D47">
        <f t="shared" si="6"/>
        <v>-0.36101714467211854</v>
      </c>
      <c r="E47">
        <f t="shared" si="7"/>
        <v>45.99982524013172</v>
      </c>
    </row>
    <row r="48" spans="1:5">
      <c r="A48">
        <v>1992</v>
      </c>
      <c r="B48">
        <v>0</v>
      </c>
      <c r="C48">
        <f t="shared" si="5"/>
        <v>0.69696704909290486</v>
      </c>
      <c r="D48">
        <f t="shared" si="6"/>
        <v>-0.36101714467211854</v>
      </c>
      <c r="E48">
        <f t="shared" si="7"/>
        <v>45.99982524013172</v>
      </c>
    </row>
    <row r="49" spans="1:5">
      <c r="A49">
        <v>1993</v>
      </c>
      <c r="B49">
        <v>2</v>
      </c>
      <c r="C49">
        <f t="shared" si="5"/>
        <v>6.8129118623698651E-2</v>
      </c>
      <c r="D49">
        <f t="shared" si="6"/>
        <v>-2.6863505709645397</v>
      </c>
      <c r="E49">
        <f t="shared" si="7"/>
        <v>4.4965218291641111</v>
      </c>
    </row>
    <row r="50" spans="1:5">
      <c r="A50">
        <v>1994</v>
      </c>
      <c r="B50">
        <v>0</v>
      </c>
      <c r="C50">
        <f t="shared" si="5"/>
        <v>0.69696704909290486</v>
      </c>
      <c r="D50">
        <f t="shared" si="6"/>
        <v>-0.36101714467211854</v>
      </c>
      <c r="E50">
        <f t="shared" si="7"/>
        <v>45.99982524013172</v>
      </c>
    </row>
    <row r="51" spans="1:5">
      <c r="A51">
        <v>1995</v>
      </c>
      <c r="B51">
        <v>0</v>
      </c>
      <c r="C51">
        <f t="shared" si="5"/>
        <v>0.69696704909290486</v>
      </c>
      <c r="D51">
        <f t="shared" si="6"/>
        <v>-0.36101714467211854</v>
      </c>
      <c r="E51">
        <f t="shared" si="7"/>
        <v>45.99982524013172</v>
      </c>
    </row>
    <row r="52" spans="1:5">
      <c r="A52">
        <v>1996</v>
      </c>
      <c r="B52">
        <v>0</v>
      </c>
      <c r="C52">
        <f t="shared" si="5"/>
        <v>0.69696704909290486</v>
      </c>
      <c r="D52">
        <f t="shared" si="6"/>
        <v>-0.36101714467211854</v>
      </c>
      <c r="E52">
        <f t="shared" si="7"/>
        <v>45.99982524013172</v>
      </c>
    </row>
    <row r="53" spans="1:5">
      <c r="A53">
        <v>1997</v>
      </c>
      <c r="B53">
        <v>0</v>
      </c>
      <c r="C53">
        <f t="shared" si="5"/>
        <v>0.69696704909290486</v>
      </c>
      <c r="D53">
        <f t="shared" si="6"/>
        <v>-0.36101714467211854</v>
      </c>
      <c r="E53">
        <f t="shared" si="7"/>
        <v>45.99982524013172</v>
      </c>
    </row>
    <row r="54" spans="1:5">
      <c r="A54">
        <v>1998</v>
      </c>
      <c r="B54">
        <v>0</v>
      </c>
      <c r="C54">
        <f t="shared" si="5"/>
        <v>0.69696704909290486</v>
      </c>
      <c r="D54">
        <f t="shared" si="6"/>
        <v>-0.36101714467211854</v>
      </c>
      <c r="E54">
        <f t="shared" si="7"/>
        <v>45.99982524013172</v>
      </c>
    </row>
    <row r="55" spans="1:5">
      <c r="A55">
        <v>1999</v>
      </c>
      <c r="B55">
        <v>4</v>
      </c>
      <c r="C55">
        <f t="shared" si="5"/>
        <v>1.0384345550307273E-2</v>
      </c>
      <c r="D55">
        <f t="shared" si="6"/>
        <v>-4.5674558423873206</v>
      </c>
      <c r="E55">
        <f t="shared" si="7"/>
        <v>0.68536680632028002</v>
      </c>
    </row>
    <row r="56" spans="1:5">
      <c r="A56">
        <v>2000</v>
      </c>
      <c r="B56">
        <v>0</v>
      </c>
      <c r="C56">
        <f t="shared" si="5"/>
        <v>0.69696704909290486</v>
      </c>
      <c r="D56">
        <f t="shared" si="6"/>
        <v>-0.36101714467211854</v>
      </c>
      <c r="E56">
        <f t="shared" si="7"/>
        <v>45.99982524013172</v>
      </c>
    </row>
    <row r="57" spans="1:5">
      <c r="A57">
        <v>2001</v>
      </c>
      <c r="B57">
        <v>0</v>
      </c>
      <c r="C57">
        <f t="shared" si="5"/>
        <v>0.69696704909290486</v>
      </c>
      <c r="D57">
        <f t="shared" si="6"/>
        <v>-0.36101714467211854</v>
      </c>
      <c r="E57">
        <f t="shared" si="7"/>
        <v>45.99982524013172</v>
      </c>
    </row>
    <row r="58" spans="1:5">
      <c r="A58">
        <v>2002</v>
      </c>
      <c r="B58">
        <v>0</v>
      </c>
      <c r="C58">
        <f t="shared" si="5"/>
        <v>0.69696704909290486</v>
      </c>
      <c r="D58">
        <f t="shared" si="6"/>
        <v>-0.36101714467211854</v>
      </c>
      <c r="E58">
        <f t="shared" si="7"/>
        <v>45.99982524013172</v>
      </c>
    </row>
    <row r="59" spans="1:5">
      <c r="A59">
        <v>2003</v>
      </c>
      <c r="B59">
        <v>1</v>
      </c>
      <c r="C59">
        <f t="shared" si="5"/>
        <v>0.1912048009267239</v>
      </c>
      <c r="D59">
        <f t="shared" si="6"/>
        <v>-1.6544101692306803</v>
      </c>
      <c r="E59">
        <f t="shared" si="7"/>
        <v>12.619516861163778</v>
      </c>
    </row>
    <row r="60" spans="1:5">
      <c r="A60">
        <v>2004</v>
      </c>
      <c r="B60">
        <v>0</v>
      </c>
      <c r="C60">
        <f t="shared" si="5"/>
        <v>0.69696704909290486</v>
      </c>
      <c r="D60">
        <f t="shared" si="6"/>
        <v>-0.36101714467211854</v>
      </c>
      <c r="E60">
        <f t="shared" si="7"/>
        <v>45.99982524013172</v>
      </c>
    </row>
    <row r="61" spans="1:5">
      <c r="A61">
        <v>2005</v>
      </c>
      <c r="B61">
        <v>3</v>
      </c>
      <c r="C61">
        <f t="shared" si="5"/>
        <v>2.6137082681483775E-2</v>
      </c>
      <c r="D61">
        <f t="shared" si="6"/>
        <v>-3.6444001806299782</v>
      </c>
      <c r="E61">
        <f t="shared" si="7"/>
        <v>1.7250474569779291</v>
      </c>
    </row>
    <row r="62" spans="1:5">
      <c r="A62">
        <v>2006</v>
      </c>
      <c r="B62">
        <v>3</v>
      </c>
      <c r="C62">
        <f t="shared" si="5"/>
        <v>2.6137082681483775E-2</v>
      </c>
      <c r="D62">
        <f t="shared" si="6"/>
        <v>-3.6444001806299782</v>
      </c>
      <c r="E62">
        <f t="shared" si="7"/>
        <v>1.7250474569779291</v>
      </c>
    </row>
    <row r="63" spans="1:5">
      <c r="A63">
        <v>2007</v>
      </c>
      <c r="B63">
        <v>0</v>
      </c>
      <c r="C63">
        <f t="shared" si="5"/>
        <v>0.69696704909290486</v>
      </c>
      <c r="D63">
        <f t="shared" si="6"/>
        <v>-0.36101714467211854</v>
      </c>
      <c r="E63">
        <f t="shared" si="7"/>
        <v>45.99982524013172</v>
      </c>
    </row>
    <row r="64" spans="1:5">
      <c r="A64">
        <v>2008</v>
      </c>
      <c r="B64">
        <v>0</v>
      </c>
      <c r="C64">
        <f t="shared" si="5"/>
        <v>0.69696704909290486</v>
      </c>
      <c r="D64">
        <f t="shared" si="6"/>
        <v>-0.36101714467211854</v>
      </c>
      <c r="E64">
        <f t="shared" si="7"/>
        <v>45.99982524013172</v>
      </c>
    </row>
    <row r="65" spans="1:5">
      <c r="A65">
        <v>2009</v>
      </c>
      <c r="B65">
        <v>0</v>
      </c>
      <c r="C65">
        <f t="shared" si="5"/>
        <v>0.69696704909290486</v>
      </c>
      <c r="D65">
        <f t="shared" si="6"/>
        <v>-0.36101714467211854</v>
      </c>
      <c r="E65">
        <f t="shared" si="7"/>
        <v>45.99982524013172</v>
      </c>
    </row>
    <row r="66" spans="1:5">
      <c r="A66">
        <v>2010</v>
      </c>
      <c r="B66">
        <v>0</v>
      </c>
      <c r="C66">
        <f t="shared" si="5"/>
        <v>0.69696704909290486</v>
      </c>
      <c r="D66">
        <f t="shared" si="6"/>
        <v>-0.36101714467211854</v>
      </c>
      <c r="E66">
        <f t="shared" si="7"/>
        <v>45.99982524013172</v>
      </c>
    </row>
    <row r="67" spans="1:5">
      <c r="A67">
        <v>2011</v>
      </c>
      <c r="B67">
        <v>2</v>
      </c>
      <c r="C67">
        <f t="shared" si="5"/>
        <v>6.8129118623698651E-2</v>
      </c>
      <c r="D67">
        <f t="shared" si="6"/>
        <v>-2.6863505709645397</v>
      </c>
      <c r="E67">
        <f t="shared" si="7"/>
        <v>4.4965218291641111</v>
      </c>
    </row>
    <row r="68" spans="1:5">
      <c r="A68">
        <v>2012</v>
      </c>
      <c r="B68">
        <v>0</v>
      </c>
      <c r="C68">
        <f t="shared" si="5"/>
        <v>0.69696704909290486</v>
      </c>
      <c r="D68">
        <f t="shared" si="6"/>
        <v>-0.36101714467211854</v>
      </c>
      <c r="E68">
        <f t="shared" si="7"/>
        <v>45.99982524013172</v>
      </c>
    </row>
    <row r="69" spans="1:5">
      <c r="A69">
        <v>2013</v>
      </c>
      <c r="B69">
        <v>0</v>
      </c>
      <c r="C69">
        <f t="shared" si="5"/>
        <v>0.69696704909290486</v>
      </c>
      <c r="D69">
        <f t="shared" si="6"/>
        <v>-0.36101714467211854</v>
      </c>
      <c r="E69">
        <f t="shared" si="7"/>
        <v>45.99982524013172</v>
      </c>
    </row>
    <row r="70" spans="1:5">
      <c r="A70">
        <v>2014</v>
      </c>
      <c r="B70">
        <v>0</v>
      </c>
      <c r="C70">
        <f t="shared" si="5"/>
        <v>0.69696704909290486</v>
      </c>
      <c r="D70">
        <f t="shared" si="6"/>
        <v>-0.36101714467211854</v>
      </c>
      <c r="E70">
        <f t="shared" si="7"/>
        <v>45.99982524013172</v>
      </c>
    </row>
    <row r="71" spans="1:5">
      <c r="A71">
        <v>2015</v>
      </c>
      <c r="B71">
        <v>0</v>
      </c>
      <c r="C71">
        <f>(($B$2/($B$2+1))^$B$1)*((1/($B$2+1))^B71)*(EXP(GAMMALN($B$1+B71)-GAMMALN($B$1)-GAMMALN(B71+1)))</f>
        <v>0.69696704909290486</v>
      </c>
      <c r="D71">
        <f>LN(C71)</f>
        <v>-0.36101714467211854</v>
      </c>
      <c r="E71">
        <f>C71*66</f>
        <v>45.99982524013172</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Original Data RANKINGS</vt:lpstr>
      <vt:lpstr>Original Data ACCIDENTS</vt:lpstr>
      <vt:lpstr>Poisson Model minus severity 1</vt:lpstr>
      <vt:lpstr>Poisson Model w spike</vt:lpstr>
      <vt:lpstr>Poisson Model</vt:lpstr>
      <vt:lpstr>NBD with spike (not used) </vt:lpstr>
      <vt:lpstr>Original Data Accident Counts</vt:lpstr>
      <vt:lpstr>NBD Model later 33 year (no use</vt:lpstr>
      <vt:lpstr>M&amp;Z</vt:lpstr>
      <vt:lpstr>MoM</vt:lpstr>
      <vt:lpstr>NBD Model</vt:lpstr>
      <vt:lpstr>NBD Model 1st 33 year (not used</vt:lpstr>
      <vt:lpstr>NBD for Severity of Accident</vt:lpstr>
      <vt:lpstr>Power Plants by Country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Raevsky</cp:lastModifiedBy>
  <dcterms:created xsi:type="dcterms:W3CDTF">2016-02-24T18:26:14Z</dcterms:created>
  <dcterms:modified xsi:type="dcterms:W3CDTF">2016-02-24T19:45:37Z</dcterms:modified>
</cp:coreProperties>
</file>