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360" windowHeight="14380" tabRatio="758" activeTab="1"/>
  </bookViews>
  <sheets>
    <sheet name="data" sheetId="1" r:id="rId1"/>
    <sheet name="Final Chart W+4Cov" sheetId="7" r:id="rId2"/>
    <sheet name="W + 4Cov (+Model 3, Powerwall)" sheetId="6" r:id="rId3"/>
    <sheet name="W + 2Cov (+Model X) " sheetId="4" r:id="rId4"/>
    <sheet name="W + Cov (+ Oil Price)" sheetId="3" r:id="rId5"/>
    <sheet name="E + Cov" sheetId="2" r:id="rId6"/>
  </sheets>
  <definedNames>
    <definedName name="solver_adj" localSheetId="5" hidden="1">'E + Cov'!$I$1:$I$2</definedName>
    <definedName name="solver_adj" localSheetId="3" hidden="1">'W + 2Cov (+Model X) '!$G$1:$G$2,'W + 2Cov (+Model X) '!$K$1:$K$4</definedName>
    <definedName name="solver_adj" localSheetId="2" hidden="1">'W + 4Cov (+Model 3, Powerwall)'!$H$1:$H$2,'W + 4Cov (+Model 3, Powerwall)'!$J$1:$J$2,'W + 4Cov (+Model 3, Powerwall)'!$M$1:$M$6</definedName>
    <definedName name="solver_adj" localSheetId="4" hidden="1">'W + Cov (+ Oil Price)'!$I$1:$I$3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lhs1" localSheetId="5" hidden="1">'E + Cov'!$I$1</definedName>
    <definedName name="solver_lhs1" localSheetId="3" hidden="1">'W + 2Cov (+Model X) '!$K$1:$K$2</definedName>
    <definedName name="solver_lhs1" localSheetId="2" hidden="1">'W + 4Cov (+Model 3, Powerwall)'!$M$1:$M$2</definedName>
    <definedName name="solver_lhs1" localSheetId="4" hidden="1">'W + Cov (+ Oil Price)'!$I$1:$I$2</definedName>
    <definedName name="solver_lin" localSheetId="5" hidden="1">2</definedName>
    <definedName name="solver_lin" localSheetId="3" hidden="1">2</definedName>
    <definedName name="solver_lin" localSheetId="2" hidden="1">2</definedName>
    <definedName name="solver_lin" localSheetId="4" hidden="1">2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um" localSheetId="5" hidden="1">1</definedName>
    <definedName name="solver_num" localSheetId="3" hidden="1">1</definedName>
    <definedName name="solver_num" localSheetId="2" hidden="1">1</definedName>
    <definedName name="solver_num" localSheetId="4" hidden="1">1</definedName>
    <definedName name="solver_opt" localSheetId="5" hidden="1">'E + Cov'!$I$3</definedName>
    <definedName name="solver_opt" localSheetId="3" hidden="1">'W + 2Cov (+Model X) '!$K$5</definedName>
    <definedName name="solver_opt" localSheetId="2" hidden="1">'W + 4Cov (+Model 3, Powerwall)'!$M$7</definedName>
    <definedName name="solver_opt" localSheetId="4" hidden="1">'W + Cov (+ Oil Price)'!$I$4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el1" localSheetId="5" hidden="1">3</definedName>
    <definedName name="solver_rel1" localSheetId="3" hidden="1">3</definedName>
    <definedName name="solver_rel1" localSheetId="2" hidden="1">3</definedName>
    <definedName name="solver_rel1" localSheetId="4" hidden="1">3</definedName>
    <definedName name="solver_rhs1" localSheetId="5" hidden="1">0.000000001</definedName>
    <definedName name="solver_rhs1" localSheetId="3" hidden="1">0.000000001</definedName>
    <definedName name="solver_rhs1" localSheetId="2" hidden="1">0.000000001</definedName>
    <definedName name="solver_rhs1" localSheetId="4" hidden="1">0.000000001</definedName>
    <definedName name="solver_rlx" localSheetId="5" hidden="1">1</definedName>
    <definedName name="solver_rlx" localSheetId="3" hidden="1">1</definedName>
    <definedName name="solver_rlx" localSheetId="2" hidden="1">1</definedName>
    <definedName name="solver_rlx" localSheetId="4" hidden="1">1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scl" localSheetId="5" hidden="1">2</definedName>
    <definedName name="solver_scl" localSheetId="3" hidden="1">2</definedName>
    <definedName name="solver_scl" localSheetId="2" hidden="1">2</definedName>
    <definedName name="solver_scl" localSheetId="4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yp" localSheetId="5" hidden="1">1</definedName>
    <definedName name="solver_typ" localSheetId="3" hidden="1">1</definedName>
    <definedName name="solver_typ" localSheetId="2" hidden="1">1</definedName>
    <definedName name="solver_typ" localSheetId="4" hidden="1">1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er" localSheetId="5" hidden="1">2</definedName>
    <definedName name="solver_ver" localSheetId="3" hidden="1">2</definedName>
    <definedName name="solver_ver" localSheetId="2" hidden="1">2</definedName>
    <definedName name="solver_ver" localSheetId="4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6" l="1"/>
  <c r="L25" i="6"/>
  <c r="L24" i="6"/>
  <c r="L22" i="6"/>
  <c r="M22" i="6"/>
  <c r="M23" i="6"/>
  <c r="M24" i="6"/>
  <c r="M25" i="6"/>
  <c r="N25" i="6"/>
  <c r="N24" i="6"/>
  <c r="O25" i="6"/>
  <c r="P25" i="6"/>
  <c r="L10" i="6"/>
  <c r="M10" i="6"/>
  <c r="N10" i="6"/>
  <c r="O10" i="6"/>
  <c r="P10" i="6"/>
  <c r="R10" i="6"/>
  <c r="S10" i="6"/>
  <c r="U10" i="6"/>
  <c r="L11" i="6"/>
  <c r="M11" i="6"/>
  <c r="N11" i="6"/>
  <c r="O11" i="6"/>
  <c r="P11" i="6"/>
  <c r="R11" i="6"/>
  <c r="S11" i="6"/>
  <c r="U11" i="6"/>
  <c r="L12" i="6"/>
  <c r="M12" i="6"/>
  <c r="N12" i="6"/>
  <c r="O12" i="6"/>
  <c r="P12" i="6"/>
  <c r="R12" i="6"/>
  <c r="S12" i="6"/>
  <c r="U12" i="6"/>
  <c r="L13" i="6"/>
  <c r="M13" i="6"/>
  <c r="N13" i="6"/>
  <c r="O13" i="6"/>
  <c r="P13" i="6"/>
  <c r="R13" i="6"/>
  <c r="S13" i="6"/>
  <c r="U13" i="6"/>
  <c r="L14" i="6"/>
  <c r="M14" i="6"/>
  <c r="N14" i="6"/>
  <c r="O14" i="6"/>
  <c r="P14" i="6"/>
  <c r="R14" i="6"/>
  <c r="S14" i="6"/>
  <c r="U14" i="6"/>
  <c r="L15" i="6"/>
  <c r="M15" i="6"/>
  <c r="N15" i="6"/>
  <c r="O15" i="6"/>
  <c r="P15" i="6"/>
  <c r="R15" i="6"/>
  <c r="S15" i="6"/>
  <c r="U15" i="6"/>
  <c r="L16" i="6"/>
  <c r="M16" i="6"/>
  <c r="N16" i="6"/>
  <c r="O16" i="6"/>
  <c r="P16" i="6"/>
  <c r="R16" i="6"/>
  <c r="S16" i="6"/>
  <c r="U16" i="6"/>
  <c r="L17" i="6"/>
  <c r="M17" i="6"/>
  <c r="N17" i="6"/>
  <c r="O17" i="6"/>
  <c r="P17" i="6"/>
  <c r="R17" i="6"/>
  <c r="S17" i="6"/>
  <c r="U17" i="6"/>
  <c r="L18" i="6"/>
  <c r="M18" i="6"/>
  <c r="N18" i="6"/>
  <c r="O18" i="6"/>
  <c r="P18" i="6"/>
  <c r="R18" i="6"/>
  <c r="S18" i="6"/>
  <c r="U18" i="6"/>
  <c r="L19" i="6"/>
  <c r="M19" i="6"/>
  <c r="N19" i="6"/>
  <c r="O19" i="6"/>
  <c r="P19" i="6"/>
  <c r="R19" i="6"/>
  <c r="S19" i="6"/>
  <c r="U19" i="6"/>
  <c r="L20" i="6"/>
  <c r="M20" i="6"/>
  <c r="N20" i="6"/>
  <c r="O20" i="6"/>
  <c r="P20" i="6"/>
  <c r="R20" i="6"/>
  <c r="S20" i="6"/>
  <c r="U20" i="6"/>
  <c r="L21" i="6"/>
  <c r="M21" i="6"/>
  <c r="N21" i="6"/>
  <c r="O21" i="6"/>
  <c r="P21" i="6"/>
  <c r="R21" i="6"/>
  <c r="S21" i="6"/>
  <c r="U21" i="6"/>
  <c r="N22" i="6"/>
  <c r="O22" i="6"/>
  <c r="P22" i="6"/>
  <c r="R22" i="6"/>
  <c r="S22" i="6"/>
  <c r="U22" i="6"/>
  <c r="L23" i="6"/>
  <c r="N23" i="6"/>
  <c r="O23" i="6"/>
  <c r="P23" i="6"/>
  <c r="R23" i="6"/>
  <c r="S23" i="6"/>
  <c r="U23" i="6"/>
  <c r="O24" i="6"/>
  <c r="P24" i="6"/>
  <c r="R24" i="6"/>
  <c r="S24" i="6"/>
  <c r="U24" i="6"/>
  <c r="G25" i="6"/>
  <c r="J25" i="6"/>
  <c r="C1" i="6"/>
  <c r="R25" i="6"/>
  <c r="S25" i="6"/>
  <c r="U25" i="6"/>
  <c r="S6" i="6"/>
  <c r="H23" i="6"/>
  <c r="J23" i="6"/>
  <c r="J21" i="6"/>
  <c r="H22" i="6"/>
  <c r="J22" i="6"/>
  <c r="H24" i="6"/>
  <c r="J24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M7" i="6"/>
  <c r="S1" i="6"/>
  <c r="G21" i="4"/>
  <c r="G22" i="4"/>
  <c r="G23" i="4"/>
  <c r="G20" i="4"/>
  <c r="J8" i="4"/>
  <c r="K8" i="4"/>
  <c r="J9" i="4"/>
  <c r="K9" i="4"/>
  <c r="J10" i="4"/>
  <c r="K10" i="4"/>
  <c r="L10" i="4"/>
  <c r="L9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L8" i="4"/>
  <c r="M9" i="4"/>
  <c r="K8" i="3"/>
  <c r="K7" i="3"/>
  <c r="M8" i="4"/>
  <c r="P23" i="4"/>
  <c r="I8" i="3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8" i="4"/>
  <c r="K5" i="4"/>
  <c r="S23" i="4"/>
  <c r="B1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Q23" i="4"/>
  <c r="S22" i="4"/>
  <c r="P22" i="4"/>
  <c r="Q22" i="4"/>
  <c r="S21" i="4"/>
  <c r="P21" i="4"/>
  <c r="Q21" i="4"/>
  <c r="S20" i="4"/>
  <c r="P20" i="4"/>
  <c r="Q20" i="4"/>
  <c r="S19" i="4"/>
  <c r="P19" i="4"/>
  <c r="Q19" i="4"/>
  <c r="S18" i="4"/>
  <c r="P18" i="4"/>
  <c r="Q18" i="4"/>
  <c r="S17" i="4"/>
  <c r="P17" i="4"/>
  <c r="Q17" i="4"/>
  <c r="S16" i="4"/>
  <c r="P16" i="4"/>
  <c r="Q16" i="4"/>
  <c r="S15" i="4"/>
  <c r="P15" i="4"/>
  <c r="Q15" i="4"/>
  <c r="S14" i="4"/>
  <c r="P14" i="4"/>
  <c r="Q14" i="4"/>
  <c r="S13" i="4"/>
  <c r="P13" i="4"/>
  <c r="Q13" i="4"/>
  <c r="S12" i="4"/>
  <c r="P12" i="4"/>
  <c r="Q12" i="4"/>
  <c r="S11" i="4"/>
  <c r="P11" i="4"/>
  <c r="Q11" i="4"/>
  <c r="S10" i="4"/>
  <c r="P10" i="4"/>
  <c r="Q10" i="4"/>
  <c r="S9" i="4"/>
  <c r="P9" i="4"/>
  <c r="Q9" i="4"/>
  <c r="S8" i="4"/>
  <c r="P8" i="4"/>
  <c r="Q8" i="4"/>
  <c r="Q4" i="4"/>
  <c r="Q1" i="4"/>
  <c r="O2" i="2"/>
  <c r="O3" i="3"/>
  <c r="O1" i="3"/>
  <c r="H7" i="3"/>
  <c r="I7" i="3"/>
  <c r="H8" i="3"/>
  <c r="H9" i="3"/>
  <c r="I9" i="3"/>
  <c r="J9" i="3"/>
  <c r="J8" i="3"/>
  <c r="K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Q22" i="3"/>
  <c r="B1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J22" i="3"/>
  <c r="J21" i="3"/>
  <c r="K22" i="3"/>
  <c r="N22" i="3"/>
  <c r="O22" i="3"/>
  <c r="L22" i="3"/>
  <c r="Q21" i="3"/>
  <c r="J20" i="3"/>
  <c r="K21" i="3"/>
  <c r="N21" i="3"/>
  <c r="O21" i="3"/>
  <c r="L21" i="3"/>
  <c r="Q20" i="3"/>
  <c r="J19" i="3"/>
  <c r="K20" i="3"/>
  <c r="N20" i="3"/>
  <c r="O20" i="3"/>
  <c r="L20" i="3"/>
  <c r="Q19" i="3"/>
  <c r="J18" i="3"/>
  <c r="K19" i="3"/>
  <c r="N19" i="3"/>
  <c r="O19" i="3"/>
  <c r="L19" i="3"/>
  <c r="Q18" i="3"/>
  <c r="J17" i="3"/>
  <c r="K18" i="3"/>
  <c r="N18" i="3"/>
  <c r="O18" i="3"/>
  <c r="L18" i="3"/>
  <c r="Q17" i="3"/>
  <c r="J16" i="3"/>
  <c r="K17" i="3"/>
  <c r="N17" i="3"/>
  <c r="O17" i="3"/>
  <c r="L17" i="3"/>
  <c r="Q16" i="3"/>
  <c r="J15" i="3"/>
  <c r="K16" i="3"/>
  <c r="N16" i="3"/>
  <c r="O16" i="3"/>
  <c r="L16" i="3"/>
  <c r="Q15" i="3"/>
  <c r="J14" i="3"/>
  <c r="K15" i="3"/>
  <c r="N15" i="3"/>
  <c r="O15" i="3"/>
  <c r="L15" i="3"/>
  <c r="Q14" i="3"/>
  <c r="J13" i="3"/>
  <c r="K14" i="3"/>
  <c r="N14" i="3"/>
  <c r="O14" i="3"/>
  <c r="L14" i="3"/>
  <c r="Q13" i="3"/>
  <c r="J12" i="3"/>
  <c r="K13" i="3"/>
  <c r="N13" i="3"/>
  <c r="O13" i="3"/>
  <c r="L13" i="3"/>
  <c r="Q12" i="3"/>
  <c r="J11" i="3"/>
  <c r="K12" i="3"/>
  <c r="N12" i="3"/>
  <c r="O12" i="3"/>
  <c r="L12" i="3"/>
  <c r="Q11" i="3"/>
  <c r="J10" i="3"/>
  <c r="K11" i="3"/>
  <c r="N11" i="3"/>
  <c r="O11" i="3"/>
  <c r="L11" i="3"/>
  <c r="Q10" i="3"/>
  <c r="K10" i="3"/>
  <c r="N10" i="3"/>
  <c r="O10" i="3"/>
  <c r="L10" i="3"/>
  <c r="Q9" i="3"/>
  <c r="N9" i="3"/>
  <c r="O9" i="3"/>
  <c r="L9" i="3"/>
  <c r="Q8" i="3"/>
  <c r="J7" i="3"/>
  <c r="N8" i="3"/>
  <c r="O8" i="3"/>
  <c r="L8" i="3"/>
  <c r="Q7" i="3"/>
  <c r="N7" i="3"/>
  <c r="O7" i="3"/>
  <c r="L7" i="3"/>
  <c r="I4" i="3"/>
  <c r="J11" i="2"/>
  <c r="J10" i="2"/>
  <c r="K11" i="2"/>
  <c r="L11" i="2"/>
  <c r="J6" i="2"/>
  <c r="K6" i="2"/>
  <c r="N6" i="2"/>
  <c r="Q7" i="2"/>
  <c r="Q6" i="2"/>
  <c r="H10" i="2"/>
  <c r="J9" i="2"/>
  <c r="J8" i="2"/>
  <c r="K9" i="2"/>
  <c r="N9" i="2"/>
  <c r="K10" i="2"/>
  <c r="N10" i="2"/>
  <c r="J20" i="2"/>
  <c r="J19" i="2"/>
  <c r="K20" i="2"/>
  <c r="L20" i="2"/>
  <c r="L6" i="2"/>
  <c r="J7" i="2"/>
  <c r="K7" i="2"/>
  <c r="K8" i="2"/>
  <c r="I17" i="2"/>
  <c r="H7" i="2"/>
  <c r="H6" i="2"/>
  <c r="I7" i="2"/>
  <c r="I6" i="2"/>
  <c r="I10" i="2"/>
  <c r="I9" i="2"/>
  <c r="I8" i="2"/>
  <c r="L10" i="2"/>
  <c r="H8" i="2"/>
  <c r="H9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H18" i="2"/>
  <c r="I18" i="2"/>
  <c r="H19" i="2"/>
  <c r="I19" i="2"/>
  <c r="H20" i="2"/>
  <c r="I20" i="2"/>
  <c r="H21" i="2"/>
  <c r="I21" i="2"/>
  <c r="J21" i="2"/>
  <c r="K21" i="2"/>
  <c r="J13" i="2"/>
  <c r="G4" i="1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L7" i="2"/>
  <c r="L8" i="2"/>
  <c r="L9" i="2"/>
  <c r="J12" i="2"/>
  <c r="K12" i="2"/>
  <c r="L12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J18" i="2"/>
  <c r="K18" i="2"/>
  <c r="L18" i="2"/>
  <c r="K19" i="2"/>
  <c r="L19" i="2"/>
  <c r="L21" i="2"/>
  <c r="I3" i="2"/>
  <c r="O1" i="2"/>
  <c r="N21" i="2"/>
  <c r="O21" i="2"/>
  <c r="O6" i="2"/>
  <c r="N7" i="2"/>
  <c r="O7" i="2"/>
  <c r="N8" i="2"/>
  <c r="O8" i="2"/>
  <c r="O9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B1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</calcChain>
</file>

<file path=xl/sharedStrings.xml><?xml version="1.0" encoding="utf-8"?>
<sst xmlns="http://schemas.openxmlformats.org/spreadsheetml/2006/main" count="151" uniqueCount="59">
  <si>
    <t>Tesla Model S sales over time</t>
  </si>
  <si>
    <t>quarter</t>
  </si>
  <si>
    <t>year</t>
  </si>
  <si>
    <t>t</t>
  </si>
  <si>
    <t>sales</t>
  </si>
  <si>
    <t>oil price</t>
  </si>
  <si>
    <t>http://www.macrotrends.net/1369/crude-oil-price-history-chart</t>
  </si>
  <si>
    <t>feb, may, aug, nov</t>
  </si>
  <si>
    <t>oil adj. (/100)</t>
  </si>
  <si>
    <t>Q4 (holiday season)</t>
  </si>
  <si>
    <t>Open Source Patents</t>
  </si>
  <si>
    <t>Potential covariates</t>
  </si>
  <si>
    <t>introduced in June 2014</t>
  </si>
  <si>
    <t>Car catches fire</t>
  </si>
  <si>
    <t>Announce Powerwall</t>
  </si>
  <si>
    <t>Model X Deliveries</t>
  </si>
  <si>
    <t>Autopilot Introduced</t>
  </si>
  <si>
    <t>Model 3 Unveil</t>
  </si>
  <si>
    <t>lambda</t>
  </si>
  <si>
    <t>b_oil</t>
  </si>
  <si>
    <t>LL</t>
  </si>
  <si>
    <t>N =</t>
  </si>
  <si>
    <t>exp(BX)</t>
  </si>
  <si>
    <t>A(t)</t>
  </si>
  <si>
    <t>P(T&lt;=t)</t>
  </si>
  <si>
    <t>P(T=t)</t>
  </si>
  <si>
    <t>expected</t>
  </si>
  <si>
    <t>% error</t>
  </si>
  <si>
    <t>BIC</t>
  </si>
  <si>
    <t>MAPE</t>
  </si>
  <si>
    <t>oil (graphing)</t>
  </si>
  <si>
    <t>c</t>
  </si>
  <si>
    <t>B(t)</t>
  </si>
  <si>
    <t xml:space="preserve">  </t>
  </si>
  <si>
    <t>Model X</t>
  </si>
  <si>
    <t>b_mX</t>
  </si>
  <si>
    <t>gamma</t>
  </si>
  <si>
    <t>delta</t>
  </si>
  <si>
    <t>Model 3</t>
  </si>
  <si>
    <t>b_m3</t>
  </si>
  <si>
    <t>Powerwall</t>
  </si>
  <si>
    <t>b_pw</t>
  </si>
  <si>
    <t>Q, Yr</t>
  </si>
  <si>
    <t>Q3 2012</t>
  </si>
  <si>
    <t>Q4 2012</t>
  </si>
  <si>
    <t>Q1 2013</t>
  </si>
  <si>
    <t>Q3 2013</t>
  </si>
  <si>
    <t>Q4 2013</t>
  </si>
  <si>
    <t>Q1 2014</t>
  </si>
  <si>
    <t>Q3 2014</t>
  </si>
  <si>
    <t>Q4 2014</t>
  </si>
  <si>
    <t>Q1 2015</t>
  </si>
  <si>
    <t>Q3 2015</t>
  </si>
  <si>
    <t>Q4 2015</t>
  </si>
  <si>
    <t>Q1 2016</t>
  </si>
  <si>
    <t>Q2 2013</t>
  </si>
  <si>
    <t>Q2 2014</t>
  </si>
  <si>
    <t>Q2 2015</t>
  </si>
  <si>
    <t>Q2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</si>
</sst>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Lato Light"/>
    </font>
    <font>
      <sz val="10"/>
      <name val="Lato Light"/>
    </font>
    <font>
      <sz val="10"/>
      <color theme="1"/>
      <name val="Lato Light"/>
    </font>
    <font>
      <b/>
      <sz val="12"/>
      <color theme="1"/>
      <name val="Lato Light"/>
    </font>
    <font>
      <b/>
      <sz val="10"/>
      <color theme="1"/>
      <name val="Lato Light"/>
    </font>
    <font>
      <sz val="12"/>
      <color theme="1"/>
      <name val="Lato Regula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Border="1"/>
    <xf numFmtId="0" fontId="5" fillId="0" borderId="0" xfId="0" applyFon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/>
    <xf numFmtId="0" fontId="3" fillId="0" borderId="3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4" fillId="0" borderId="0" xfId="0" applyFont="1" applyBorder="1"/>
    <xf numFmtId="0" fontId="7" fillId="0" borderId="0" xfId="0" applyFont="1" applyBorder="1"/>
    <xf numFmtId="0" fontId="4" fillId="0" borderId="4" xfId="0" applyFont="1" applyBorder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8" xfId="0" applyFont="1" applyBorder="1"/>
    <xf numFmtId="0" fontId="5" fillId="0" borderId="9" xfId="0" applyFont="1" applyBorder="1"/>
    <xf numFmtId="0" fontId="6" fillId="0" borderId="10" xfId="0" applyFont="1" applyBorder="1" applyAlignment="1">
      <alignment horizontal="right"/>
    </xf>
    <xf numFmtId="0" fontId="6" fillId="0" borderId="11" xfId="0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0" fontId="3" fillId="0" borderId="13" xfId="0" applyFont="1" applyBorder="1"/>
    <xf numFmtId="0" fontId="3" fillId="0" borderId="1" xfId="0" applyFont="1" applyBorder="1"/>
    <xf numFmtId="0" fontId="6" fillId="0" borderId="1" xfId="0" applyFont="1" applyBorder="1"/>
    <xf numFmtId="0" fontId="3" fillId="0" borderId="14" xfId="0" applyFont="1" applyBorder="1"/>
    <xf numFmtId="0" fontId="9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 i="0">
                <a:latin typeface="Lato Regular"/>
                <a:cs typeface="Lato Regular"/>
              </a:defRPr>
            </a:pPr>
            <a:r>
              <a:rPr lang="en-US" b="0" i="0">
                <a:latin typeface="Lato Regular"/>
                <a:cs typeface="Lato Regular"/>
              </a:rPr>
              <a:t>Tesla</a:t>
            </a:r>
            <a:r>
              <a:rPr lang="en-US" b="0" i="0" baseline="0">
                <a:latin typeface="Lato Regular"/>
                <a:cs typeface="Lato Regular"/>
              </a:rPr>
              <a:t> Model S Sales by Quarter</a:t>
            </a:r>
          </a:p>
          <a:p>
            <a:pPr>
              <a:defRPr b="0" i="0">
                <a:latin typeface="Lato Regular"/>
                <a:cs typeface="Lato Regular"/>
              </a:defRPr>
            </a:pPr>
            <a:r>
              <a:rPr lang="en-US" b="0" i="0" baseline="0">
                <a:latin typeface="Lato Regular"/>
                <a:cs typeface="Lato Regular"/>
              </a:rPr>
              <a:t> </a:t>
            </a:r>
            <a:r>
              <a:rPr lang="en-US" sz="1600" b="0" i="0" baseline="0">
                <a:latin typeface="Lato Regular"/>
                <a:cs typeface="Lato Regular"/>
              </a:rPr>
              <a:t>controlling for other Tesla product launches (Model X, Model 3, Powerwall) </a:t>
            </a:r>
            <a:endParaRPr lang="en-US" b="0" i="0">
              <a:latin typeface="Lato Regular"/>
              <a:cs typeface="Lato Regular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7771118965321"/>
          <c:y val="0.162095172885998"/>
          <c:w val="0.669213838263249"/>
          <c:h val="0.653098254022595"/>
        </c:manualLayout>
      </c:layout>
      <c:lineChart>
        <c:grouping val="standard"/>
        <c:varyColors val="0"/>
        <c:ser>
          <c:idx val="0"/>
          <c:order val="0"/>
          <c:tx>
            <c:v>sales</c:v>
          </c:tx>
          <c:cat>
            <c:strRef>
              <c:f>'W + 4Cov (+Model 3, Powerwall)'!$A$10:$A$25</c:f>
              <c:strCache>
                <c:ptCount val="16"/>
                <c:pt idx="0">
                  <c:v>Q3 2012</c:v>
                </c:pt>
                <c:pt idx="1">
                  <c:v>Q4 2012</c:v>
                </c:pt>
                <c:pt idx="2">
                  <c:v>Q1 2013</c:v>
                </c:pt>
                <c:pt idx="3">
                  <c:v>Q2 2013</c:v>
                </c:pt>
                <c:pt idx="4">
                  <c:v>Q3 2013</c:v>
                </c:pt>
                <c:pt idx="5">
                  <c:v>Q4 2013</c:v>
                </c:pt>
                <c:pt idx="6">
                  <c:v>Q1 2014</c:v>
                </c:pt>
                <c:pt idx="7">
                  <c:v>Q2 2014</c:v>
                </c:pt>
                <c:pt idx="8">
                  <c:v>Q3 2014</c:v>
                </c:pt>
                <c:pt idx="9">
                  <c:v>Q4 2014</c:v>
                </c:pt>
                <c:pt idx="10">
                  <c:v>Q1 2015</c:v>
                </c:pt>
                <c:pt idx="11">
                  <c:v>Q2 2015</c:v>
                </c:pt>
                <c:pt idx="12">
                  <c:v>Q3 2015</c:v>
                </c:pt>
                <c:pt idx="13">
                  <c:v>Q4 2015</c:v>
                </c:pt>
                <c:pt idx="14">
                  <c:v>Q1 2016</c:v>
                </c:pt>
                <c:pt idx="15">
                  <c:v>Q2 2016</c:v>
                </c:pt>
              </c:strCache>
            </c:strRef>
          </c:cat>
          <c:val>
            <c:numRef>
              <c:f>'W + 4Cov (+Model 3, Powerwall)'!$E$10:$E$25</c:f>
              <c:numCache>
                <c:formatCode>General</c:formatCode>
                <c:ptCount val="16"/>
                <c:pt idx="0">
                  <c:v>250.0</c:v>
                </c:pt>
                <c:pt idx="1">
                  <c:v>2400.0</c:v>
                </c:pt>
                <c:pt idx="2">
                  <c:v>4900.0</c:v>
                </c:pt>
                <c:pt idx="3">
                  <c:v>5150.0</c:v>
                </c:pt>
                <c:pt idx="4">
                  <c:v>5500.0</c:v>
                </c:pt>
                <c:pt idx="5">
                  <c:v>6892.0</c:v>
                </c:pt>
                <c:pt idx="6">
                  <c:v>6457.0</c:v>
                </c:pt>
                <c:pt idx="7">
                  <c:v>7579.0</c:v>
                </c:pt>
                <c:pt idx="8">
                  <c:v>7785.0</c:v>
                </c:pt>
                <c:pt idx="9">
                  <c:v>9834.0</c:v>
                </c:pt>
                <c:pt idx="10">
                  <c:v>10045.0</c:v>
                </c:pt>
                <c:pt idx="11">
                  <c:v>11532.0</c:v>
                </c:pt>
                <c:pt idx="12">
                  <c:v>11597.0</c:v>
                </c:pt>
                <c:pt idx="13">
                  <c:v>17272.0</c:v>
                </c:pt>
                <c:pt idx="14">
                  <c:v>12420.0</c:v>
                </c:pt>
                <c:pt idx="15">
                  <c:v>9764.0</c:v>
                </c:pt>
              </c:numCache>
            </c:numRef>
          </c:val>
          <c:smooth val="0"/>
        </c:ser>
        <c:ser>
          <c:idx val="1"/>
          <c:order val="1"/>
          <c:tx>
            <c:v>projection</c:v>
          </c:tx>
          <c:spPr>
            <a:ln>
              <a:solidFill>
                <a:schemeClr val="accent3"/>
              </a:solidFill>
            </a:ln>
          </c:spPr>
          <c:marker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cat>
            <c:strRef>
              <c:f>'W + 4Cov (+Model 3, Powerwall)'!$A$10:$A$25</c:f>
              <c:strCache>
                <c:ptCount val="16"/>
                <c:pt idx="0">
                  <c:v>Q3 2012</c:v>
                </c:pt>
                <c:pt idx="1">
                  <c:v>Q4 2012</c:v>
                </c:pt>
                <c:pt idx="2">
                  <c:v>Q1 2013</c:v>
                </c:pt>
                <c:pt idx="3">
                  <c:v>Q2 2013</c:v>
                </c:pt>
                <c:pt idx="4">
                  <c:v>Q3 2013</c:v>
                </c:pt>
                <c:pt idx="5">
                  <c:v>Q4 2013</c:v>
                </c:pt>
                <c:pt idx="6">
                  <c:v>Q1 2014</c:v>
                </c:pt>
                <c:pt idx="7">
                  <c:v>Q2 2014</c:v>
                </c:pt>
                <c:pt idx="8">
                  <c:v>Q3 2014</c:v>
                </c:pt>
                <c:pt idx="9">
                  <c:v>Q4 2014</c:v>
                </c:pt>
                <c:pt idx="10">
                  <c:v>Q1 2015</c:v>
                </c:pt>
                <c:pt idx="11">
                  <c:v>Q2 2015</c:v>
                </c:pt>
                <c:pt idx="12">
                  <c:v>Q3 2015</c:v>
                </c:pt>
                <c:pt idx="13">
                  <c:v>Q4 2015</c:v>
                </c:pt>
                <c:pt idx="14">
                  <c:v>Q1 2016</c:v>
                </c:pt>
                <c:pt idx="15">
                  <c:v>Q2 2016</c:v>
                </c:pt>
              </c:strCache>
            </c:strRef>
          </c:cat>
          <c:val>
            <c:numRef>
              <c:f>'W + 4Cov (+Model 3, Powerwall)'!$R$10:$R$25</c:f>
              <c:numCache>
                <c:formatCode>General</c:formatCode>
                <c:ptCount val="16"/>
                <c:pt idx="0">
                  <c:v>819.6327518752762</c:v>
                </c:pt>
                <c:pt idx="1">
                  <c:v>2414.30602382036</c:v>
                </c:pt>
                <c:pt idx="2">
                  <c:v>3745.931177604813</c:v>
                </c:pt>
                <c:pt idx="3">
                  <c:v>4971.709171776148</c:v>
                </c:pt>
                <c:pt idx="4">
                  <c:v>5456.849779882841</c:v>
                </c:pt>
                <c:pt idx="5">
                  <c:v>6859.348927954374</c:v>
                </c:pt>
                <c:pt idx="6">
                  <c:v>7067.836233584602</c:v>
                </c:pt>
                <c:pt idx="7">
                  <c:v>7541.54630121087</c:v>
                </c:pt>
                <c:pt idx="8">
                  <c:v>8051.39349613179</c:v>
                </c:pt>
                <c:pt idx="9">
                  <c:v>9737.19306973889</c:v>
                </c:pt>
                <c:pt idx="10">
                  <c:v>10275.45807951289</c:v>
                </c:pt>
                <c:pt idx="11">
                  <c:v>11503.74405001694</c:v>
                </c:pt>
                <c:pt idx="12">
                  <c:v>11570.15788939651</c:v>
                </c:pt>
                <c:pt idx="13">
                  <c:v>17229.03303119074</c:v>
                </c:pt>
                <c:pt idx="14">
                  <c:v>12388.81685687718</c:v>
                </c:pt>
                <c:pt idx="15">
                  <c:v>9744.043159425773</c:v>
                </c:pt>
              </c:numCache>
            </c:numRef>
          </c:val>
          <c:smooth val="0"/>
        </c:ser>
        <c:ser>
          <c:idx val="2"/>
          <c:order val="2"/>
          <c:tx>
            <c:v>oil prices</c:v>
          </c:tx>
          <c:spPr>
            <a:ln w="28575" cmpd="sng">
              <a:solidFill>
                <a:schemeClr val="tx1">
                  <a:lumMod val="65000"/>
                  <a:lumOff val="35000"/>
                </a:schemeClr>
              </a:solidFill>
              <a:prstDash val="dash"/>
            </a:ln>
          </c:spPr>
          <c:marker>
            <c:spPr>
              <a:solidFill>
                <a:schemeClr val="tx1">
                  <a:lumMod val="65000"/>
                  <a:lumOff val="35000"/>
                </a:schemeClr>
              </a:solidFill>
              <a:ln w="28575" cmpd="sng">
                <a:solidFill>
                  <a:schemeClr val="tx1">
                    <a:lumMod val="65000"/>
                    <a:lumOff val="35000"/>
                  </a:schemeClr>
                </a:solidFill>
                <a:prstDash val="dash"/>
              </a:ln>
            </c:spPr>
          </c:marker>
          <c:cat>
            <c:strRef>
              <c:f>'W + 4Cov (+Model 3, Powerwall)'!$A$10:$A$25</c:f>
              <c:strCache>
                <c:ptCount val="16"/>
                <c:pt idx="0">
                  <c:v>Q3 2012</c:v>
                </c:pt>
                <c:pt idx="1">
                  <c:v>Q4 2012</c:v>
                </c:pt>
                <c:pt idx="2">
                  <c:v>Q1 2013</c:v>
                </c:pt>
                <c:pt idx="3">
                  <c:v>Q2 2013</c:v>
                </c:pt>
                <c:pt idx="4">
                  <c:v>Q3 2013</c:v>
                </c:pt>
                <c:pt idx="5">
                  <c:v>Q4 2013</c:v>
                </c:pt>
                <c:pt idx="6">
                  <c:v>Q1 2014</c:v>
                </c:pt>
                <c:pt idx="7">
                  <c:v>Q2 2014</c:v>
                </c:pt>
                <c:pt idx="8">
                  <c:v>Q3 2014</c:v>
                </c:pt>
                <c:pt idx="9">
                  <c:v>Q4 2014</c:v>
                </c:pt>
                <c:pt idx="10">
                  <c:v>Q1 2015</c:v>
                </c:pt>
                <c:pt idx="11">
                  <c:v>Q2 2015</c:v>
                </c:pt>
                <c:pt idx="12">
                  <c:v>Q3 2015</c:v>
                </c:pt>
                <c:pt idx="13">
                  <c:v>Q4 2015</c:v>
                </c:pt>
                <c:pt idx="14">
                  <c:v>Q1 2016</c:v>
                </c:pt>
                <c:pt idx="15">
                  <c:v>Q2 2016</c:v>
                </c:pt>
              </c:strCache>
            </c:strRef>
          </c:cat>
          <c:val>
            <c:numRef>
              <c:f>'W + 4Cov (+Model 3, Powerwall)'!$U$10:$U$25</c:f>
              <c:numCache>
                <c:formatCode>General</c:formatCode>
                <c:ptCount val="16"/>
                <c:pt idx="0">
                  <c:v>9927.0</c:v>
                </c:pt>
                <c:pt idx="1">
                  <c:v>9120.0</c:v>
                </c:pt>
                <c:pt idx="2">
                  <c:v>9396.0</c:v>
                </c:pt>
                <c:pt idx="3">
                  <c:v>9358.0</c:v>
                </c:pt>
                <c:pt idx="4">
                  <c:v>10949.0</c:v>
                </c:pt>
                <c:pt idx="5">
                  <c:v>9412.0</c:v>
                </c:pt>
                <c:pt idx="6">
                  <c:v>10391.0</c:v>
                </c:pt>
                <c:pt idx="7">
                  <c:v>10309.0</c:v>
                </c:pt>
                <c:pt idx="8">
                  <c:v>9757.0</c:v>
                </c:pt>
                <c:pt idx="9">
                  <c:v>6620.0</c:v>
                </c:pt>
                <c:pt idx="10">
                  <c:v>5034.0</c:v>
                </c:pt>
                <c:pt idx="11">
                  <c:v>6007.0</c:v>
                </c:pt>
                <c:pt idx="12">
                  <c:v>4895.0</c:v>
                </c:pt>
                <c:pt idx="13">
                  <c:v>4039.0</c:v>
                </c:pt>
                <c:pt idx="14">
                  <c:v>3162.0</c:v>
                </c:pt>
                <c:pt idx="15">
                  <c:v>4846.0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5176"/>
        <c:axId val="2019936552"/>
      </c:lineChart>
      <c:catAx>
        <c:axId val="2144675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0" i="0">
                    <a:latin typeface="Lato Regular"/>
                    <a:cs typeface="Lato Regular"/>
                  </a:defRPr>
                </a:pPr>
                <a:r>
                  <a:rPr lang="en-US" sz="1400" b="0" i="0">
                    <a:latin typeface="Lato Regular"/>
                    <a:cs typeface="Lato Regular"/>
                  </a:rPr>
                  <a:t>Quarter</a:t>
                </a:r>
              </a:p>
            </c:rich>
          </c:tx>
          <c:layout>
            <c:manualLayout>
              <c:xMode val="edge"/>
              <c:yMode val="edge"/>
              <c:x val="0.422219290283084"/>
              <c:y val="0.9422332008256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3600000" vert="horz"/>
          <a:lstStyle/>
          <a:p>
            <a:pPr>
              <a:defRPr/>
            </a:pPr>
            <a:endParaRPr lang="en-US"/>
          </a:p>
        </c:txPr>
        <c:crossAx val="2019936552"/>
        <c:crosses val="autoZero"/>
        <c:auto val="1"/>
        <c:lblAlgn val="ctr"/>
        <c:lblOffset val="100"/>
        <c:noMultiLvlLbl val="0"/>
      </c:catAx>
      <c:valAx>
        <c:axId val="2019936552"/>
        <c:scaling>
          <c:orientation val="minMax"/>
        </c:scaling>
        <c:delete val="0"/>
        <c:axPos val="l"/>
        <c:majorGridlines/>
        <c:title>
          <c:tx>
            <c:rich>
              <a:bodyPr rot="-3600000" vert="horz"/>
              <a:lstStyle/>
              <a:p>
                <a:pPr>
                  <a:defRPr b="0" i="0">
                    <a:latin typeface="Lato Regular"/>
                    <a:cs typeface="Lato Regular"/>
                  </a:defRPr>
                </a:pPr>
                <a:r>
                  <a:rPr lang="en-US" sz="1400" b="0" i="0">
                    <a:latin typeface="Lato Regular"/>
                    <a:cs typeface="Lato Regular"/>
                  </a:rPr>
                  <a:t>#</a:t>
                </a:r>
                <a:r>
                  <a:rPr lang="en-US" sz="1400" b="0" i="0" baseline="0">
                    <a:latin typeface="Lato Regular"/>
                    <a:cs typeface="Lato Regular"/>
                  </a:rPr>
                  <a:t> of </a:t>
                </a:r>
              </a:p>
              <a:p>
                <a:pPr>
                  <a:defRPr b="0" i="0">
                    <a:latin typeface="Lato Regular"/>
                    <a:cs typeface="Lato Regular"/>
                  </a:defRPr>
                </a:pPr>
                <a:r>
                  <a:rPr lang="en-US" sz="1400" b="0" i="0">
                    <a:latin typeface="Lato Regular"/>
                    <a:cs typeface="Lato Regular"/>
                  </a:rPr>
                  <a:t>Model</a:t>
                </a:r>
                <a:r>
                  <a:rPr lang="en-US" sz="1400" b="0" i="0" baseline="0">
                    <a:latin typeface="Lato Regular"/>
                    <a:cs typeface="Lato Regular"/>
                  </a:rPr>
                  <a:t> S  Sold</a:t>
                </a:r>
                <a:endParaRPr lang="en-US" sz="1400" b="0" i="0">
                  <a:latin typeface="Lato Regular"/>
                  <a:cs typeface="Lato Regular"/>
                </a:endParaRPr>
              </a:p>
            </c:rich>
          </c:tx>
          <c:layout>
            <c:manualLayout>
              <c:xMode val="edge"/>
              <c:yMode val="edge"/>
              <c:x val="0.000648382255962243"/>
              <c:y val="0.3469861348853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4675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40638109792"/>
          <c:y val="0.407501201434328"/>
          <c:w val="0.160248455604059"/>
          <c:h val="0.190161916380171"/>
        </c:manualLayout>
      </c:layout>
      <c:overlay val="0"/>
      <c:txPr>
        <a:bodyPr/>
        <a:lstStyle/>
        <a:p>
          <a:pPr>
            <a:defRPr sz="1600" b="0" i="0">
              <a:latin typeface="Lato Light"/>
              <a:cs typeface="Lato Light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cat>
            <c:numRef>
              <c:f>'W + 2Cov (+Model X) '!$C$8:$C$23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+ 2Cov (+Model X) '!$D$8:$D$23</c:f>
              <c:numCache>
                <c:formatCode>General</c:formatCode>
                <c:ptCount val="16"/>
                <c:pt idx="0">
                  <c:v>250.0</c:v>
                </c:pt>
                <c:pt idx="1">
                  <c:v>2400.0</c:v>
                </c:pt>
                <c:pt idx="2">
                  <c:v>4900.0</c:v>
                </c:pt>
                <c:pt idx="3">
                  <c:v>5150.0</c:v>
                </c:pt>
                <c:pt idx="4">
                  <c:v>5500.0</c:v>
                </c:pt>
                <c:pt idx="5">
                  <c:v>6892.0</c:v>
                </c:pt>
                <c:pt idx="6">
                  <c:v>6457.0</c:v>
                </c:pt>
                <c:pt idx="7">
                  <c:v>7579.0</c:v>
                </c:pt>
                <c:pt idx="8">
                  <c:v>7785.0</c:v>
                </c:pt>
                <c:pt idx="9">
                  <c:v>9834.0</c:v>
                </c:pt>
                <c:pt idx="10">
                  <c:v>10045.0</c:v>
                </c:pt>
                <c:pt idx="11">
                  <c:v>11532.0</c:v>
                </c:pt>
                <c:pt idx="12">
                  <c:v>11597.0</c:v>
                </c:pt>
                <c:pt idx="13">
                  <c:v>17272.0</c:v>
                </c:pt>
                <c:pt idx="14">
                  <c:v>12420.0</c:v>
                </c:pt>
                <c:pt idx="15">
                  <c:v>9764.0</c:v>
                </c:pt>
              </c:numCache>
            </c:numRef>
          </c:val>
          <c:smooth val="0"/>
        </c:ser>
        <c:ser>
          <c:idx val="1"/>
          <c:order val="1"/>
          <c:tx>
            <c:v>projection</c:v>
          </c:tx>
          <c:cat>
            <c:numRef>
              <c:f>'W + 2Cov (+Model X) '!$C$8:$C$23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+ 2Cov (+Model X) '!$P$8:$P$23</c:f>
              <c:numCache>
                <c:formatCode>General</c:formatCode>
                <c:ptCount val="16"/>
                <c:pt idx="0">
                  <c:v>677.471531256025</c:v>
                </c:pt>
                <c:pt idx="1">
                  <c:v>2167.66535910024</c:v>
                </c:pt>
                <c:pt idx="2">
                  <c:v>3570.161319689854</c:v>
                </c:pt>
                <c:pt idx="3">
                  <c:v>4909.117847243415</c:v>
                </c:pt>
                <c:pt idx="4">
                  <c:v>5706.736199312519</c:v>
                </c:pt>
                <c:pt idx="5">
                  <c:v>7090.396091493</c:v>
                </c:pt>
                <c:pt idx="6">
                  <c:v>7556.024780667104</c:v>
                </c:pt>
                <c:pt idx="7">
                  <c:v>8123.698068592361</c:v>
                </c:pt>
                <c:pt idx="8">
                  <c:v>8627.041877003828</c:v>
                </c:pt>
                <c:pt idx="9">
                  <c:v>9854.158611352802</c:v>
                </c:pt>
                <c:pt idx="10">
                  <c:v>10151.16905090423</c:v>
                </c:pt>
                <c:pt idx="11">
                  <c:v>9147.5820869372</c:v>
                </c:pt>
                <c:pt idx="12">
                  <c:v>11359.69270956295</c:v>
                </c:pt>
                <c:pt idx="13">
                  <c:v>16866.16708589906</c:v>
                </c:pt>
                <c:pt idx="14">
                  <c:v>16103.30200914498</c:v>
                </c:pt>
                <c:pt idx="15">
                  <c:v>6595.312393159754</c:v>
                </c:pt>
              </c:numCache>
            </c:numRef>
          </c:val>
          <c:smooth val="0"/>
        </c:ser>
        <c:ser>
          <c:idx val="2"/>
          <c:order val="2"/>
          <c:tx>
            <c:v>oil prices</c:v>
          </c:tx>
          <c:cat>
            <c:numRef>
              <c:f>'W + 2Cov (+Model X) '!$C$8:$C$23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+ 2Cov (+Model X) '!$S$8:$S$23</c:f>
              <c:numCache>
                <c:formatCode>General</c:formatCode>
                <c:ptCount val="16"/>
                <c:pt idx="0">
                  <c:v>9927.0</c:v>
                </c:pt>
                <c:pt idx="1">
                  <c:v>9120.0</c:v>
                </c:pt>
                <c:pt idx="2">
                  <c:v>9396.0</c:v>
                </c:pt>
                <c:pt idx="3">
                  <c:v>9358.0</c:v>
                </c:pt>
                <c:pt idx="4">
                  <c:v>10949.0</c:v>
                </c:pt>
                <c:pt idx="5">
                  <c:v>9412.0</c:v>
                </c:pt>
                <c:pt idx="6">
                  <c:v>10391.0</c:v>
                </c:pt>
                <c:pt idx="7">
                  <c:v>10309.0</c:v>
                </c:pt>
                <c:pt idx="8">
                  <c:v>9757.0</c:v>
                </c:pt>
                <c:pt idx="9">
                  <c:v>6620.0</c:v>
                </c:pt>
                <c:pt idx="10">
                  <c:v>5034.0</c:v>
                </c:pt>
                <c:pt idx="11">
                  <c:v>6007.0</c:v>
                </c:pt>
                <c:pt idx="12">
                  <c:v>4895.0</c:v>
                </c:pt>
                <c:pt idx="13">
                  <c:v>4039.0</c:v>
                </c:pt>
                <c:pt idx="14">
                  <c:v>3162.0</c:v>
                </c:pt>
                <c:pt idx="15">
                  <c:v>4846.0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109912"/>
        <c:axId val="-2144210728"/>
      </c:lineChart>
      <c:catAx>
        <c:axId val="20691099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4210728"/>
        <c:crosses val="autoZero"/>
        <c:auto val="1"/>
        <c:lblAlgn val="ctr"/>
        <c:lblOffset val="100"/>
        <c:noMultiLvlLbl val="0"/>
      </c:catAx>
      <c:valAx>
        <c:axId val="-2144210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109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cat>
            <c:numRef>
              <c:f>'W + Cov (+ Oil Price)'!$C$7:$C$22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Cov (+ Oil Price)'!$D$7:$D$22</c:f>
              <c:numCache>
                <c:formatCode>General</c:formatCode>
                <c:ptCount val="16"/>
                <c:pt idx="0">
                  <c:v>250.0</c:v>
                </c:pt>
                <c:pt idx="1">
                  <c:v>2400.0</c:v>
                </c:pt>
                <c:pt idx="2">
                  <c:v>4900.0</c:v>
                </c:pt>
                <c:pt idx="3">
                  <c:v>5150.0</c:v>
                </c:pt>
                <c:pt idx="4">
                  <c:v>5500.0</c:v>
                </c:pt>
                <c:pt idx="5">
                  <c:v>6892.0</c:v>
                </c:pt>
                <c:pt idx="6">
                  <c:v>6457.0</c:v>
                </c:pt>
                <c:pt idx="7">
                  <c:v>7579.0</c:v>
                </c:pt>
                <c:pt idx="8">
                  <c:v>7785.0</c:v>
                </c:pt>
                <c:pt idx="9">
                  <c:v>9834.0</c:v>
                </c:pt>
                <c:pt idx="10">
                  <c:v>10045.0</c:v>
                </c:pt>
                <c:pt idx="11">
                  <c:v>11532.0</c:v>
                </c:pt>
                <c:pt idx="12">
                  <c:v>11597.0</c:v>
                </c:pt>
                <c:pt idx="13">
                  <c:v>17272.0</c:v>
                </c:pt>
                <c:pt idx="14">
                  <c:v>12420.0</c:v>
                </c:pt>
                <c:pt idx="15">
                  <c:v>9764.0</c:v>
                </c:pt>
              </c:numCache>
            </c:numRef>
          </c:val>
          <c:smooth val="0"/>
        </c:ser>
        <c:ser>
          <c:idx val="1"/>
          <c:order val="1"/>
          <c:tx>
            <c:v>projection</c:v>
          </c:tx>
          <c:cat>
            <c:numRef>
              <c:f>'W + Cov (+ Oil Price)'!$C$7:$C$22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Cov (+ Oil Price)'!$N$7:$N$22</c:f>
              <c:numCache>
                <c:formatCode>General</c:formatCode>
                <c:ptCount val="16"/>
                <c:pt idx="0">
                  <c:v>509.1576710406455</c:v>
                </c:pt>
                <c:pt idx="1">
                  <c:v>1944.471417149653</c:v>
                </c:pt>
                <c:pt idx="2">
                  <c:v>3203.660235770891</c:v>
                </c:pt>
                <c:pt idx="3">
                  <c:v>4549.415924681293</c:v>
                </c:pt>
                <c:pt idx="4">
                  <c:v>4365.592536270952</c:v>
                </c:pt>
                <c:pt idx="5">
                  <c:v>6843.135417004754</c:v>
                </c:pt>
                <c:pt idx="6">
                  <c:v>6507.69657700204</c:v>
                </c:pt>
                <c:pt idx="7">
                  <c:v>7238.536090932225</c:v>
                </c:pt>
                <c:pt idx="8">
                  <c:v>8448.749554991638</c:v>
                </c:pt>
                <c:pt idx="9">
                  <c:v>14583.28664042527</c:v>
                </c:pt>
                <c:pt idx="10">
                  <c:v>17207.38866751193</c:v>
                </c:pt>
                <c:pt idx="11">
                  <c:v>12250.00648005469</c:v>
                </c:pt>
                <c:pt idx="12">
                  <c:v>12164.97704973853</c:v>
                </c:pt>
                <c:pt idx="13">
                  <c:v>10478.87826722849</c:v>
                </c:pt>
                <c:pt idx="14">
                  <c:v>8122.404398530362</c:v>
                </c:pt>
                <c:pt idx="15">
                  <c:v>3916.239735528996</c:v>
                </c:pt>
              </c:numCache>
            </c:numRef>
          </c:val>
          <c:smooth val="0"/>
        </c:ser>
        <c:ser>
          <c:idx val="2"/>
          <c:order val="2"/>
          <c:tx>
            <c:v>oil prices</c:v>
          </c:tx>
          <c:cat>
            <c:numRef>
              <c:f>'W + Cov (+ Oil Price)'!$C$7:$C$22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'W + Cov (+ Oil Price)'!$Q$7:$Q$22</c:f>
              <c:numCache>
                <c:formatCode>General</c:formatCode>
                <c:ptCount val="16"/>
                <c:pt idx="0">
                  <c:v>9927.0</c:v>
                </c:pt>
                <c:pt idx="1">
                  <c:v>9120.0</c:v>
                </c:pt>
                <c:pt idx="2">
                  <c:v>9396.0</c:v>
                </c:pt>
                <c:pt idx="3">
                  <c:v>9358.0</c:v>
                </c:pt>
                <c:pt idx="4">
                  <c:v>10949.0</c:v>
                </c:pt>
                <c:pt idx="5">
                  <c:v>9412.0</c:v>
                </c:pt>
                <c:pt idx="6">
                  <c:v>10391.0</c:v>
                </c:pt>
                <c:pt idx="7">
                  <c:v>10309.0</c:v>
                </c:pt>
                <c:pt idx="8">
                  <c:v>9757.0</c:v>
                </c:pt>
                <c:pt idx="9">
                  <c:v>6620.0</c:v>
                </c:pt>
                <c:pt idx="10">
                  <c:v>5034.0</c:v>
                </c:pt>
                <c:pt idx="11">
                  <c:v>6007.0</c:v>
                </c:pt>
                <c:pt idx="12">
                  <c:v>4895.0</c:v>
                </c:pt>
                <c:pt idx="13">
                  <c:v>4039.0</c:v>
                </c:pt>
                <c:pt idx="14">
                  <c:v>3162.0</c:v>
                </c:pt>
                <c:pt idx="15">
                  <c:v>4846.0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90184"/>
        <c:axId val="2145352920"/>
      </c:lineChart>
      <c:catAx>
        <c:axId val="214459018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352920"/>
        <c:crosses val="autoZero"/>
        <c:auto val="1"/>
        <c:lblAlgn val="ctr"/>
        <c:lblOffset val="100"/>
        <c:noMultiLvlLbl val="0"/>
      </c:catAx>
      <c:valAx>
        <c:axId val="2145352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59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sales</c:v>
          </c:tx>
          <c:cat>
            <c:numRef>
              <c:f>'E + Cov'!$C$6:$C$21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 + Cov'!$D$6:$D$21</c:f>
              <c:numCache>
                <c:formatCode>General</c:formatCode>
                <c:ptCount val="16"/>
                <c:pt idx="0">
                  <c:v>250.0</c:v>
                </c:pt>
                <c:pt idx="1">
                  <c:v>2400.0</c:v>
                </c:pt>
                <c:pt idx="2">
                  <c:v>4900.0</c:v>
                </c:pt>
                <c:pt idx="3">
                  <c:v>5150.0</c:v>
                </c:pt>
                <c:pt idx="4">
                  <c:v>5500.0</c:v>
                </c:pt>
                <c:pt idx="5">
                  <c:v>6892.0</c:v>
                </c:pt>
                <c:pt idx="6">
                  <c:v>6457.0</c:v>
                </c:pt>
                <c:pt idx="7">
                  <c:v>7579.0</c:v>
                </c:pt>
                <c:pt idx="8">
                  <c:v>7785.0</c:v>
                </c:pt>
                <c:pt idx="9">
                  <c:v>9834.0</c:v>
                </c:pt>
                <c:pt idx="10">
                  <c:v>10045.0</c:v>
                </c:pt>
                <c:pt idx="11">
                  <c:v>11532.0</c:v>
                </c:pt>
                <c:pt idx="12">
                  <c:v>11597.0</c:v>
                </c:pt>
                <c:pt idx="13">
                  <c:v>17272.0</c:v>
                </c:pt>
                <c:pt idx="14">
                  <c:v>12420.0</c:v>
                </c:pt>
                <c:pt idx="15">
                  <c:v>9764.0</c:v>
                </c:pt>
              </c:numCache>
            </c:numRef>
          </c:val>
          <c:smooth val="0"/>
        </c:ser>
        <c:ser>
          <c:idx val="1"/>
          <c:order val="1"/>
          <c:tx>
            <c:v>projection</c:v>
          </c:tx>
          <c:cat>
            <c:numRef>
              <c:f>'E + Cov'!$C$6:$C$21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 + Cov'!$N$6:$N$21</c:f>
              <c:numCache>
                <c:formatCode>General</c:formatCode>
                <c:ptCount val="16"/>
                <c:pt idx="0">
                  <c:v>5427.33197955594</c:v>
                </c:pt>
                <c:pt idx="1">
                  <c:v>7115.156157187076</c:v>
                </c:pt>
                <c:pt idx="2">
                  <c:v>6026.330854214474</c:v>
                </c:pt>
                <c:pt idx="3">
                  <c:v>5800.406030434568</c:v>
                </c:pt>
                <c:pt idx="4">
                  <c:v>2951.980988497303</c:v>
                </c:pt>
                <c:pt idx="5">
                  <c:v>5231.448756393036</c:v>
                </c:pt>
                <c:pt idx="6">
                  <c:v>3388.016798623407</c:v>
                </c:pt>
                <c:pt idx="7">
                  <c:v>3376.11681425078</c:v>
                </c:pt>
                <c:pt idx="8">
                  <c:v>4036.878427734171</c:v>
                </c:pt>
                <c:pt idx="9">
                  <c:v>12729.96555042747</c:v>
                </c:pt>
                <c:pt idx="10">
                  <c:v>19070.53889613539</c:v>
                </c:pt>
                <c:pt idx="11">
                  <c:v>10027.30617692997</c:v>
                </c:pt>
                <c:pt idx="12">
                  <c:v>12056.03913249953</c:v>
                </c:pt>
                <c:pt idx="13">
                  <c:v>11607.06035601337</c:v>
                </c:pt>
                <c:pt idx="14">
                  <c:v>9658.112088018353</c:v>
                </c:pt>
                <c:pt idx="15">
                  <c:v>3015.920204102893</c:v>
                </c:pt>
              </c:numCache>
            </c:numRef>
          </c:val>
          <c:smooth val="0"/>
        </c:ser>
        <c:ser>
          <c:idx val="2"/>
          <c:order val="2"/>
          <c:tx>
            <c:v>oil prices</c:v>
          </c:tx>
          <c:cat>
            <c:numRef>
              <c:f>'E + Cov'!$C$6:$C$21</c:f>
              <c:numCache>
                <c:formatCode>General</c:formatCode>
                <c:ptCount val="1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</c:numCache>
            </c:numRef>
          </c:cat>
          <c:val>
            <c:numRef>
              <c:f>'E + Cov'!$Q$6:$Q$21</c:f>
              <c:numCache>
                <c:formatCode>General</c:formatCode>
                <c:ptCount val="16"/>
                <c:pt idx="0">
                  <c:v>9927.0</c:v>
                </c:pt>
                <c:pt idx="1">
                  <c:v>9120.0</c:v>
                </c:pt>
                <c:pt idx="2">
                  <c:v>9396.0</c:v>
                </c:pt>
                <c:pt idx="3">
                  <c:v>9358.0</c:v>
                </c:pt>
                <c:pt idx="4">
                  <c:v>10949.0</c:v>
                </c:pt>
                <c:pt idx="5">
                  <c:v>9412.0</c:v>
                </c:pt>
                <c:pt idx="6">
                  <c:v>10391.0</c:v>
                </c:pt>
                <c:pt idx="7">
                  <c:v>10309.0</c:v>
                </c:pt>
                <c:pt idx="8">
                  <c:v>9757.0</c:v>
                </c:pt>
                <c:pt idx="9">
                  <c:v>6620.0</c:v>
                </c:pt>
                <c:pt idx="10">
                  <c:v>5034.0</c:v>
                </c:pt>
                <c:pt idx="11">
                  <c:v>6007.0</c:v>
                </c:pt>
                <c:pt idx="12">
                  <c:v>4895.0</c:v>
                </c:pt>
                <c:pt idx="13">
                  <c:v>4039.0</c:v>
                </c:pt>
                <c:pt idx="14">
                  <c:v>3162.0</c:v>
                </c:pt>
                <c:pt idx="15">
                  <c:v>4846.0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806408"/>
        <c:axId val="2145235224"/>
      </c:lineChart>
      <c:catAx>
        <c:axId val="2069806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45235224"/>
        <c:crosses val="autoZero"/>
        <c:auto val="1"/>
        <c:lblAlgn val="ctr"/>
        <c:lblOffset val="100"/>
        <c:noMultiLvlLbl val="0"/>
      </c:catAx>
      <c:valAx>
        <c:axId val="214523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9806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273" cy="5842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660400</xdr:colOff>
      <xdr:row>12</xdr:row>
      <xdr:rowOff>12700</xdr:rowOff>
    </xdr:from>
    <xdr:to>
      <xdr:col>18</xdr:col>
      <xdr:colOff>647700</xdr:colOff>
      <xdr:row>29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22</xdr:row>
      <xdr:rowOff>0</xdr:rowOff>
    </xdr:from>
    <xdr:to>
      <xdr:col>12</xdr:col>
      <xdr:colOff>673100</xdr:colOff>
      <xdr:row>35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21</xdr:row>
      <xdr:rowOff>0</xdr:rowOff>
    </xdr:from>
    <xdr:to>
      <xdr:col>12</xdr:col>
      <xdr:colOff>673100</xdr:colOff>
      <xdr:row>34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H4" sqref="H4"/>
    </sheetView>
  </sheetViews>
  <sheetFormatPr baseColWidth="10" defaultRowHeight="16" x14ac:dyDescent="0"/>
  <cols>
    <col min="1" max="5" width="10.83203125" style="1"/>
    <col min="6" max="6" width="11.83203125" style="1" customWidth="1"/>
    <col min="7" max="7" width="12" style="1" customWidth="1"/>
    <col min="8" max="8" width="17.6640625" style="1" customWidth="1"/>
    <col min="9" max="9" width="19.83203125" style="1" customWidth="1"/>
    <col min="10" max="10" width="14.6640625" style="1" customWidth="1"/>
    <col min="11" max="11" width="18.6640625" style="1" customWidth="1"/>
    <col min="12" max="12" width="15.83203125" style="1" customWidth="1"/>
    <col min="13" max="13" width="18.33203125" style="1" customWidth="1"/>
    <col min="14" max="14" width="14" style="1" customWidth="1"/>
    <col min="15" max="16384" width="10.83203125" style="1"/>
  </cols>
  <sheetData>
    <row r="1" spans="1:14">
      <c r="A1" s="1" t="s">
        <v>0</v>
      </c>
      <c r="F1" s="1" t="s">
        <v>11</v>
      </c>
    </row>
    <row r="3" spans="1:14">
      <c r="A3" s="5" t="s">
        <v>1</v>
      </c>
      <c r="B3" s="5" t="s">
        <v>2</v>
      </c>
      <c r="C3" s="5" t="s">
        <v>3</v>
      </c>
      <c r="D3" s="6" t="s">
        <v>4</v>
      </c>
      <c r="E3" s="5"/>
      <c r="F3" s="5" t="s">
        <v>5</v>
      </c>
      <c r="G3" s="5" t="s">
        <v>8</v>
      </c>
      <c r="H3" s="5" t="s">
        <v>9</v>
      </c>
      <c r="I3" s="5" t="s">
        <v>10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</row>
    <row r="4" spans="1:14">
      <c r="A4" s="1">
        <v>3</v>
      </c>
      <c r="B4" s="1">
        <v>2012</v>
      </c>
      <c r="C4" s="1">
        <v>1</v>
      </c>
      <c r="D4" s="7">
        <v>250</v>
      </c>
      <c r="F4" s="1">
        <v>99.27</v>
      </c>
      <c r="G4" s="1">
        <f>F4/100</f>
        <v>0.99269999999999992</v>
      </c>
      <c r="H4" s="1">
        <v>0</v>
      </c>
      <c r="I4" s="1">
        <v>0</v>
      </c>
    </row>
    <row r="5" spans="1:14">
      <c r="A5" s="1">
        <v>4</v>
      </c>
      <c r="B5" s="1">
        <v>2012</v>
      </c>
      <c r="C5" s="1">
        <v>2</v>
      </c>
      <c r="D5" s="7">
        <v>2400</v>
      </c>
      <c r="F5" s="1">
        <v>91.2</v>
      </c>
      <c r="G5" s="1">
        <f t="shared" ref="G5:G19" si="0">F5/100</f>
        <v>0.91200000000000003</v>
      </c>
      <c r="H5" s="1">
        <v>1</v>
      </c>
      <c r="I5" s="1">
        <v>0</v>
      </c>
    </row>
    <row r="6" spans="1:14">
      <c r="A6" s="1">
        <v>1</v>
      </c>
      <c r="B6" s="1">
        <v>2013</v>
      </c>
      <c r="C6" s="1">
        <v>3</v>
      </c>
      <c r="D6" s="7">
        <v>4900</v>
      </c>
      <c r="F6" s="1">
        <v>93.96</v>
      </c>
      <c r="G6" s="1">
        <f t="shared" si="0"/>
        <v>0.93959999999999999</v>
      </c>
      <c r="H6" s="1">
        <v>0</v>
      </c>
      <c r="I6" s="1">
        <v>0</v>
      </c>
    </row>
    <row r="7" spans="1:14">
      <c r="A7" s="1">
        <v>2</v>
      </c>
      <c r="B7" s="1">
        <v>2013</v>
      </c>
      <c r="C7" s="1">
        <v>4</v>
      </c>
      <c r="D7" s="7">
        <v>5150</v>
      </c>
      <c r="F7" s="1">
        <v>93.58</v>
      </c>
      <c r="G7" s="1">
        <f t="shared" si="0"/>
        <v>0.93579999999999997</v>
      </c>
      <c r="H7" s="1">
        <v>0</v>
      </c>
      <c r="I7" s="1">
        <v>0</v>
      </c>
    </row>
    <row r="8" spans="1:14">
      <c r="A8" s="1">
        <v>3</v>
      </c>
      <c r="B8" s="1">
        <v>2013</v>
      </c>
      <c r="C8" s="1">
        <v>5</v>
      </c>
      <c r="D8" s="7">
        <v>5500</v>
      </c>
      <c r="F8" s="1">
        <v>109.49</v>
      </c>
      <c r="G8" s="1">
        <f t="shared" si="0"/>
        <v>1.0949</v>
      </c>
      <c r="H8" s="1">
        <v>0</v>
      </c>
      <c r="I8" s="1">
        <v>0</v>
      </c>
    </row>
    <row r="9" spans="1:14">
      <c r="A9" s="1">
        <v>4</v>
      </c>
      <c r="B9" s="1">
        <v>2013</v>
      </c>
      <c r="C9" s="1">
        <v>6</v>
      </c>
      <c r="D9" s="7">
        <v>6892</v>
      </c>
      <c r="F9" s="1">
        <v>94.12</v>
      </c>
      <c r="G9" s="1">
        <f t="shared" si="0"/>
        <v>0.94120000000000004</v>
      </c>
      <c r="H9" s="1">
        <v>1</v>
      </c>
      <c r="I9" s="1">
        <v>0</v>
      </c>
      <c r="J9" s="1">
        <v>1</v>
      </c>
    </row>
    <row r="10" spans="1:14">
      <c r="A10" s="1">
        <v>1</v>
      </c>
      <c r="B10" s="1">
        <v>2014</v>
      </c>
      <c r="C10" s="1">
        <v>7</v>
      </c>
      <c r="D10" s="7">
        <v>6457</v>
      </c>
      <c r="F10" s="1">
        <v>103.91</v>
      </c>
      <c r="G10" s="1">
        <f t="shared" si="0"/>
        <v>1.0390999999999999</v>
      </c>
      <c r="H10" s="1">
        <v>0</v>
      </c>
      <c r="I10" s="1">
        <v>0</v>
      </c>
    </row>
    <row r="11" spans="1:14">
      <c r="A11" s="1">
        <v>2</v>
      </c>
      <c r="B11" s="1">
        <v>2014</v>
      </c>
      <c r="C11" s="1">
        <v>8</v>
      </c>
      <c r="D11" s="7">
        <v>7579</v>
      </c>
      <c r="F11" s="1">
        <v>103.09</v>
      </c>
      <c r="G11" s="1">
        <f t="shared" si="0"/>
        <v>1.0308999999999999</v>
      </c>
      <c r="H11" s="1">
        <v>0</v>
      </c>
      <c r="I11" s="1">
        <v>1</v>
      </c>
      <c r="K11" s="1">
        <v>1</v>
      </c>
    </row>
    <row r="12" spans="1:14">
      <c r="A12" s="1">
        <v>3</v>
      </c>
      <c r="B12" s="1">
        <v>2014</v>
      </c>
      <c r="C12" s="1">
        <v>9</v>
      </c>
      <c r="D12" s="7">
        <v>7785</v>
      </c>
      <c r="F12" s="1">
        <v>97.57</v>
      </c>
      <c r="G12" s="1">
        <f t="shared" si="0"/>
        <v>0.9756999999999999</v>
      </c>
      <c r="H12" s="1">
        <v>0</v>
      </c>
      <c r="I12" s="1">
        <v>1</v>
      </c>
    </row>
    <row r="13" spans="1:14">
      <c r="A13" s="1">
        <v>4</v>
      </c>
      <c r="B13" s="1">
        <v>2014</v>
      </c>
      <c r="C13" s="1">
        <v>10</v>
      </c>
      <c r="D13" s="7">
        <v>9834</v>
      </c>
      <c r="F13" s="1">
        <v>66.2</v>
      </c>
      <c r="G13" s="1">
        <f t="shared" si="0"/>
        <v>0.66200000000000003</v>
      </c>
      <c r="H13" s="1">
        <v>1</v>
      </c>
      <c r="I13" s="1">
        <v>1</v>
      </c>
    </row>
    <row r="14" spans="1:14">
      <c r="A14" s="1">
        <v>1</v>
      </c>
      <c r="B14" s="1">
        <v>2015</v>
      </c>
      <c r="C14" s="1">
        <v>11</v>
      </c>
      <c r="D14" s="7">
        <v>10045</v>
      </c>
      <c r="F14" s="1">
        <v>50.34</v>
      </c>
      <c r="G14" s="1">
        <f t="shared" si="0"/>
        <v>0.50340000000000007</v>
      </c>
      <c r="H14" s="1">
        <v>0</v>
      </c>
      <c r="I14" s="1">
        <v>1</v>
      </c>
    </row>
    <row r="15" spans="1:14">
      <c r="A15" s="1">
        <v>2</v>
      </c>
      <c r="B15" s="1">
        <v>2015</v>
      </c>
      <c r="C15" s="1">
        <v>12</v>
      </c>
      <c r="D15" s="7">
        <v>11532</v>
      </c>
      <c r="F15" s="1">
        <v>60.07</v>
      </c>
      <c r="G15" s="1">
        <f t="shared" si="0"/>
        <v>0.60070000000000001</v>
      </c>
      <c r="H15" s="1">
        <v>0</v>
      </c>
      <c r="I15" s="1">
        <v>1</v>
      </c>
    </row>
    <row r="16" spans="1:14">
      <c r="A16" s="1">
        <v>3</v>
      </c>
      <c r="B16" s="1">
        <v>2015</v>
      </c>
      <c r="C16" s="1">
        <v>13</v>
      </c>
      <c r="D16" s="7">
        <v>11597</v>
      </c>
      <c r="F16" s="1">
        <v>48.95</v>
      </c>
      <c r="G16" s="1">
        <f t="shared" si="0"/>
        <v>0.48950000000000005</v>
      </c>
      <c r="H16" s="1">
        <v>0</v>
      </c>
      <c r="I16" s="1">
        <v>1</v>
      </c>
      <c r="L16" s="1">
        <v>1</v>
      </c>
    </row>
    <row r="17" spans="1:14">
      <c r="A17" s="1">
        <v>4</v>
      </c>
      <c r="B17" s="1">
        <v>2015</v>
      </c>
      <c r="C17" s="1">
        <v>14</v>
      </c>
      <c r="D17" s="7">
        <v>17272</v>
      </c>
      <c r="F17" s="1">
        <v>40.39</v>
      </c>
      <c r="G17" s="1">
        <f t="shared" si="0"/>
        <v>0.40389999999999998</v>
      </c>
      <c r="H17" s="1">
        <v>1</v>
      </c>
      <c r="I17" s="1">
        <v>1</v>
      </c>
      <c r="L17" s="1">
        <v>1</v>
      </c>
      <c r="M17" s="1">
        <v>1</v>
      </c>
    </row>
    <row r="18" spans="1:14">
      <c r="A18" s="1">
        <v>1</v>
      </c>
      <c r="B18" s="1">
        <v>2016</v>
      </c>
      <c r="C18" s="1">
        <v>15</v>
      </c>
      <c r="D18" s="7">
        <v>12420</v>
      </c>
      <c r="F18" s="1">
        <v>31.62</v>
      </c>
      <c r="G18" s="1">
        <f t="shared" si="0"/>
        <v>0.31620000000000004</v>
      </c>
      <c r="H18" s="1">
        <v>0</v>
      </c>
      <c r="I18" s="1">
        <v>1</v>
      </c>
      <c r="L18" s="1">
        <v>1</v>
      </c>
    </row>
    <row r="19" spans="1:14">
      <c r="A19" s="1">
        <v>2</v>
      </c>
      <c r="B19" s="1">
        <v>2016</v>
      </c>
      <c r="C19" s="1">
        <v>16</v>
      </c>
      <c r="D19" s="7">
        <v>9764</v>
      </c>
      <c r="F19" s="1">
        <v>48.46</v>
      </c>
      <c r="G19" s="1">
        <f t="shared" si="0"/>
        <v>0.48460000000000003</v>
      </c>
      <c r="H19" s="1">
        <v>0</v>
      </c>
      <c r="I19" s="1">
        <v>1</v>
      </c>
      <c r="L19" s="1">
        <v>1</v>
      </c>
      <c r="N19" s="1">
        <v>1</v>
      </c>
    </row>
    <row r="22" spans="1:14">
      <c r="I22" s="1" t="s">
        <v>12</v>
      </c>
    </row>
    <row r="24" spans="1:14">
      <c r="F24" s="1" t="s">
        <v>7</v>
      </c>
    </row>
    <row r="25" spans="1:14">
      <c r="F25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I27" sqref="I27"/>
    </sheetView>
  </sheetViews>
  <sheetFormatPr baseColWidth="10" defaultRowHeight="16" x14ac:dyDescent="0"/>
  <cols>
    <col min="1" max="1" width="10.83203125" style="1"/>
    <col min="2" max="2" width="8" style="1" customWidth="1"/>
    <col min="3" max="3" width="10.83203125" style="1"/>
    <col min="4" max="4" width="5.6640625" style="1" customWidth="1"/>
    <col min="5" max="5" width="7.6640625" style="1" customWidth="1"/>
    <col min="6" max="6" width="11.83203125" style="1" customWidth="1"/>
    <col min="7" max="10" width="12" style="1" customWidth="1"/>
    <col min="11" max="11" width="12" style="3" customWidth="1"/>
    <col min="12" max="12" width="11" style="1" customWidth="1"/>
    <col min="13" max="13" width="10.1640625" style="1" customWidth="1"/>
    <col min="14" max="14" width="12.6640625" style="1" customWidth="1"/>
    <col min="15" max="15" width="10.33203125" style="1" customWidth="1"/>
    <col min="16" max="16" width="11.1640625" style="1" customWidth="1"/>
    <col min="17" max="17" width="14" style="1" customWidth="1"/>
    <col min="18" max="20" width="10.83203125" style="1"/>
    <col min="21" max="21" width="11.33203125" style="1" customWidth="1"/>
    <col min="22" max="16384" width="10.83203125" style="1"/>
  </cols>
  <sheetData>
    <row r="1" spans="1:21">
      <c r="B1" s="1" t="s">
        <v>21</v>
      </c>
      <c r="C1" s="1">
        <f>SUM(E10:E25)</f>
        <v>129377</v>
      </c>
      <c r="G1" s="28" t="s">
        <v>36</v>
      </c>
      <c r="H1" s="28">
        <v>-4.2206422280946736</v>
      </c>
      <c r="I1" s="28" t="s">
        <v>36</v>
      </c>
      <c r="J1" s="28">
        <v>0.94764296482756238</v>
      </c>
      <c r="L1" s="15" t="s">
        <v>18</v>
      </c>
      <c r="M1" s="16">
        <v>1.1767240701835187E-2</v>
      </c>
      <c r="N1" s="4"/>
      <c r="O1" s="4"/>
      <c r="P1" s="4"/>
      <c r="Q1" s="4"/>
      <c r="R1" s="4" t="s">
        <v>28</v>
      </c>
      <c r="S1" s="4">
        <f>-2*M7+2*LN(C1)</f>
        <v>681113.90094937081</v>
      </c>
    </row>
    <row r="2" spans="1:21">
      <c r="G2" s="28" t="s">
        <v>37</v>
      </c>
      <c r="H2" s="28">
        <v>1.0787698265068555</v>
      </c>
      <c r="I2" s="28" t="s">
        <v>37</v>
      </c>
      <c r="J2" s="28">
        <v>1.1888391571489199</v>
      </c>
      <c r="L2" s="17" t="s">
        <v>31</v>
      </c>
      <c r="M2" s="18">
        <v>1.9401164955753107</v>
      </c>
      <c r="N2" s="4"/>
      <c r="O2" s="4"/>
      <c r="P2" s="4"/>
      <c r="Q2" s="4"/>
      <c r="R2" s="4"/>
      <c r="S2" s="4"/>
    </row>
    <row r="3" spans="1:21">
      <c r="G3" s="28"/>
      <c r="H3" s="28"/>
      <c r="I3" s="28"/>
      <c r="J3" s="28"/>
      <c r="L3" s="17" t="s">
        <v>39</v>
      </c>
      <c r="M3" s="18">
        <v>19.725482919073414</v>
      </c>
      <c r="N3" s="4"/>
      <c r="O3" s="4"/>
      <c r="P3" s="4"/>
      <c r="Q3" s="4"/>
      <c r="R3" s="4"/>
      <c r="S3" s="4"/>
    </row>
    <row r="4" spans="1:21">
      <c r="G4" s="28"/>
      <c r="H4" s="28"/>
      <c r="I4" s="28"/>
      <c r="J4" s="28"/>
      <c r="L4" s="17" t="s">
        <v>41</v>
      </c>
      <c r="M4" s="18">
        <v>0.26500738233670879</v>
      </c>
      <c r="N4" s="4"/>
      <c r="O4" s="4"/>
      <c r="P4" s="4"/>
      <c r="Q4" s="4"/>
      <c r="R4" s="4"/>
      <c r="S4" s="4"/>
    </row>
    <row r="5" spans="1:21">
      <c r="G5" s="3"/>
      <c r="H5" s="3"/>
      <c r="I5" s="3"/>
      <c r="J5" s="3"/>
      <c r="L5" s="17" t="s">
        <v>35</v>
      </c>
      <c r="M5" s="18">
        <v>0.26263669807274198</v>
      </c>
      <c r="N5" s="4"/>
      <c r="O5" s="4"/>
      <c r="P5" s="4"/>
      <c r="Q5" s="4"/>
      <c r="R5" s="4"/>
      <c r="S5" s="4"/>
    </row>
    <row r="6" spans="1:21">
      <c r="G6" s="3"/>
      <c r="H6" s="3"/>
      <c r="I6" s="3"/>
      <c r="J6" s="3"/>
      <c r="L6" s="17" t="s">
        <v>19</v>
      </c>
      <c r="M6" s="18">
        <v>-0.62054769634300599</v>
      </c>
      <c r="N6" s="4"/>
      <c r="O6" s="4"/>
      <c r="P6" s="4"/>
      <c r="Q6" s="4"/>
      <c r="R6" s="4" t="s">
        <v>29</v>
      </c>
      <c r="S6" s="4">
        <f>AVERAGE(S10:S25)</f>
        <v>0.1715983558737437</v>
      </c>
    </row>
    <row r="7" spans="1:21" ht="17" thickBot="1">
      <c r="B7" s="12" t="s">
        <v>0</v>
      </c>
      <c r="F7" s="1" t="s">
        <v>11</v>
      </c>
      <c r="G7" s="3"/>
      <c r="H7" s="3"/>
      <c r="I7" s="3"/>
      <c r="J7" s="3"/>
      <c r="L7" s="19" t="s">
        <v>20</v>
      </c>
      <c r="M7" s="20">
        <f>SUM(P10:P25)</f>
        <v>-340545.17998878361</v>
      </c>
      <c r="N7" s="4"/>
      <c r="O7" s="4"/>
      <c r="P7" s="4"/>
      <c r="Q7" s="4"/>
      <c r="R7" s="4"/>
      <c r="S7" s="4" t="s">
        <v>33</v>
      </c>
    </row>
    <row r="8" spans="1:21">
      <c r="G8" s="3"/>
      <c r="H8" s="3"/>
      <c r="I8" s="3"/>
      <c r="J8" s="3"/>
      <c r="L8" s="13"/>
      <c r="M8" s="4"/>
      <c r="N8" s="4"/>
      <c r="O8" s="4"/>
      <c r="P8" s="4"/>
      <c r="Q8" s="4"/>
      <c r="R8" s="4"/>
      <c r="S8" s="4"/>
    </row>
    <row r="9" spans="1:21" s="7" customFormat="1">
      <c r="A9" s="7" t="s">
        <v>42</v>
      </c>
      <c r="B9" s="21" t="s">
        <v>1</v>
      </c>
      <c r="C9" s="22" t="s">
        <v>2</v>
      </c>
      <c r="D9" s="22" t="s">
        <v>3</v>
      </c>
      <c r="E9" s="22" t="s">
        <v>4</v>
      </c>
      <c r="F9" s="22" t="s">
        <v>5</v>
      </c>
      <c r="G9" s="23" t="s">
        <v>8</v>
      </c>
      <c r="H9" s="11" t="s">
        <v>34</v>
      </c>
      <c r="I9" s="11" t="s">
        <v>38</v>
      </c>
      <c r="J9" s="11" t="s">
        <v>40</v>
      </c>
      <c r="K9" s="11"/>
      <c r="L9" s="14" t="s">
        <v>22</v>
      </c>
      <c r="M9" s="10" t="s">
        <v>32</v>
      </c>
      <c r="N9" s="10" t="s">
        <v>24</v>
      </c>
      <c r="O9" s="10" t="s">
        <v>25</v>
      </c>
      <c r="P9" s="10" t="s">
        <v>20</v>
      </c>
      <c r="Q9" s="10"/>
      <c r="R9" s="10" t="s">
        <v>26</v>
      </c>
      <c r="S9" s="10" t="s">
        <v>27</v>
      </c>
      <c r="U9" s="7" t="s">
        <v>30</v>
      </c>
    </row>
    <row r="10" spans="1:21">
      <c r="A10" s="1" t="s">
        <v>43</v>
      </c>
      <c r="B10" s="8">
        <v>3</v>
      </c>
      <c r="C10" s="3">
        <v>2012</v>
      </c>
      <c r="D10" s="3">
        <v>1</v>
      </c>
      <c r="E10" s="9">
        <v>250</v>
      </c>
      <c r="F10" s="3">
        <v>99.27</v>
      </c>
      <c r="G10" s="2">
        <f>F10/100</f>
        <v>0.99269999999999992</v>
      </c>
      <c r="H10" s="3">
        <v>0</v>
      </c>
      <c r="I10" s="3">
        <v>0</v>
      </c>
      <c r="J10" s="3">
        <v>0</v>
      </c>
      <c r="L10" s="3">
        <f>EXP($M$6*G10+H10*$M$5+I10*$M$3+J10*$M$4)</f>
        <v>0.54009096594361627</v>
      </c>
      <c r="M10" s="1">
        <f>D10^$M$2*L10</f>
        <v>0.54009096594361627</v>
      </c>
      <c r="N10" s="1">
        <f>1-EXP(-$M$1*M10)</f>
        <v>6.3352276824727438E-3</v>
      </c>
      <c r="O10" s="1">
        <f>N10</f>
        <v>6.3352276824727438E-3</v>
      </c>
      <c r="P10" s="1">
        <f>E10*LN(O10)</f>
        <v>-1265.4073813621901</v>
      </c>
      <c r="R10" s="1">
        <f>$C$1*O10</f>
        <v>819.6327518752762</v>
      </c>
      <c r="S10" s="1">
        <f>ABS(E10-R10)/E10</f>
        <v>2.2785310075011047</v>
      </c>
      <c r="U10" s="1">
        <f>F10*100</f>
        <v>9927</v>
      </c>
    </row>
    <row r="11" spans="1:21">
      <c r="A11" s="1" t="s">
        <v>44</v>
      </c>
      <c r="B11" s="8">
        <v>4</v>
      </c>
      <c r="C11" s="3">
        <v>2012</v>
      </c>
      <c r="D11" s="3">
        <v>2</v>
      </c>
      <c r="E11" s="9">
        <v>2400</v>
      </c>
      <c r="F11" s="3">
        <v>91.2</v>
      </c>
      <c r="G11" s="2">
        <f t="shared" ref="G11:G25" si="0">F11/100</f>
        <v>0.91200000000000003</v>
      </c>
      <c r="H11" s="3">
        <v>0</v>
      </c>
      <c r="I11" s="3">
        <v>0</v>
      </c>
      <c r="J11" s="3">
        <v>0</v>
      </c>
      <c r="L11" s="3">
        <f t="shared" ref="L11:L25" si="1">EXP($M$6*G11+H11*$M$5+I11*$M$3+J11*$M$4)</f>
        <v>0.56782642368660097</v>
      </c>
      <c r="M11" s="1">
        <f>M10+(D11^$M$2-D10^$M$2)*L11</f>
        <v>2.1512225399060698</v>
      </c>
      <c r="N11" s="1">
        <f t="shared" ref="N11:N25" si="2">1-EXP(-$M$1*M11)</f>
        <v>2.4996241802605068E-2</v>
      </c>
      <c r="O11" s="1">
        <f>N11-N10</f>
        <v>1.8661014120132324E-2</v>
      </c>
      <c r="P11" s="1">
        <f t="shared" ref="P11:P25" si="3">E11*LN(O11)</f>
        <v>-9555.1649706377448</v>
      </c>
      <c r="R11" s="1">
        <f t="shared" ref="R11:R25" si="4">$C$1*O11</f>
        <v>2414.3060238203598</v>
      </c>
      <c r="S11" s="1">
        <f t="shared" ref="S11:S24" si="5">ABS(E11-R11)/E11</f>
        <v>5.9608432584832369E-3</v>
      </c>
      <c r="U11" s="1">
        <f>F11*100</f>
        <v>9120</v>
      </c>
    </row>
    <row r="12" spans="1:21">
      <c r="A12" s="1" t="s">
        <v>45</v>
      </c>
      <c r="B12" s="8">
        <v>1</v>
      </c>
      <c r="C12" s="3">
        <v>2013</v>
      </c>
      <c r="D12" s="3">
        <v>3</v>
      </c>
      <c r="E12" s="9">
        <v>4900</v>
      </c>
      <c r="F12" s="3">
        <v>93.96</v>
      </c>
      <c r="G12" s="2">
        <f t="shared" si="0"/>
        <v>0.93959999999999999</v>
      </c>
      <c r="H12" s="3">
        <v>0</v>
      </c>
      <c r="I12" s="3">
        <v>0</v>
      </c>
      <c r="J12" s="3">
        <v>0</v>
      </c>
      <c r="L12" s="3">
        <f t="shared" si="1"/>
        <v>0.55818400355467324</v>
      </c>
      <c r="M12" s="1">
        <f>M11+(D12^$M$2-D11^$M$2)*L12</f>
        <v>4.7130590569331527</v>
      </c>
      <c r="N12" s="1">
        <f t="shared" si="2"/>
        <v>5.3949851622007383E-2</v>
      </c>
      <c r="O12" s="1">
        <f t="shared" ref="O12:O25" si="6">N12-N11</f>
        <v>2.8953609819402315E-2</v>
      </c>
      <c r="P12" s="1">
        <f t="shared" si="3"/>
        <v>-17356.095916977934</v>
      </c>
      <c r="R12" s="1">
        <f t="shared" si="4"/>
        <v>3745.9311776048135</v>
      </c>
      <c r="S12" s="1">
        <f t="shared" si="5"/>
        <v>0.23552424946840542</v>
      </c>
      <c r="U12" s="1">
        <f t="shared" ref="U12:U25" si="7">F12*100</f>
        <v>9396</v>
      </c>
    </row>
    <row r="13" spans="1:21">
      <c r="A13" s="1" t="s">
        <v>55</v>
      </c>
      <c r="B13" s="8">
        <v>2</v>
      </c>
      <c r="C13" s="3">
        <v>2013</v>
      </c>
      <c r="D13" s="3">
        <v>4</v>
      </c>
      <c r="E13" s="9">
        <v>5150</v>
      </c>
      <c r="F13" s="3">
        <v>93.58</v>
      </c>
      <c r="G13" s="2">
        <f t="shared" si="0"/>
        <v>0.93579999999999997</v>
      </c>
      <c r="H13" s="3">
        <v>0</v>
      </c>
      <c r="I13" s="3">
        <v>0</v>
      </c>
      <c r="J13" s="3">
        <v>0</v>
      </c>
      <c r="L13" s="3">
        <f t="shared" si="1"/>
        <v>0.55950179991012738</v>
      </c>
      <c r="M13" s="1">
        <f t="shared" ref="M13:M25" si="8">M12+(D13^$M$2-D12^$M$2)*L13</f>
        <v>8.2370378226019589</v>
      </c>
      <c r="N13" s="1">
        <f t="shared" si="2"/>
        <v>9.2377927491568035E-2</v>
      </c>
      <c r="O13" s="1">
        <f t="shared" si="6"/>
        <v>3.8428075869560652E-2</v>
      </c>
      <c r="P13" s="1">
        <f t="shared" si="3"/>
        <v>-16783.679762147967</v>
      </c>
      <c r="R13" s="1">
        <f>$C$1*O13</f>
        <v>4971.7091717761487</v>
      </c>
      <c r="S13" s="1">
        <f t="shared" si="5"/>
        <v>3.4619578295893468E-2</v>
      </c>
      <c r="U13" s="1">
        <f t="shared" si="7"/>
        <v>9358</v>
      </c>
    </row>
    <row r="14" spans="1:21">
      <c r="A14" s="1" t="s">
        <v>46</v>
      </c>
      <c r="B14" s="8">
        <v>3</v>
      </c>
      <c r="C14" s="3">
        <v>2013</v>
      </c>
      <c r="D14" s="3">
        <v>5</v>
      </c>
      <c r="E14" s="9">
        <v>5500</v>
      </c>
      <c r="F14" s="3">
        <v>109.49</v>
      </c>
      <c r="G14" s="2">
        <f t="shared" si="0"/>
        <v>1.0949</v>
      </c>
      <c r="H14" s="3">
        <v>0</v>
      </c>
      <c r="I14" s="3">
        <v>0</v>
      </c>
      <c r="J14" s="3">
        <v>0</v>
      </c>
      <c r="L14" s="3">
        <f t="shared" si="1"/>
        <v>0.50690195703208329</v>
      </c>
      <c r="M14" s="1">
        <f t="shared" si="8"/>
        <v>12.280908482001404</v>
      </c>
      <c r="N14" s="1">
        <f t="shared" si="2"/>
        <v>0.13455582448935621</v>
      </c>
      <c r="O14" s="1">
        <f t="shared" si="6"/>
        <v>4.2177896997788178E-2</v>
      </c>
      <c r="P14" s="1">
        <f t="shared" si="3"/>
        <v>-17412.224296386576</v>
      </c>
      <c r="R14" s="1">
        <f>$C$1*O14</f>
        <v>5456.8497798828412</v>
      </c>
      <c r="S14" s="1">
        <f t="shared" si="5"/>
        <v>7.8454945667561504E-3</v>
      </c>
      <c r="U14" s="1">
        <f t="shared" si="7"/>
        <v>10949</v>
      </c>
    </row>
    <row r="15" spans="1:21">
      <c r="A15" s="1" t="s">
        <v>47</v>
      </c>
      <c r="B15" s="8">
        <v>4</v>
      </c>
      <c r="C15" s="3">
        <v>2013</v>
      </c>
      <c r="D15" s="3">
        <v>6</v>
      </c>
      <c r="E15" s="9">
        <v>6892</v>
      </c>
      <c r="F15" s="3">
        <v>94.12</v>
      </c>
      <c r="G15" s="2">
        <f t="shared" si="0"/>
        <v>0.94120000000000004</v>
      </c>
      <c r="H15" s="3">
        <v>0</v>
      </c>
      <c r="I15" s="3">
        <v>0</v>
      </c>
      <c r="J15" s="3">
        <v>0</v>
      </c>
      <c r="L15" s="3">
        <f t="shared" si="1"/>
        <v>0.55763007091741024</v>
      </c>
      <c r="M15" s="1">
        <f t="shared" si="8"/>
        <v>17.65329761436832</v>
      </c>
      <c r="N15" s="1">
        <f t="shared" si="2"/>
        <v>0.18757412703118648</v>
      </c>
      <c r="O15" s="1">
        <f t="shared" si="6"/>
        <v>5.3018302541830264E-2</v>
      </c>
      <c r="P15" s="1">
        <f t="shared" si="3"/>
        <v>-20242.617904296698</v>
      </c>
      <c r="R15" s="1">
        <f t="shared" si="4"/>
        <v>6859.3489279543737</v>
      </c>
      <c r="S15" s="1">
        <f t="shared" si="5"/>
        <v>4.7375322178796111E-3</v>
      </c>
      <c r="U15" s="1">
        <f t="shared" si="7"/>
        <v>9412</v>
      </c>
    </row>
    <row r="16" spans="1:21">
      <c r="A16" s="1" t="s">
        <v>48</v>
      </c>
      <c r="B16" s="8">
        <v>1</v>
      </c>
      <c r="C16" s="3">
        <v>2014</v>
      </c>
      <c r="D16" s="3">
        <v>7</v>
      </c>
      <c r="E16" s="9">
        <v>6457</v>
      </c>
      <c r="F16" s="3">
        <v>103.91</v>
      </c>
      <c r="G16" s="2">
        <f t="shared" si="0"/>
        <v>1.0390999999999999</v>
      </c>
      <c r="H16" s="3">
        <v>0</v>
      </c>
      <c r="I16" s="3">
        <v>0</v>
      </c>
      <c r="J16" s="3">
        <v>0</v>
      </c>
      <c r="L16" s="3">
        <f t="shared" si="1"/>
        <v>0.52476165430813504</v>
      </c>
      <c r="M16" s="1">
        <f t="shared" si="8"/>
        <v>23.568900721600055</v>
      </c>
      <c r="N16" s="1">
        <f t="shared" si="2"/>
        <v>0.24220390074355114</v>
      </c>
      <c r="O16" s="1">
        <f t="shared" si="6"/>
        <v>5.462977371236466E-2</v>
      </c>
      <c r="P16" s="1">
        <f t="shared" si="3"/>
        <v>-18771.636973733686</v>
      </c>
      <c r="R16" s="1">
        <f t="shared" si="4"/>
        <v>7067.8362335846023</v>
      </c>
      <c r="S16" s="1">
        <f t="shared" si="5"/>
        <v>9.460062468400221E-2</v>
      </c>
      <c r="U16" s="1">
        <f t="shared" si="7"/>
        <v>10391</v>
      </c>
    </row>
    <row r="17" spans="1:21">
      <c r="A17" s="1" t="s">
        <v>56</v>
      </c>
      <c r="B17" s="8">
        <v>2</v>
      </c>
      <c r="C17" s="3">
        <v>2014</v>
      </c>
      <c r="D17" s="3">
        <v>8</v>
      </c>
      <c r="E17" s="9">
        <v>7579</v>
      </c>
      <c r="F17" s="3">
        <v>103.09</v>
      </c>
      <c r="G17" s="2">
        <f t="shared" si="0"/>
        <v>1.0308999999999999</v>
      </c>
      <c r="H17" s="3">
        <v>0</v>
      </c>
      <c r="I17" s="3">
        <v>0</v>
      </c>
      <c r="J17" s="3">
        <v>0</v>
      </c>
      <c r="L17" s="3">
        <f t="shared" si="1"/>
        <v>0.52743870461796361</v>
      </c>
      <c r="M17" s="1">
        <f t="shared" si="8"/>
        <v>30.37097253361901</v>
      </c>
      <c r="N17" s="1">
        <f t="shared" si="2"/>
        <v>0.30049514494623686</v>
      </c>
      <c r="O17" s="1">
        <f t="shared" si="6"/>
        <v>5.8291244202685721E-2</v>
      </c>
      <c r="P17" s="1">
        <f t="shared" si="3"/>
        <v>-21541.817332990948</v>
      </c>
      <c r="R17" s="1">
        <f t="shared" si="4"/>
        <v>7541.5463012108703</v>
      </c>
      <c r="S17" s="1">
        <f t="shared" si="5"/>
        <v>4.9417731612521046E-3</v>
      </c>
      <c r="U17" s="1">
        <f t="shared" si="7"/>
        <v>10309</v>
      </c>
    </row>
    <row r="18" spans="1:21">
      <c r="A18" s="1" t="s">
        <v>49</v>
      </c>
      <c r="B18" s="8">
        <v>3</v>
      </c>
      <c r="C18" s="3">
        <v>2014</v>
      </c>
      <c r="D18" s="3">
        <v>9</v>
      </c>
      <c r="E18" s="9">
        <v>7785</v>
      </c>
      <c r="F18" s="3">
        <v>97.57</v>
      </c>
      <c r="G18" s="2">
        <f t="shared" si="0"/>
        <v>0.9756999999999999</v>
      </c>
      <c r="H18" s="3">
        <v>0</v>
      </c>
      <c r="I18" s="3">
        <v>0</v>
      </c>
      <c r="J18" s="3">
        <v>0</v>
      </c>
      <c r="L18" s="3">
        <f t="shared" si="1"/>
        <v>0.54581871219285094</v>
      </c>
      <c r="M18" s="1">
        <f t="shared" si="8"/>
        <v>38.289130949295846</v>
      </c>
      <c r="N18" s="1">
        <f t="shared" si="2"/>
        <v>0.36272717611199112</v>
      </c>
      <c r="O18" s="1">
        <f t="shared" si="6"/>
        <v>6.2232031165754265E-2</v>
      </c>
      <c r="P18" s="1">
        <f t="shared" si="3"/>
        <v>-21618.053160351512</v>
      </c>
      <c r="R18" s="1">
        <f t="shared" si="4"/>
        <v>8051.3934961317891</v>
      </c>
      <c r="S18" s="1">
        <f t="shared" si="5"/>
        <v>3.4218817743325511E-2</v>
      </c>
      <c r="U18" s="1">
        <f t="shared" si="7"/>
        <v>9757</v>
      </c>
    </row>
    <row r="19" spans="1:21">
      <c r="A19" s="1" t="s">
        <v>50</v>
      </c>
      <c r="B19" s="8">
        <v>4</v>
      </c>
      <c r="C19" s="3">
        <v>2014</v>
      </c>
      <c r="D19" s="3">
        <v>10</v>
      </c>
      <c r="E19" s="9">
        <v>9834</v>
      </c>
      <c r="F19" s="3">
        <v>66.2</v>
      </c>
      <c r="G19" s="2">
        <f t="shared" si="0"/>
        <v>0.66200000000000003</v>
      </c>
      <c r="H19" s="3">
        <v>0</v>
      </c>
      <c r="I19" s="3">
        <v>0</v>
      </c>
      <c r="J19" s="3">
        <v>0</v>
      </c>
      <c r="L19" s="3">
        <f t="shared" si="1"/>
        <v>0.66311783473092645</v>
      </c>
      <c r="M19" s="1">
        <f t="shared" si="8"/>
        <v>48.969378392822101</v>
      </c>
      <c r="N19" s="1">
        <f t="shared" si="2"/>
        <v>0.4379893407141916</v>
      </c>
      <c r="O19" s="1">
        <f t="shared" si="6"/>
        <v>7.5262164602200476E-2</v>
      </c>
      <c r="P19" s="1">
        <f t="shared" si="3"/>
        <v>-25438.372222141115</v>
      </c>
      <c r="R19" s="1">
        <f t="shared" si="4"/>
        <v>9737.1930697388907</v>
      </c>
      <c r="S19" s="1">
        <f t="shared" si="5"/>
        <v>9.8441051719655587E-3</v>
      </c>
      <c r="U19" s="1">
        <f t="shared" si="7"/>
        <v>6620</v>
      </c>
    </row>
    <row r="20" spans="1:21">
      <c r="A20" s="1" t="s">
        <v>51</v>
      </c>
      <c r="B20" s="8">
        <v>1</v>
      </c>
      <c r="C20" s="3">
        <v>2015</v>
      </c>
      <c r="D20" s="3">
        <v>11</v>
      </c>
      <c r="E20" s="9">
        <v>10045</v>
      </c>
      <c r="F20" s="3">
        <v>50.34</v>
      </c>
      <c r="G20" s="2">
        <f t="shared" si="0"/>
        <v>0.50340000000000007</v>
      </c>
      <c r="H20" s="3">
        <v>0</v>
      </c>
      <c r="I20" s="3">
        <v>0</v>
      </c>
      <c r="J20" s="3">
        <v>0</v>
      </c>
      <c r="L20" s="3">
        <f t="shared" si="1"/>
        <v>0.73170071322717878</v>
      </c>
      <c r="M20" s="1">
        <f t="shared" si="8"/>
        <v>61.916968708288749</v>
      </c>
      <c r="N20" s="1">
        <f t="shared" si="2"/>
        <v>0.51741194349144637</v>
      </c>
      <c r="O20" s="1">
        <f t="shared" si="6"/>
        <v>7.9422602777254769E-2</v>
      </c>
      <c r="P20" s="1">
        <f t="shared" si="3"/>
        <v>-25443.706567678189</v>
      </c>
      <c r="R20" s="1">
        <f t="shared" si="4"/>
        <v>10275.45807951289</v>
      </c>
      <c r="S20" s="1">
        <f t="shared" si="5"/>
        <v>2.2942566402477802E-2</v>
      </c>
      <c r="U20" s="1">
        <f t="shared" si="7"/>
        <v>5034</v>
      </c>
    </row>
    <row r="21" spans="1:21">
      <c r="A21" s="1" t="s">
        <v>57</v>
      </c>
      <c r="B21" s="8">
        <v>2</v>
      </c>
      <c r="C21" s="3">
        <v>2015</v>
      </c>
      <c r="D21" s="3">
        <v>12</v>
      </c>
      <c r="E21" s="9">
        <v>11532</v>
      </c>
      <c r="F21" s="3">
        <v>60.07</v>
      </c>
      <c r="G21" s="2">
        <f t="shared" si="0"/>
        <v>0.60070000000000001</v>
      </c>
      <c r="H21" s="3">
        <v>0</v>
      </c>
      <c r="I21" s="3">
        <v>0</v>
      </c>
      <c r="J21" s="3">
        <f>1-$J$1*(1-EXP(-$J$2*ABS(D21-12)))</f>
        <v>1</v>
      </c>
      <c r="L21" s="3">
        <f t="shared" si="1"/>
        <v>0.89784698649516193</v>
      </c>
      <c r="M21" s="1">
        <f>M20+(D21^$M$2-D20^$M$2)*L21</f>
        <v>79.223178708773304</v>
      </c>
      <c r="N21" s="1">
        <f t="shared" si="2"/>
        <v>0.60632839734349842</v>
      </c>
      <c r="O21" s="1">
        <f t="shared" si="6"/>
        <v>8.8916453852052046E-2</v>
      </c>
      <c r="P21" s="1">
        <f t="shared" si="3"/>
        <v>-27908.109673477189</v>
      </c>
      <c r="R21" s="1">
        <f t="shared" si="4"/>
        <v>11503.744050016938</v>
      </c>
      <c r="S21" s="1">
        <f t="shared" si="5"/>
        <v>2.4502211223605824E-3</v>
      </c>
      <c r="U21" s="1">
        <f t="shared" si="7"/>
        <v>6007</v>
      </c>
    </row>
    <row r="22" spans="1:21">
      <c r="A22" s="1" t="s">
        <v>52</v>
      </c>
      <c r="B22" s="8">
        <v>3</v>
      </c>
      <c r="C22" s="3">
        <v>2015</v>
      </c>
      <c r="D22" s="3">
        <v>13</v>
      </c>
      <c r="E22" s="9">
        <v>11597</v>
      </c>
      <c r="F22" s="3">
        <v>48.95</v>
      </c>
      <c r="G22" s="2">
        <f t="shared" si="0"/>
        <v>0.48950000000000005</v>
      </c>
      <c r="H22" s="3">
        <f>1-$H$1*(1-EXP(-$H$2*ABS(D22-13)))</f>
        <v>1</v>
      </c>
      <c r="I22" s="3">
        <v>0</v>
      </c>
      <c r="J22" s="3">
        <f>1-$J$1*(1-EXP(-$J$2*ABS(D22-12)))</f>
        <v>0.34098503316830786</v>
      </c>
      <c r="L22" s="3">
        <f t="shared" si="1"/>
        <v>1.0504746942491801</v>
      </c>
      <c r="M22" s="1">
        <f t="shared" si="8"/>
        <v>101.12247095493086</v>
      </c>
      <c r="N22" s="1">
        <f t="shared" si="2"/>
        <v>0.69575818694595104</v>
      </c>
      <c r="O22" s="1">
        <f t="shared" si="6"/>
        <v>8.9429789602452625E-2</v>
      </c>
      <c r="P22" s="1">
        <f t="shared" si="3"/>
        <v>-27998.653744912728</v>
      </c>
      <c r="R22" s="1">
        <f t="shared" si="4"/>
        <v>11570.157889396512</v>
      </c>
      <c r="S22" s="1">
        <f t="shared" si="5"/>
        <v>2.3145736486580603E-3</v>
      </c>
      <c r="U22" s="1">
        <f t="shared" si="7"/>
        <v>4895</v>
      </c>
    </row>
    <row r="23" spans="1:21">
      <c r="A23" s="1" t="s">
        <v>53</v>
      </c>
      <c r="B23" s="8">
        <v>4</v>
      </c>
      <c r="C23" s="3">
        <v>2015</v>
      </c>
      <c r="D23" s="3">
        <v>14</v>
      </c>
      <c r="E23" s="9">
        <v>17272</v>
      </c>
      <c r="F23" s="3">
        <v>40.39</v>
      </c>
      <c r="G23" s="2">
        <f t="shared" si="0"/>
        <v>0.40389999999999998</v>
      </c>
      <c r="H23" s="3">
        <f>1-$H$1*(1-EXP(-$H$2*ABS(D23-13)))</f>
        <v>3.7855667056412616</v>
      </c>
      <c r="I23" s="3">
        <v>0</v>
      </c>
      <c r="J23" s="3">
        <f>1-$J$1*(1-EXP(-$J$2*ABS(D23-12)))</f>
        <v>0.14026579861929434</v>
      </c>
      <c r="L23" s="3">
        <f>EXP($M$6*G23+H23*$M$5+I23*$M$3+J23*$M$4)</f>
        <v>2.1831329922066729</v>
      </c>
      <c r="M23" s="1">
        <f t="shared" si="8"/>
        <v>150.04938581582203</v>
      </c>
      <c r="N23" s="1">
        <f t="shared" si="2"/>
        <v>0.82892739809778437</v>
      </c>
      <c r="O23" s="1">
        <f t="shared" si="6"/>
        <v>0.13316921115183333</v>
      </c>
      <c r="P23" s="1">
        <f t="shared" si="3"/>
        <v>-34822.678453824366</v>
      </c>
      <c r="R23" s="1">
        <f t="shared" si="4"/>
        <v>17229.033031190742</v>
      </c>
      <c r="S23" s="1">
        <f t="shared" si="5"/>
        <v>2.4876660959505621E-3</v>
      </c>
      <c r="U23" s="1">
        <f t="shared" si="7"/>
        <v>4039</v>
      </c>
    </row>
    <row r="24" spans="1:21">
      <c r="A24" s="1" t="s">
        <v>54</v>
      </c>
      <c r="B24" s="8">
        <v>1</v>
      </c>
      <c r="C24" s="3">
        <v>2016</v>
      </c>
      <c r="D24" s="3">
        <v>15</v>
      </c>
      <c r="E24" s="9">
        <v>12420</v>
      </c>
      <c r="F24" s="3">
        <v>31.62</v>
      </c>
      <c r="G24" s="2">
        <f t="shared" si="0"/>
        <v>0.31620000000000004</v>
      </c>
      <c r="H24" s="3">
        <f t="shared" ref="H24:H25" si="9">1-$H$1*(1-EXP(-$H$2*ABS(D24-13)))</f>
        <v>4.7326971136198495</v>
      </c>
      <c r="I24" s="3">
        <v>0</v>
      </c>
      <c r="J24" s="3">
        <f t="shared" ref="J24:J25" si="10">1-$J$1*(1-EXP(-$J$2*ABS(D24-12)))</f>
        <v>7.9131813587614008E-2</v>
      </c>
      <c r="L24" s="3">
        <f t="shared" si="1"/>
        <v>2.9087786235785718</v>
      </c>
      <c r="M24" s="1">
        <f t="shared" si="8"/>
        <v>219.76897966766148</v>
      </c>
      <c r="N24" s="1">
        <f t="shared" si="2"/>
        <v>0.92468488866316445</v>
      </c>
      <c r="O24" s="1">
        <f t="shared" si="6"/>
        <v>9.5757490565380077E-2</v>
      </c>
      <c r="P24" s="1">
        <f t="shared" si="3"/>
        <v>-29136.530380284701</v>
      </c>
      <c r="R24" s="1">
        <f t="shared" si="4"/>
        <v>12388.816856877178</v>
      </c>
      <c r="S24" s="1">
        <f t="shared" si="5"/>
        <v>2.5107200581982289E-3</v>
      </c>
      <c r="U24" s="1">
        <f t="shared" si="7"/>
        <v>3162</v>
      </c>
    </row>
    <row r="25" spans="1:21">
      <c r="A25" s="1" t="s">
        <v>58</v>
      </c>
      <c r="B25" s="24">
        <v>2</v>
      </c>
      <c r="C25" s="25">
        <v>2016</v>
      </c>
      <c r="D25" s="25">
        <v>16</v>
      </c>
      <c r="E25" s="26">
        <v>9764</v>
      </c>
      <c r="F25" s="25">
        <v>48.46</v>
      </c>
      <c r="G25" s="27">
        <f t="shared" si="0"/>
        <v>0.48460000000000003</v>
      </c>
      <c r="H25" s="3">
        <f t="shared" si="9"/>
        <v>5.0547342803841522</v>
      </c>
      <c r="I25" s="3">
        <v>1</v>
      </c>
      <c r="J25" s="3">
        <f t="shared" si="10"/>
        <v>6.0511953192814216E-2</v>
      </c>
      <c r="L25" s="3">
        <f t="shared" si="1"/>
        <v>1046126718.219025</v>
      </c>
      <c r="M25" s="1">
        <f t="shared" si="8"/>
        <v>26696746017.41478</v>
      </c>
      <c r="N25" s="1">
        <f t="shared" si="2"/>
        <v>1</v>
      </c>
      <c r="O25" s="1">
        <f t="shared" si="6"/>
        <v>7.531511133683555E-2</v>
      </c>
      <c r="P25" s="1">
        <f t="shared" si="3"/>
        <v>-25250.431247580083</v>
      </c>
      <c r="R25" s="1">
        <f t="shared" si="4"/>
        <v>9744.0431594257734</v>
      </c>
      <c r="S25" s="1">
        <f>ABS(E25-R25)/E25</f>
        <v>2.043920583185845E-3</v>
      </c>
      <c r="U25" s="1">
        <f t="shared" si="7"/>
        <v>4846</v>
      </c>
    </row>
    <row r="30" spans="1:21">
      <c r="F30" s="1" t="s">
        <v>7</v>
      </c>
    </row>
    <row r="31" spans="1:21">
      <c r="F31" s="1" t="s">
        <v>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workbookViewId="0">
      <selection activeCell="H31" sqref="H31"/>
    </sheetView>
  </sheetViews>
  <sheetFormatPr baseColWidth="10" defaultRowHeight="16" x14ac:dyDescent="0"/>
  <cols>
    <col min="1" max="1" width="8" style="1" customWidth="1"/>
    <col min="2" max="2" width="10.83203125" style="1"/>
    <col min="3" max="3" width="5.6640625" style="1" customWidth="1"/>
    <col min="4" max="4" width="7.6640625" style="1" customWidth="1"/>
    <col min="5" max="5" width="11.83203125" style="1" customWidth="1"/>
    <col min="6" max="8" width="12" style="1" customWidth="1"/>
    <col min="9" max="9" width="12" style="3" customWidth="1"/>
    <col min="10" max="10" width="11" style="1" customWidth="1"/>
    <col min="11" max="11" width="10.1640625" style="1" customWidth="1"/>
    <col min="12" max="12" width="12.6640625" style="1" customWidth="1"/>
    <col min="13" max="13" width="10.33203125" style="1" customWidth="1"/>
    <col min="14" max="14" width="11.1640625" style="1" customWidth="1"/>
    <col min="15" max="15" width="14" style="1" customWidth="1"/>
    <col min="16" max="18" width="10.83203125" style="1"/>
    <col min="19" max="19" width="11.33203125" style="1" customWidth="1"/>
    <col min="20" max="16384" width="10.83203125" style="1"/>
  </cols>
  <sheetData>
    <row r="1" spans="1:19">
      <c r="A1" s="1" t="s">
        <v>21</v>
      </c>
      <c r="B1" s="1">
        <f>SUM(D8:D23)</f>
        <v>129377</v>
      </c>
      <c r="F1" s="28" t="s">
        <v>36</v>
      </c>
      <c r="G1" s="28">
        <v>-83.035417415441486</v>
      </c>
      <c r="H1" s="28"/>
      <c r="J1" s="15" t="s">
        <v>18</v>
      </c>
      <c r="K1" s="16">
        <v>7.9724207610351368E-3</v>
      </c>
      <c r="L1" s="4"/>
      <c r="M1" s="4"/>
      <c r="N1" s="4"/>
      <c r="O1" s="4"/>
      <c r="P1" s="4" t="s">
        <v>28</v>
      </c>
      <c r="Q1" s="4">
        <f>-2*K5+2*LN(B1)</f>
        <v>685878.36847414612</v>
      </c>
    </row>
    <row r="2" spans="1:19">
      <c r="F2" s="28" t="s">
        <v>37</v>
      </c>
      <c r="G2" s="28">
        <v>2.8280331278684318E-2</v>
      </c>
      <c r="H2" s="28"/>
      <c r="J2" s="17" t="s">
        <v>31</v>
      </c>
      <c r="K2" s="18">
        <v>2.0452172374068267</v>
      </c>
      <c r="L2" s="4"/>
      <c r="M2" s="4"/>
      <c r="N2" s="4"/>
      <c r="O2" s="4"/>
      <c r="P2" s="4"/>
      <c r="Q2" s="4"/>
    </row>
    <row r="3" spans="1:19">
      <c r="F3" s="3"/>
      <c r="G3" s="3"/>
      <c r="H3" s="3"/>
      <c r="J3" s="17" t="s">
        <v>35</v>
      </c>
      <c r="K3" s="18">
        <v>0.28629950964594292</v>
      </c>
      <c r="L3" s="4"/>
      <c r="M3" s="4"/>
      <c r="N3" s="4"/>
      <c r="O3" s="4"/>
      <c r="P3" s="4"/>
      <c r="Q3" s="4"/>
    </row>
    <row r="4" spans="1:19">
      <c r="F4" s="3"/>
      <c r="G4" s="3"/>
      <c r="H4" s="3"/>
      <c r="J4" s="17" t="s">
        <v>19</v>
      </c>
      <c r="K4" s="18">
        <v>-0.42079916849004184</v>
      </c>
      <c r="L4" s="4"/>
      <c r="M4" s="4"/>
      <c r="N4" s="4"/>
      <c r="O4" s="4"/>
      <c r="P4" s="4" t="s">
        <v>29</v>
      </c>
      <c r="Q4" s="4">
        <f>AVERAGE(Q8:Q23)</f>
        <v>0.21411924217887149</v>
      </c>
    </row>
    <row r="5" spans="1:19" ht="17" thickBot="1">
      <c r="A5" s="12" t="s">
        <v>0</v>
      </c>
      <c r="E5" s="1" t="s">
        <v>11</v>
      </c>
      <c r="F5" s="3"/>
      <c r="G5" s="3"/>
      <c r="H5" s="3"/>
      <c r="J5" s="19" t="s">
        <v>20</v>
      </c>
      <c r="K5" s="20">
        <f>SUM(N8:N23)</f>
        <v>-342927.41375117126</v>
      </c>
      <c r="L5" s="4"/>
      <c r="M5" s="4"/>
      <c r="N5" s="4"/>
      <c r="O5" s="4"/>
      <c r="P5" s="4"/>
      <c r="Q5" s="4" t="s">
        <v>33</v>
      </c>
    </row>
    <row r="6" spans="1:19">
      <c r="F6" s="3"/>
      <c r="G6" s="3"/>
      <c r="H6" s="3"/>
      <c r="J6" s="13"/>
      <c r="K6" s="4"/>
      <c r="L6" s="4"/>
      <c r="M6" s="4"/>
      <c r="N6" s="4"/>
      <c r="O6" s="4"/>
      <c r="P6" s="4"/>
      <c r="Q6" s="4"/>
    </row>
    <row r="7" spans="1:19" s="7" customFormat="1">
      <c r="A7" s="21" t="s">
        <v>1</v>
      </c>
      <c r="B7" s="22" t="s">
        <v>2</v>
      </c>
      <c r="C7" s="22" t="s">
        <v>3</v>
      </c>
      <c r="D7" s="22" t="s">
        <v>4</v>
      </c>
      <c r="E7" s="22" t="s">
        <v>5</v>
      </c>
      <c r="F7" s="23" t="s">
        <v>8</v>
      </c>
      <c r="G7" s="11" t="s">
        <v>34</v>
      </c>
      <c r="H7" s="11"/>
      <c r="I7" s="11"/>
      <c r="J7" s="14" t="s">
        <v>22</v>
      </c>
      <c r="K7" s="10" t="s">
        <v>32</v>
      </c>
      <c r="L7" s="10" t="s">
        <v>24</v>
      </c>
      <c r="M7" s="10" t="s">
        <v>25</v>
      </c>
      <c r="N7" s="10" t="s">
        <v>20</v>
      </c>
      <c r="O7" s="10"/>
      <c r="P7" s="10" t="s">
        <v>26</v>
      </c>
      <c r="Q7" s="10" t="s">
        <v>27</v>
      </c>
      <c r="S7" s="7" t="s">
        <v>30</v>
      </c>
    </row>
    <row r="8" spans="1:19">
      <c r="A8" s="8">
        <v>3</v>
      </c>
      <c r="B8" s="3">
        <v>2012</v>
      </c>
      <c r="C8" s="3">
        <v>1</v>
      </c>
      <c r="D8" s="9">
        <v>250</v>
      </c>
      <c r="E8" s="3">
        <v>99.27</v>
      </c>
      <c r="F8" s="2">
        <f>E8/100</f>
        <v>0.99269999999999992</v>
      </c>
      <c r="G8" s="3">
        <v>0</v>
      </c>
      <c r="H8" s="3"/>
      <c r="J8" s="3">
        <f>EXP($K$4*F8+G8*$K$3)</f>
        <v>0.65854176552714672</v>
      </c>
      <c r="K8" s="1">
        <f>C8^$K$2*J8</f>
        <v>0.65854176552714672</v>
      </c>
      <c r="L8" s="1">
        <f>1-EXP(-$K$1*K8)</f>
        <v>5.2364139781879704E-3</v>
      </c>
      <c r="M8" s="1">
        <f>L8</f>
        <v>5.2364139781879704E-3</v>
      </c>
      <c r="N8" s="1">
        <f>D8*LN(M8)</f>
        <v>-1313.0295925587027</v>
      </c>
      <c r="P8" s="1">
        <f>$B$1*M8</f>
        <v>677.47153125602506</v>
      </c>
      <c r="Q8" s="1">
        <f>ABS(D8-P8)/D8</f>
        <v>1.7098861250241002</v>
      </c>
      <c r="S8" s="1">
        <f>E8*100</f>
        <v>9927</v>
      </c>
    </row>
    <row r="9" spans="1:19">
      <c r="A9" s="8">
        <v>4</v>
      </c>
      <c r="B9" s="3">
        <v>2012</v>
      </c>
      <c r="C9" s="3">
        <v>2</v>
      </c>
      <c r="D9" s="9">
        <v>2400</v>
      </c>
      <c r="E9" s="3">
        <v>91.2</v>
      </c>
      <c r="F9" s="2">
        <f t="shared" ref="F9:F23" si="0">E9/100</f>
        <v>0.91200000000000003</v>
      </c>
      <c r="G9" s="3">
        <v>0</v>
      </c>
      <c r="H9" s="3"/>
      <c r="J9" s="3">
        <f>EXP($K$4*F9+G9*$K$3)</f>
        <v>0.68128889458683894</v>
      </c>
      <c r="K9" s="1">
        <f>K8+(C9^$K$2-C8^$K$2)*J9</f>
        <v>2.7891734221796933</v>
      </c>
      <c r="L9" s="1">
        <f t="shared" ref="L9:L23" si="1">1-EXP(-$K$1*K9)</f>
        <v>2.1991056295603273E-2</v>
      </c>
      <c r="M9" s="1">
        <f>L9-L8</f>
        <v>1.6754642317415303E-2</v>
      </c>
      <c r="N9" s="1">
        <f t="shared" ref="N9:N23" si="2">D9*LN(M9)</f>
        <v>-9813.7917739977856</v>
      </c>
      <c r="P9" s="1">
        <f t="shared" ref="P9:P23" si="3">$B$1*M9</f>
        <v>2167.6653591002396</v>
      </c>
      <c r="Q9" s="1">
        <f t="shared" ref="Q9:Q22" si="4">ABS(D9-P9)/D9</f>
        <v>9.6806100374900173E-2</v>
      </c>
      <c r="S9" s="1">
        <f>E9*100</f>
        <v>9120</v>
      </c>
    </row>
    <row r="10" spans="1:19">
      <c r="A10" s="8">
        <v>1</v>
      </c>
      <c r="B10" s="3">
        <v>2013</v>
      </c>
      <c r="C10" s="3">
        <v>3</v>
      </c>
      <c r="D10" s="9">
        <v>4900</v>
      </c>
      <c r="E10" s="3">
        <v>93.96</v>
      </c>
      <c r="F10" s="2">
        <f t="shared" si="0"/>
        <v>0.93959999999999999</v>
      </c>
      <c r="G10" s="3">
        <v>0</v>
      </c>
      <c r="H10" s="3"/>
      <c r="J10" s="3">
        <f>EXP($K$4*F10+G10*$K$3)</f>
        <v>0.67342213740699419</v>
      </c>
      <c r="K10" s="1">
        <f>K9+(C10^$K$2-C9^$K$2)*J10</f>
        <v>6.3792021314009215</v>
      </c>
      <c r="L10" s="1">
        <f t="shared" si="1"/>
        <v>4.9586079519900128E-2</v>
      </c>
      <c r="M10" s="1">
        <f t="shared" ref="M10:M23" si="5">L10-L9</f>
        <v>2.7595023224296855E-2</v>
      </c>
      <c r="N10" s="1">
        <f t="shared" si="2"/>
        <v>-17591.587218344794</v>
      </c>
      <c r="P10" s="1">
        <f t="shared" si="3"/>
        <v>3570.1613196898543</v>
      </c>
      <c r="Q10" s="1">
        <f t="shared" si="4"/>
        <v>0.27139564904288688</v>
      </c>
      <c r="S10" s="1">
        <f t="shared" ref="S10:S23" si="6">E10*100</f>
        <v>9396</v>
      </c>
    </row>
    <row r="11" spans="1:19">
      <c r="A11" s="8">
        <v>2</v>
      </c>
      <c r="B11" s="3">
        <v>2013</v>
      </c>
      <c r="C11" s="3">
        <v>4</v>
      </c>
      <c r="D11" s="9">
        <v>5150</v>
      </c>
      <c r="E11" s="3">
        <v>93.58</v>
      </c>
      <c r="F11" s="2">
        <f t="shared" si="0"/>
        <v>0.93579999999999997</v>
      </c>
      <c r="G11" s="3">
        <v>0</v>
      </c>
      <c r="H11" s="3"/>
      <c r="J11" s="3">
        <f t="shared" ref="J11:J23" si="7">EXP($K$4*F11+G11*$K$3)</f>
        <v>0.67449982561569999</v>
      </c>
      <c r="K11" s="1">
        <f t="shared" ref="K11:K23" si="8">K10+(C11^$K$2-C10^$K$2)*J11</f>
        <v>11.489668413926722</v>
      </c>
      <c r="L11" s="1">
        <f t="shared" si="1"/>
        <v>8.7530365190795378E-2</v>
      </c>
      <c r="M11" s="1">
        <f t="shared" si="5"/>
        <v>3.794428567089525E-2</v>
      </c>
      <c r="N11" s="1">
        <f t="shared" si="2"/>
        <v>-16848.927262678051</v>
      </c>
      <c r="P11" s="1">
        <f>$B$1*M11</f>
        <v>4909.1178472434149</v>
      </c>
      <c r="Q11" s="1">
        <f t="shared" si="4"/>
        <v>4.6773233544967985E-2</v>
      </c>
      <c r="S11" s="1">
        <f t="shared" si="6"/>
        <v>9358</v>
      </c>
    </row>
    <row r="12" spans="1:19">
      <c r="A12" s="8">
        <v>3</v>
      </c>
      <c r="B12" s="3">
        <v>2013</v>
      </c>
      <c r="C12" s="3">
        <v>5</v>
      </c>
      <c r="D12" s="9">
        <v>5500</v>
      </c>
      <c r="E12" s="3">
        <v>109.49</v>
      </c>
      <c r="F12" s="2">
        <f t="shared" si="0"/>
        <v>1.0949</v>
      </c>
      <c r="G12" s="3">
        <v>0</v>
      </c>
      <c r="H12" s="3"/>
      <c r="J12" s="3">
        <f t="shared" si="7"/>
        <v>0.63082107810111332</v>
      </c>
      <c r="K12" s="1">
        <f t="shared" si="8"/>
        <v>17.704607840574891</v>
      </c>
      <c r="L12" s="1">
        <f t="shared" si="1"/>
        <v>0.13163972156258108</v>
      </c>
      <c r="M12" s="1">
        <f t="shared" si="5"/>
        <v>4.4109356371785702E-2</v>
      </c>
      <c r="N12" s="1">
        <f t="shared" si="2"/>
        <v>-17165.958460239148</v>
      </c>
      <c r="P12" s="1">
        <f>$B$1*M12</f>
        <v>5706.7361993125187</v>
      </c>
      <c r="Q12" s="1">
        <f t="shared" si="4"/>
        <v>3.7588399875003398E-2</v>
      </c>
      <c r="S12" s="1">
        <f t="shared" si="6"/>
        <v>10949</v>
      </c>
    </row>
    <row r="13" spans="1:19">
      <c r="A13" s="8">
        <v>4</v>
      </c>
      <c r="B13" s="3">
        <v>2013</v>
      </c>
      <c r="C13" s="3">
        <v>6</v>
      </c>
      <c r="D13" s="9">
        <v>6892</v>
      </c>
      <c r="E13" s="3">
        <v>94.12</v>
      </c>
      <c r="F13" s="2">
        <f t="shared" si="0"/>
        <v>0.94120000000000004</v>
      </c>
      <c r="G13" s="3">
        <v>0</v>
      </c>
      <c r="H13" s="3"/>
      <c r="J13" s="3">
        <f t="shared" si="7"/>
        <v>0.6729688892445338</v>
      </c>
      <c r="K13" s="1">
        <f t="shared" si="8"/>
        <v>25.881769243416791</v>
      </c>
      <c r="L13" s="1">
        <f t="shared" si="1"/>
        <v>0.18644386829262583</v>
      </c>
      <c r="M13" s="1">
        <f t="shared" si="5"/>
        <v>5.4804146730044745E-2</v>
      </c>
      <c r="N13" s="1">
        <f t="shared" si="2"/>
        <v>-20014.295066338527</v>
      </c>
      <c r="P13" s="1">
        <f t="shared" si="3"/>
        <v>7090.3960914929994</v>
      </c>
      <c r="Q13" s="1">
        <f t="shared" si="4"/>
        <v>2.878643231181071E-2</v>
      </c>
      <c r="S13" s="1">
        <f t="shared" si="6"/>
        <v>9412</v>
      </c>
    </row>
    <row r="14" spans="1:19">
      <c r="A14" s="8">
        <v>1</v>
      </c>
      <c r="B14" s="3">
        <v>2014</v>
      </c>
      <c r="C14" s="3">
        <v>7</v>
      </c>
      <c r="D14" s="9">
        <v>6457</v>
      </c>
      <c r="E14" s="3">
        <v>103.91</v>
      </c>
      <c r="F14" s="2">
        <f t="shared" si="0"/>
        <v>1.0390999999999999</v>
      </c>
      <c r="G14" s="3">
        <v>0</v>
      </c>
      <c r="H14" s="3"/>
      <c r="J14" s="3">
        <f>EXP($K$4*F14+G14*$K$3)</f>
        <v>0.64580839847692761</v>
      </c>
      <c r="K14" s="1">
        <f t="shared" si="8"/>
        <v>35.225803859831814</v>
      </c>
      <c r="L14" s="1">
        <f t="shared" si="1"/>
        <v>0.24484702171763262</v>
      </c>
      <c r="M14" s="1">
        <f t="shared" si="5"/>
        <v>5.8403153425006793E-2</v>
      </c>
      <c r="N14" s="1">
        <f t="shared" si="2"/>
        <v>-18340.368486489409</v>
      </c>
      <c r="P14" s="1">
        <f t="shared" si="3"/>
        <v>7556.0247806671041</v>
      </c>
      <c r="Q14" s="1">
        <f t="shared" si="4"/>
        <v>0.17020671839354254</v>
      </c>
      <c r="S14" s="1">
        <f t="shared" si="6"/>
        <v>10391</v>
      </c>
    </row>
    <row r="15" spans="1:19">
      <c r="A15" s="8">
        <v>2</v>
      </c>
      <c r="B15" s="3">
        <v>2014</v>
      </c>
      <c r="C15" s="3">
        <v>8</v>
      </c>
      <c r="D15" s="9">
        <v>7579</v>
      </c>
      <c r="E15" s="3">
        <v>103.09</v>
      </c>
      <c r="F15" s="2">
        <f t="shared" si="0"/>
        <v>1.0308999999999999</v>
      </c>
      <c r="G15" s="3">
        <v>0</v>
      </c>
      <c r="H15" s="3"/>
      <c r="J15" s="3">
        <f t="shared" si="7"/>
        <v>0.64804064372666448</v>
      </c>
      <c r="K15" s="1">
        <f t="shared" si="8"/>
        <v>46.114754159493202</v>
      </c>
      <c r="L15" s="1">
        <f t="shared" si="1"/>
        <v>0.30763792016629321</v>
      </c>
      <c r="M15" s="1">
        <f t="shared" si="5"/>
        <v>6.2790898448660593E-2</v>
      </c>
      <c r="N15" s="1">
        <f t="shared" si="2"/>
        <v>-20978.256255263783</v>
      </c>
      <c r="P15" s="1">
        <f t="shared" si="3"/>
        <v>8123.6980685923618</v>
      </c>
      <c r="Q15" s="1">
        <f t="shared" si="4"/>
        <v>7.1869384957429977E-2</v>
      </c>
      <c r="S15" s="1">
        <f t="shared" si="6"/>
        <v>10309</v>
      </c>
    </row>
    <row r="16" spans="1:19">
      <c r="A16" s="8">
        <v>3</v>
      </c>
      <c r="B16" s="3">
        <v>2014</v>
      </c>
      <c r="C16" s="3">
        <v>9</v>
      </c>
      <c r="D16" s="9">
        <v>7785</v>
      </c>
      <c r="E16" s="3">
        <v>97.57</v>
      </c>
      <c r="F16" s="2">
        <f t="shared" si="0"/>
        <v>0.9756999999999999</v>
      </c>
      <c r="G16" s="3">
        <v>0</v>
      </c>
      <c r="H16" s="3"/>
      <c r="J16" s="3">
        <f t="shared" si="7"/>
        <v>0.66326959088269777</v>
      </c>
      <c r="K16" s="1">
        <f t="shared" si="8"/>
        <v>58.817162027429887</v>
      </c>
      <c r="L16" s="1">
        <f t="shared" si="1"/>
        <v>0.3743193386332837</v>
      </c>
      <c r="M16" s="1">
        <f t="shared" si="5"/>
        <v>6.6681418466990494E-2</v>
      </c>
      <c r="N16" s="1">
        <f t="shared" si="2"/>
        <v>-21080.448364660253</v>
      </c>
      <c r="P16" s="1">
        <f t="shared" si="3"/>
        <v>8627.0418770038286</v>
      </c>
      <c r="Q16" s="1">
        <f t="shared" si="4"/>
        <v>0.10816209081616296</v>
      </c>
      <c r="S16" s="1">
        <f t="shared" si="6"/>
        <v>9757</v>
      </c>
    </row>
    <row r="17" spans="1:19">
      <c r="A17" s="8">
        <v>4</v>
      </c>
      <c r="B17" s="3">
        <v>2014</v>
      </c>
      <c r="C17" s="3">
        <v>10</v>
      </c>
      <c r="D17" s="9">
        <v>9834</v>
      </c>
      <c r="E17" s="3">
        <v>66.2</v>
      </c>
      <c r="F17" s="2">
        <f t="shared" si="0"/>
        <v>0.66200000000000003</v>
      </c>
      <c r="G17" s="3">
        <v>0</v>
      </c>
      <c r="H17" s="3"/>
      <c r="J17" s="3">
        <f t="shared" si="7"/>
        <v>0.75686600469578236</v>
      </c>
      <c r="K17" s="1">
        <f t="shared" si="8"/>
        <v>75.098927231825854</v>
      </c>
      <c r="L17" s="1">
        <f t="shared" si="1"/>
        <v>0.45048557074063511</v>
      </c>
      <c r="M17" s="1">
        <f t="shared" si="5"/>
        <v>7.6166232107351406E-2</v>
      </c>
      <c r="N17" s="1">
        <f t="shared" si="2"/>
        <v>-25320.94767465282</v>
      </c>
      <c r="P17" s="1">
        <f t="shared" si="3"/>
        <v>9854.1586113528028</v>
      </c>
      <c r="Q17" s="1">
        <f t="shared" si="4"/>
        <v>2.0498892976207887E-3</v>
      </c>
      <c r="S17" s="1">
        <f t="shared" si="6"/>
        <v>6620</v>
      </c>
    </row>
    <row r="18" spans="1:19">
      <c r="A18" s="8">
        <v>1</v>
      </c>
      <c r="B18" s="3">
        <v>2015</v>
      </c>
      <c r="C18" s="3">
        <v>11</v>
      </c>
      <c r="D18" s="9">
        <v>10045</v>
      </c>
      <c r="E18" s="3">
        <v>50.34</v>
      </c>
      <c r="F18" s="2">
        <f t="shared" si="0"/>
        <v>0.50340000000000007</v>
      </c>
      <c r="G18" s="3">
        <v>0</v>
      </c>
      <c r="H18" s="3"/>
      <c r="J18" s="3">
        <f t="shared" si="7"/>
        <v>0.8091019893774396</v>
      </c>
      <c r="K18" s="1">
        <f t="shared" si="8"/>
        <v>94.423732671797381</v>
      </c>
      <c r="L18" s="1">
        <f t="shared" si="1"/>
        <v>0.52894750022504289</v>
      </c>
      <c r="M18" s="1">
        <f t="shared" si="5"/>
        <v>7.8461929484407777E-2</v>
      </c>
      <c r="N18" s="1">
        <f t="shared" si="2"/>
        <v>-25565.948844124585</v>
      </c>
      <c r="P18" s="1">
        <f t="shared" si="3"/>
        <v>10151.169050904226</v>
      </c>
      <c r="Q18" s="1">
        <f t="shared" si="4"/>
        <v>1.0569343046712346E-2</v>
      </c>
      <c r="S18" s="1">
        <f t="shared" si="6"/>
        <v>5034</v>
      </c>
    </row>
    <row r="19" spans="1:19">
      <c r="A19" s="8">
        <v>2</v>
      </c>
      <c r="B19" s="3">
        <v>2015</v>
      </c>
      <c r="C19" s="3">
        <v>12</v>
      </c>
      <c r="D19" s="9">
        <v>11532</v>
      </c>
      <c r="E19" s="3">
        <v>60.07</v>
      </c>
      <c r="F19" s="2">
        <f t="shared" si="0"/>
        <v>0.60070000000000001</v>
      </c>
      <c r="G19" s="3">
        <v>0</v>
      </c>
      <c r="H19" s="3"/>
      <c r="J19" s="3">
        <f t="shared" si="7"/>
        <v>0.77664333639974237</v>
      </c>
      <c r="K19" s="1">
        <f>K18+(C19^$K$2-C18^$K$2)*J19</f>
        <v>114.82359323773645</v>
      </c>
      <c r="L19" s="1">
        <f t="shared" si="1"/>
        <v>0.5996523557011878</v>
      </c>
      <c r="M19" s="1">
        <f t="shared" si="5"/>
        <v>7.0704855476144912E-2</v>
      </c>
      <c r="N19" s="1">
        <f t="shared" si="2"/>
        <v>-30551.047572543179</v>
      </c>
      <c r="P19" s="1">
        <f t="shared" si="3"/>
        <v>9147.5820869372001</v>
      </c>
      <c r="Q19" s="1">
        <f t="shared" si="4"/>
        <v>0.20676534105643427</v>
      </c>
      <c r="S19" s="1">
        <f t="shared" si="6"/>
        <v>6007</v>
      </c>
    </row>
    <row r="20" spans="1:19">
      <c r="A20" s="8">
        <v>3</v>
      </c>
      <c r="B20" s="3">
        <v>2015</v>
      </c>
      <c r="C20" s="3">
        <v>13</v>
      </c>
      <c r="D20" s="9">
        <v>11597</v>
      </c>
      <c r="E20" s="3">
        <v>48.95</v>
      </c>
      <c r="F20" s="2">
        <f t="shared" si="0"/>
        <v>0.48950000000000005</v>
      </c>
      <c r="G20" s="3">
        <f>1-$G$1*(1-EXP(-$G$2*ABS(C20-13)))</f>
        <v>1</v>
      </c>
      <c r="H20" s="3"/>
      <c r="J20" s="3">
        <f>EXP($K$4*F20+G20*$K$3)</f>
        <v>1.083631950895195</v>
      </c>
      <c r="K20" s="1">
        <f t="shared" si="8"/>
        <v>145.8789107480124</v>
      </c>
      <c r="L20" s="1">
        <f t="shared" si="1"/>
        <v>0.68745538645288984</v>
      </c>
      <c r="M20" s="1">
        <f t="shared" si="5"/>
        <v>8.7803030751702038E-2</v>
      </c>
      <c r="N20" s="1">
        <f t="shared" si="2"/>
        <v>-28211.549439666498</v>
      </c>
      <c r="P20" s="1">
        <f t="shared" si="3"/>
        <v>11359.692709562954</v>
      </c>
      <c r="Q20" s="1">
        <f t="shared" si="4"/>
        <v>2.0462817145558816E-2</v>
      </c>
      <c r="S20" s="1">
        <f t="shared" si="6"/>
        <v>4895</v>
      </c>
    </row>
    <row r="21" spans="1:19">
      <c r="A21" s="8">
        <v>4</v>
      </c>
      <c r="B21" s="3">
        <v>2015</v>
      </c>
      <c r="C21" s="3">
        <v>14</v>
      </c>
      <c r="D21" s="9">
        <v>17272</v>
      </c>
      <c r="E21" s="3">
        <v>40.39</v>
      </c>
      <c r="F21" s="2">
        <f t="shared" si="0"/>
        <v>0.40389999999999998</v>
      </c>
      <c r="G21" s="3">
        <f>1-$G$1*(1-EXP(-$G$2*ABS(C21-13)))</f>
        <v>3.3153750128966055</v>
      </c>
      <c r="H21" s="3"/>
      <c r="J21" s="3">
        <f t="shared" si="7"/>
        <v>2.17979199330088</v>
      </c>
      <c r="K21" s="1">
        <f t="shared" si="8"/>
        <v>213.58122735808854</v>
      </c>
      <c r="L21" s="1">
        <f t="shared" si="1"/>
        <v>0.81781988003288519</v>
      </c>
      <c r="M21" s="1">
        <f t="shared" si="5"/>
        <v>0.13036449357999536</v>
      </c>
      <c r="N21" s="1">
        <f t="shared" si="2"/>
        <v>-35190.334735861885</v>
      </c>
      <c r="P21" s="1">
        <f t="shared" si="3"/>
        <v>16866.167085899058</v>
      </c>
      <c r="Q21" s="1">
        <f t="shared" si="4"/>
        <v>2.3496579093384769E-2</v>
      </c>
      <c r="S21" s="1">
        <f t="shared" si="6"/>
        <v>4039</v>
      </c>
    </row>
    <row r="22" spans="1:19">
      <c r="A22" s="8">
        <v>1</v>
      </c>
      <c r="B22" s="3">
        <v>2016</v>
      </c>
      <c r="C22" s="3">
        <v>15</v>
      </c>
      <c r="D22" s="9">
        <v>12420</v>
      </c>
      <c r="E22" s="3">
        <v>31.62</v>
      </c>
      <c r="F22" s="2">
        <f t="shared" si="0"/>
        <v>0.31620000000000004</v>
      </c>
      <c r="G22" s="3">
        <f t="shared" ref="G22:G23" si="9">1-$G$1*(1-EXP(-$G$2*ABS(C22-13)))</f>
        <v>5.5661876785778812</v>
      </c>
      <c r="H22" s="3"/>
      <c r="J22" s="3">
        <f t="shared" si="7"/>
        <v>4.308285830649476</v>
      </c>
      <c r="K22" s="1">
        <f t="shared" si="8"/>
        <v>357.76947905851807</v>
      </c>
      <c r="L22" s="1">
        <f t="shared" si="1"/>
        <v>0.94228792310966836</v>
      </c>
      <c r="M22" s="1">
        <f t="shared" si="5"/>
        <v>0.12446804307678316</v>
      </c>
      <c r="N22" s="1">
        <f t="shared" si="2"/>
        <v>-25879.631974499523</v>
      </c>
      <c r="P22" s="1">
        <f t="shared" si="3"/>
        <v>16103.302009144976</v>
      </c>
      <c r="Q22" s="1">
        <f t="shared" si="4"/>
        <v>0.29656215854629436</v>
      </c>
      <c r="S22" s="1">
        <f t="shared" si="6"/>
        <v>3162</v>
      </c>
    </row>
    <row r="23" spans="1:19">
      <c r="A23" s="24">
        <v>2</v>
      </c>
      <c r="B23" s="25">
        <v>2016</v>
      </c>
      <c r="C23" s="25">
        <v>16</v>
      </c>
      <c r="D23" s="26">
        <v>9764</v>
      </c>
      <c r="E23" s="25">
        <v>48.46</v>
      </c>
      <c r="F23" s="27">
        <f t="shared" si="0"/>
        <v>0.48460000000000003</v>
      </c>
      <c r="G23" s="3">
        <f t="shared" si="9"/>
        <v>7.7542382655336866</v>
      </c>
      <c r="H23" s="3"/>
      <c r="J23" s="3">
        <f t="shared" si="7"/>
        <v>7.5090978799429191</v>
      </c>
      <c r="K23" s="1">
        <f t="shared" si="8"/>
        <v>627.22431289191945</v>
      </c>
      <c r="L23" s="1">
        <f t="shared" si="1"/>
        <v>0.9932653950958773</v>
      </c>
      <c r="M23" s="1">
        <f t="shared" si="5"/>
        <v>5.0977471986208944E-2</v>
      </c>
      <c r="N23" s="1">
        <f t="shared" si="2"/>
        <v>-29061.291029252352</v>
      </c>
      <c r="P23" s="1">
        <f t="shared" si="3"/>
        <v>6595.3123931597547</v>
      </c>
      <c r="Q23" s="1">
        <f>ABS(D23-P23)/D23</f>
        <v>0.32452761233513366</v>
      </c>
      <c r="S23" s="1">
        <f t="shared" si="6"/>
        <v>4846</v>
      </c>
    </row>
    <row r="28" spans="1:19">
      <c r="E28" s="1" t="s">
        <v>7</v>
      </c>
    </row>
    <row r="29" spans="1:19">
      <c r="E29" s="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2" workbookViewId="0">
      <selection activeCell="K9" sqref="K9"/>
    </sheetView>
  </sheetViews>
  <sheetFormatPr baseColWidth="10" defaultRowHeight="16" x14ac:dyDescent="0"/>
  <cols>
    <col min="1" max="1" width="8" style="1" customWidth="1"/>
    <col min="2" max="2" width="10.83203125" style="1"/>
    <col min="3" max="3" width="5.6640625" style="1" customWidth="1"/>
    <col min="4" max="4" width="7.6640625" style="1" customWidth="1"/>
    <col min="5" max="5" width="11.83203125" style="1" customWidth="1"/>
    <col min="6" max="6" width="12" style="1" customWidth="1"/>
    <col min="7" max="7" width="12" style="3" customWidth="1"/>
    <col min="8" max="8" width="11" style="1" customWidth="1"/>
    <col min="9" max="9" width="10.1640625" style="1" customWidth="1"/>
    <col min="10" max="10" width="12.6640625" style="1" customWidth="1"/>
    <col min="11" max="11" width="10.33203125" style="1" customWidth="1"/>
    <col min="12" max="12" width="11.1640625" style="1" customWidth="1"/>
    <col min="13" max="13" width="14" style="1" customWidth="1"/>
    <col min="14" max="16" width="10.83203125" style="1"/>
    <col min="17" max="17" width="11.33203125" style="1" customWidth="1"/>
    <col min="18" max="16384" width="10.83203125" style="1"/>
  </cols>
  <sheetData>
    <row r="1" spans="1:17">
      <c r="A1" s="1" t="s">
        <v>21</v>
      </c>
      <c r="B1" s="1">
        <f>SUM(D7:D22)</f>
        <v>129377</v>
      </c>
      <c r="F1" s="3"/>
      <c r="H1" s="15" t="s">
        <v>18</v>
      </c>
      <c r="I1" s="16">
        <v>2.3252108150036383E-2</v>
      </c>
      <c r="J1" s="4"/>
      <c r="K1" s="4"/>
      <c r="L1" s="4"/>
      <c r="M1" s="4"/>
      <c r="N1" s="4" t="s">
        <v>28</v>
      </c>
      <c r="O1" s="4">
        <f>-2*I4+2*LN(B1)</f>
        <v>712810.85509557836</v>
      </c>
    </row>
    <row r="2" spans="1:17">
      <c r="F2" s="3"/>
      <c r="H2" s="17" t="s">
        <v>31</v>
      </c>
      <c r="I2" s="18">
        <v>2.1169562970487825</v>
      </c>
      <c r="J2" s="4"/>
      <c r="K2" s="4"/>
      <c r="L2" s="4"/>
      <c r="M2" s="4"/>
      <c r="N2" s="4"/>
      <c r="O2" s="4"/>
    </row>
    <row r="3" spans="1:17">
      <c r="F3" s="3"/>
      <c r="H3" s="17" t="s">
        <v>19</v>
      </c>
      <c r="I3" s="18">
        <v>-1.7874460824446283</v>
      </c>
      <c r="J3" s="4"/>
      <c r="K3" s="4"/>
      <c r="L3" s="4"/>
      <c r="M3" s="4"/>
      <c r="N3" s="4" t="s">
        <v>29</v>
      </c>
      <c r="O3" s="4">
        <f>AVERAGE(O7:O22)</f>
        <v>0.29287955562460372</v>
      </c>
    </row>
    <row r="4" spans="1:17" ht="17" thickBot="1">
      <c r="A4" s="12" t="s">
        <v>0</v>
      </c>
      <c r="E4" s="1" t="s">
        <v>11</v>
      </c>
      <c r="F4" s="3"/>
      <c r="H4" s="19" t="s">
        <v>20</v>
      </c>
      <c r="I4" s="20">
        <f>SUM(L7:L22)</f>
        <v>-356393.65706188738</v>
      </c>
      <c r="J4" s="4"/>
      <c r="K4" s="4"/>
      <c r="L4" s="4"/>
      <c r="M4" s="4"/>
      <c r="N4" s="4"/>
      <c r="O4" s="4" t="s">
        <v>33</v>
      </c>
    </row>
    <row r="5" spans="1:17">
      <c r="F5" s="3"/>
      <c r="H5" s="13"/>
      <c r="I5" s="4"/>
      <c r="J5" s="4"/>
      <c r="K5" s="4"/>
      <c r="L5" s="4"/>
      <c r="M5" s="4"/>
      <c r="N5" s="4"/>
      <c r="O5" s="4"/>
    </row>
    <row r="6" spans="1:17" s="7" customFormat="1">
      <c r="A6" s="21" t="s">
        <v>1</v>
      </c>
      <c r="B6" s="22" t="s">
        <v>2</v>
      </c>
      <c r="C6" s="22" t="s">
        <v>3</v>
      </c>
      <c r="D6" s="22" t="s">
        <v>4</v>
      </c>
      <c r="E6" s="22" t="s">
        <v>5</v>
      </c>
      <c r="F6" s="23" t="s">
        <v>8</v>
      </c>
      <c r="G6" s="11"/>
      <c r="H6" s="14" t="s">
        <v>22</v>
      </c>
      <c r="I6" s="10" t="s">
        <v>32</v>
      </c>
      <c r="J6" s="10" t="s">
        <v>24</v>
      </c>
      <c r="K6" s="10" t="s">
        <v>25</v>
      </c>
      <c r="L6" s="10" t="s">
        <v>20</v>
      </c>
      <c r="M6" s="10"/>
      <c r="N6" s="10" t="s">
        <v>26</v>
      </c>
      <c r="O6" s="10" t="s">
        <v>27</v>
      </c>
      <c r="Q6" s="7" t="s">
        <v>30</v>
      </c>
    </row>
    <row r="7" spans="1:17">
      <c r="A7" s="8">
        <v>3</v>
      </c>
      <c r="B7" s="3">
        <v>2012</v>
      </c>
      <c r="C7" s="3">
        <v>1</v>
      </c>
      <c r="D7" s="9">
        <v>250</v>
      </c>
      <c r="E7" s="3">
        <v>99.27</v>
      </c>
      <c r="F7" s="2">
        <f>E7/100</f>
        <v>0.99269999999999992</v>
      </c>
      <c r="H7" s="3">
        <f>EXP($I$3*F7)</f>
        <v>0.16958555571215297</v>
      </c>
      <c r="I7" s="1">
        <f>C7^$I$2*H7</f>
        <v>0.16958555571215297</v>
      </c>
      <c r="J7" s="1">
        <f>1-EXP(-$I$1*I7)</f>
        <v>3.9354573922771863E-3</v>
      </c>
      <c r="K7" s="1">
        <f>J7</f>
        <v>3.9354573922771863E-3</v>
      </c>
      <c r="L7" s="1">
        <f>D7*LN(K7)</f>
        <v>-1384.4320417371309</v>
      </c>
      <c r="N7" s="1">
        <f>$B$1*K7</f>
        <v>509.15767104064554</v>
      </c>
      <c r="O7" s="1">
        <f>ABS(D7-N7)/D7</f>
        <v>1.0366306841625821</v>
      </c>
      <c r="Q7" s="1">
        <f>E7*100</f>
        <v>9927</v>
      </c>
    </row>
    <row r="8" spans="1:17">
      <c r="A8" s="8">
        <v>4</v>
      </c>
      <c r="B8" s="3">
        <v>2012</v>
      </c>
      <c r="C8" s="3">
        <v>2</v>
      </c>
      <c r="D8" s="9">
        <v>2400</v>
      </c>
      <c r="E8" s="3">
        <v>91.2</v>
      </c>
      <c r="F8" s="2">
        <f t="shared" ref="F8:F22" si="0">E8/100</f>
        <v>0.91200000000000003</v>
      </c>
      <c r="H8" s="3">
        <f>EXP($I$3*F8)</f>
        <v>0.19590002484837699</v>
      </c>
      <c r="I8" s="1">
        <f>I7+(C8^$I$2-C7^$I$2)*H8</f>
        <v>0.82345639408365634</v>
      </c>
      <c r="J8" s="1">
        <f>1-EXP(-$I$1*I8)</f>
        <v>1.8964955812782014E-2</v>
      </c>
      <c r="K8" s="1">
        <f>J8-J7</f>
        <v>1.5029498420504828E-2</v>
      </c>
      <c r="L8" s="1">
        <f t="shared" ref="L8:L22" si="1">D8*LN(K8)</f>
        <v>-10074.577074392018</v>
      </c>
      <c r="N8" s="1">
        <f t="shared" ref="N8:N22" si="2">$B$1*K8</f>
        <v>1944.471417149653</v>
      </c>
      <c r="O8" s="1">
        <f t="shared" ref="O8:O21" si="3">ABS(D8-N8)/D8</f>
        <v>0.18980357618764457</v>
      </c>
      <c r="Q8" s="1">
        <f>E8*100</f>
        <v>9120</v>
      </c>
    </row>
    <row r="9" spans="1:17">
      <c r="A9" s="8">
        <v>1</v>
      </c>
      <c r="B9" s="3">
        <v>2013</v>
      </c>
      <c r="C9" s="3">
        <v>3</v>
      </c>
      <c r="D9" s="9">
        <v>4900</v>
      </c>
      <c r="E9" s="3">
        <v>93.96</v>
      </c>
      <c r="F9" s="2">
        <f t="shared" si="0"/>
        <v>0.93959999999999999</v>
      </c>
      <c r="H9" s="3">
        <f t="shared" ref="H9:H22" si="4">EXP($I$3*F9)</f>
        <v>0.1864701066014168</v>
      </c>
      <c r="I9" s="1">
        <f>I8+(C9^$I$2-C8^$I$2)*H9</f>
        <v>1.9229230000575619</v>
      </c>
      <c r="J9" s="1">
        <f>1-EXP(-$I$1*I9)</f>
        <v>4.3727164209721892E-2</v>
      </c>
      <c r="K9" s="1">
        <f>J9-J8</f>
        <v>2.4762208396939878E-2</v>
      </c>
      <c r="L9" s="1">
        <f t="shared" si="1"/>
        <v>-18122.339550803666</v>
      </c>
      <c r="N9" s="1">
        <f t="shared" si="2"/>
        <v>3203.6602357708907</v>
      </c>
      <c r="O9" s="1">
        <f t="shared" si="3"/>
        <v>0.34619178861818556</v>
      </c>
      <c r="Q9" s="1">
        <f t="shared" ref="Q9:Q22" si="5">E9*100</f>
        <v>9396</v>
      </c>
    </row>
    <row r="10" spans="1:17">
      <c r="A10" s="8">
        <v>2</v>
      </c>
      <c r="B10" s="3">
        <v>2013</v>
      </c>
      <c r="C10" s="3">
        <v>4</v>
      </c>
      <c r="D10" s="9">
        <v>5150</v>
      </c>
      <c r="E10" s="3">
        <v>93.58</v>
      </c>
      <c r="F10" s="2">
        <f t="shared" si="0"/>
        <v>0.93579999999999997</v>
      </c>
      <c r="H10" s="3">
        <f t="shared" si="4"/>
        <v>0.18774097777529691</v>
      </c>
      <c r="I10" s="1">
        <f t="shared" ref="I10:I22" si="6">I9+(C10^$I$2-C9^$I$2)*H10</f>
        <v>3.5341786576362004</v>
      </c>
      <c r="J10" s="1">
        <f t="shared" ref="J10:J22" si="7">1-EXP(-$I$1*I10)</f>
        <v>7.8891188145052693E-2</v>
      </c>
      <c r="K10" s="1">
        <f>J10-J9</f>
        <v>3.5164023935330802E-2</v>
      </c>
      <c r="L10" s="1">
        <f t="shared" si="1"/>
        <v>-17240.818596528949</v>
      </c>
      <c r="N10" s="1">
        <f>$B$1*K10</f>
        <v>4549.4159246812933</v>
      </c>
      <c r="O10" s="1">
        <f t="shared" si="3"/>
        <v>0.11661826705217607</v>
      </c>
      <c r="Q10" s="1">
        <f t="shared" si="5"/>
        <v>9358</v>
      </c>
    </row>
    <row r="11" spans="1:17">
      <c r="A11" s="8">
        <v>3</v>
      </c>
      <c r="B11" s="3">
        <v>2013</v>
      </c>
      <c r="C11" s="3">
        <v>5</v>
      </c>
      <c r="D11" s="9">
        <v>5500</v>
      </c>
      <c r="E11" s="3">
        <v>109.49</v>
      </c>
      <c r="F11" s="2">
        <f t="shared" si="0"/>
        <v>1.0949</v>
      </c>
      <c r="H11" s="3">
        <f>EXP($I$3*F11)</f>
        <v>0.14127107512387796</v>
      </c>
      <c r="I11" s="1">
        <f t="shared" si="6"/>
        <v>5.139240664025607</v>
      </c>
      <c r="J11" s="1">
        <f>1-EXP(-$I$1*I11)</f>
        <v>0.11263437693649903</v>
      </c>
      <c r="K11" s="1">
        <f t="shared" ref="K11:K21" si="8">J11-J10</f>
        <v>3.3743188791446332E-2</v>
      </c>
      <c r="L11" s="1">
        <f>D11*LN(K11)</f>
        <v>-18639.371825896116</v>
      </c>
      <c r="N11" s="1">
        <f>$B$1*K11</f>
        <v>4365.5925362709522</v>
      </c>
      <c r="O11" s="1">
        <f t="shared" si="3"/>
        <v>0.2062559024961905</v>
      </c>
      <c r="Q11" s="1">
        <f t="shared" si="5"/>
        <v>10949</v>
      </c>
    </row>
    <row r="12" spans="1:17">
      <c r="A12" s="8">
        <v>4</v>
      </c>
      <c r="B12" s="3">
        <v>2013</v>
      </c>
      <c r="C12" s="3">
        <v>6</v>
      </c>
      <c r="D12" s="9">
        <v>6892</v>
      </c>
      <c r="E12" s="3">
        <v>94.12</v>
      </c>
      <c r="F12" s="2">
        <f t="shared" si="0"/>
        <v>0.94120000000000004</v>
      </c>
      <c r="H12" s="3">
        <f t="shared" si="4"/>
        <v>0.18593758003594094</v>
      </c>
      <c r="I12" s="1">
        <f t="shared" si="6"/>
        <v>7.7823189562199353</v>
      </c>
      <c r="J12" s="1">
        <f t="shared" si="7"/>
        <v>0.16552735959187637</v>
      </c>
      <c r="K12" s="1">
        <f t="shared" si="8"/>
        <v>5.2892982655377341E-2</v>
      </c>
      <c r="L12" s="1">
        <f>D12*LN(K12)</f>
        <v>-20258.927876532674</v>
      </c>
      <c r="N12" s="1">
        <f t="shared" si="2"/>
        <v>6843.1354170047543</v>
      </c>
      <c r="O12" s="1">
        <f t="shared" si="3"/>
        <v>7.090043963326415E-3</v>
      </c>
      <c r="Q12" s="1">
        <f t="shared" si="5"/>
        <v>9412</v>
      </c>
    </row>
    <row r="13" spans="1:17">
      <c r="A13" s="8">
        <v>1</v>
      </c>
      <c r="B13" s="3">
        <v>2014</v>
      </c>
      <c r="C13" s="3">
        <v>7</v>
      </c>
      <c r="D13" s="9">
        <v>6457</v>
      </c>
      <c r="E13" s="3">
        <v>103.91</v>
      </c>
      <c r="F13" s="2">
        <f t="shared" si="0"/>
        <v>1.0390999999999999</v>
      </c>
      <c r="H13" s="3">
        <f t="shared" si="4"/>
        <v>0.15608801622477503</v>
      </c>
      <c r="I13" s="1">
        <f t="shared" si="6"/>
        <v>10.45610172956369</v>
      </c>
      <c r="J13" s="1">
        <f t="shared" si="7"/>
        <v>0.21582761834731234</v>
      </c>
      <c r="K13" s="1">
        <f t="shared" si="8"/>
        <v>5.0300258755435978E-2</v>
      </c>
      <c r="L13" s="1">
        <f t="shared" si="1"/>
        <v>-19304.783837222905</v>
      </c>
      <c r="N13" s="1">
        <f t="shared" si="2"/>
        <v>6507.6965770020406</v>
      </c>
      <c r="O13" s="1">
        <f t="shared" si="3"/>
        <v>7.8514135050395863E-3</v>
      </c>
      <c r="Q13" s="1">
        <f t="shared" si="5"/>
        <v>10391</v>
      </c>
    </row>
    <row r="14" spans="1:17">
      <c r="A14" s="8">
        <v>2</v>
      </c>
      <c r="B14" s="3">
        <v>2014</v>
      </c>
      <c r="C14" s="3">
        <v>8</v>
      </c>
      <c r="D14" s="9">
        <v>7579</v>
      </c>
      <c r="E14" s="3">
        <v>103.09</v>
      </c>
      <c r="F14" s="2">
        <f t="shared" si="0"/>
        <v>1.0308999999999999</v>
      </c>
      <c r="H14" s="3">
        <f t="shared" si="4"/>
        <v>0.15839265567067548</v>
      </c>
      <c r="I14" s="1">
        <f t="shared" si="6"/>
        <v>13.639523339488619</v>
      </c>
      <c r="J14" s="1">
        <f>1-EXP(-$I$1*I14)</f>
        <v>0.27177679085040196</v>
      </c>
      <c r="K14" s="1">
        <f t="shared" si="8"/>
        <v>5.5949172503089617E-2</v>
      </c>
      <c r="L14" s="1">
        <f t="shared" si="1"/>
        <v>-21852.618876127915</v>
      </c>
      <c r="N14" s="1">
        <f t="shared" si="2"/>
        <v>7238.5360909322253</v>
      </c>
      <c r="O14" s="1">
        <f t="shared" si="3"/>
        <v>4.4922009376932935E-2</v>
      </c>
      <c r="Q14" s="1">
        <f t="shared" si="5"/>
        <v>10309</v>
      </c>
    </row>
    <row r="15" spans="1:17">
      <c r="A15" s="8">
        <v>3</v>
      </c>
      <c r="B15" s="3">
        <v>2014</v>
      </c>
      <c r="C15" s="3">
        <v>9</v>
      </c>
      <c r="D15" s="9">
        <v>7785</v>
      </c>
      <c r="E15" s="3">
        <v>97.57</v>
      </c>
      <c r="F15" s="2">
        <f t="shared" si="0"/>
        <v>0.9756999999999999</v>
      </c>
      <c r="H15" s="3">
        <f>EXP($I$3*F15)</f>
        <v>0.17481777336480622</v>
      </c>
      <c r="I15" s="1">
        <f t="shared" si="6"/>
        <v>17.680166749393734</v>
      </c>
      <c r="J15" s="1">
        <f t="shared" si="7"/>
        <v>0.33708012571665824</v>
      </c>
      <c r="K15" s="1">
        <f t="shared" si="8"/>
        <v>6.530333486625628E-2</v>
      </c>
      <c r="L15" s="1">
        <f t="shared" si="1"/>
        <v>-21243.024275184936</v>
      </c>
      <c r="N15" s="1">
        <f t="shared" si="2"/>
        <v>8448.7495549916384</v>
      </c>
      <c r="O15" s="1">
        <f t="shared" si="3"/>
        <v>8.526005844465491E-2</v>
      </c>
      <c r="Q15" s="1">
        <f t="shared" si="5"/>
        <v>9757</v>
      </c>
    </row>
    <row r="16" spans="1:17">
      <c r="A16" s="8">
        <v>4</v>
      </c>
      <c r="B16" s="3">
        <v>2014</v>
      </c>
      <c r="C16" s="3">
        <v>10</v>
      </c>
      <c r="D16" s="9">
        <v>9834</v>
      </c>
      <c r="E16" s="3">
        <v>66.2</v>
      </c>
      <c r="F16" s="2">
        <f t="shared" si="0"/>
        <v>0.66200000000000003</v>
      </c>
      <c r="H16" s="3">
        <f t="shared" si="4"/>
        <v>0.30626966511070919</v>
      </c>
      <c r="I16" s="1">
        <f t="shared" si="6"/>
        <v>25.695408246454377</v>
      </c>
      <c r="J16" s="1">
        <f t="shared" si="7"/>
        <v>0.44979943935374422</v>
      </c>
      <c r="K16" s="1">
        <f t="shared" si="8"/>
        <v>0.11271931363708598</v>
      </c>
      <c r="L16" s="1">
        <f t="shared" si="1"/>
        <v>-21466.1911579796</v>
      </c>
      <c r="N16" s="1">
        <f t="shared" si="2"/>
        <v>14583.286640425273</v>
      </c>
      <c r="O16" s="1">
        <f t="shared" si="3"/>
        <v>0.48294556034424169</v>
      </c>
      <c r="Q16" s="1">
        <f t="shared" si="5"/>
        <v>6620</v>
      </c>
    </row>
    <row r="17" spans="1:17">
      <c r="A17" s="8">
        <v>1</v>
      </c>
      <c r="B17" s="3">
        <v>2015</v>
      </c>
      <c r="C17" s="3">
        <v>11</v>
      </c>
      <c r="D17" s="9">
        <v>10045</v>
      </c>
      <c r="E17" s="3">
        <v>50.34</v>
      </c>
      <c r="F17" s="2">
        <f t="shared" si="0"/>
        <v>0.50340000000000007</v>
      </c>
      <c r="H17" s="3">
        <f t="shared" si="4"/>
        <v>0.40665083626305432</v>
      </c>
      <c r="I17" s="1">
        <f t="shared" si="6"/>
        <v>37.596281371848796</v>
      </c>
      <c r="J17" s="1">
        <f t="shared" si="7"/>
        <v>0.58280135366240748</v>
      </c>
      <c r="K17" s="1">
        <f t="shared" si="8"/>
        <v>0.13300191430866326</v>
      </c>
      <c r="L17" s="1">
        <f t="shared" si="1"/>
        <v>-20264.700204747915</v>
      </c>
      <c r="N17" s="1">
        <f t="shared" si="2"/>
        <v>17207.388667511928</v>
      </c>
      <c r="O17" s="1">
        <f t="shared" si="3"/>
        <v>0.71303023071298444</v>
      </c>
      <c r="Q17" s="1">
        <f t="shared" si="5"/>
        <v>5034</v>
      </c>
    </row>
    <row r="18" spans="1:17">
      <c r="A18" s="8">
        <v>2</v>
      </c>
      <c r="B18" s="3">
        <v>2015</v>
      </c>
      <c r="C18" s="3">
        <v>12</v>
      </c>
      <c r="D18" s="9">
        <v>11532</v>
      </c>
      <c r="E18" s="3">
        <v>60.07</v>
      </c>
      <c r="F18" s="2">
        <f t="shared" si="0"/>
        <v>0.60070000000000001</v>
      </c>
      <c r="H18" s="3">
        <f>EXP($I$3*F18)</f>
        <v>0.3417352851269157</v>
      </c>
      <c r="I18" s="1">
        <f t="shared" si="6"/>
        <v>48.66692127961079</v>
      </c>
      <c r="J18" s="1">
        <f t="shared" si="7"/>
        <v>0.67748593036502613</v>
      </c>
      <c r="K18" s="1">
        <f t="shared" si="8"/>
        <v>9.468457670261865E-2</v>
      </c>
      <c r="L18" s="1">
        <f t="shared" si="1"/>
        <v>-27183.278336940548</v>
      </c>
      <c r="N18" s="1">
        <f t="shared" si="2"/>
        <v>12250.006480054693</v>
      </c>
      <c r="O18" s="1">
        <f t="shared" si="3"/>
        <v>6.2262095044631753E-2</v>
      </c>
      <c r="Q18" s="1">
        <f t="shared" si="5"/>
        <v>6007</v>
      </c>
    </row>
    <row r="19" spans="1:17">
      <c r="A19" s="8">
        <v>3</v>
      </c>
      <c r="B19" s="3">
        <v>2015</v>
      </c>
      <c r="C19" s="3">
        <v>13</v>
      </c>
      <c r="D19" s="9">
        <v>11597</v>
      </c>
      <c r="E19" s="3">
        <v>48.95</v>
      </c>
      <c r="F19" s="2">
        <f t="shared" si="0"/>
        <v>0.48950000000000005</v>
      </c>
      <c r="H19" s="3">
        <f t="shared" si="4"/>
        <v>0.41688083835674994</v>
      </c>
      <c r="I19" s="1">
        <f t="shared" si="6"/>
        <v>63.490037139354953</v>
      </c>
      <c r="J19" s="1">
        <f t="shared" si="7"/>
        <v>0.77151328491597826</v>
      </c>
      <c r="K19" s="1">
        <f t="shared" si="8"/>
        <v>9.4027354550952125E-2</v>
      </c>
      <c r="L19" s="1">
        <f t="shared" si="1"/>
        <v>-27417.274076345668</v>
      </c>
      <c r="N19" s="1">
        <f t="shared" si="2"/>
        <v>12164.977049738533</v>
      </c>
      <c r="O19" s="1">
        <f t="shared" si="3"/>
        <v>4.8976205030484825E-2</v>
      </c>
      <c r="Q19" s="1">
        <f t="shared" si="5"/>
        <v>4895</v>
      </c>
    </row>
    <row r="20" spans="1:17">
      <c r="A20" s="8">
        <v>4</v>
      </c>
      <c r="B20" s="3">
        <v>2015</v>
      </c>
      <c r="C20" s="3">
        <v>14</v>
      </c>
      <c r="D20" s="9">
        <v>17272</v>
      </c>
      <c r="E20" s="3">
        <v>40.39</v>
      </c>
      <c r="F20" s="2">
        <f t="shared" si="0"/>
        <v>0.40389999999999998</v>
      </c>
      <c r="H20" s="3">
        <f t="shared" si="4"/>
        <v>0.48580427006215759</v>
      </c>
      <c r="I20" s="1">
        <f t="shared" si="6"/>
        <v>82.314370828897779</v>
      </c>
      <c r="J20" s="1">
        <f t="shared" si="7"/>
        <v>0.85250819334041605</v>
      </c>
      <c r="K20" s="1">
        <f t="shared" si="8"/>
        <v>8.0994908424437795E-2</v>
      </c>
      <c r="L20" s="1">
        <f t="shared" si="1"/>
        <v>-43410.909113116468</v>
      </c>
      <c r="N20" s="1">
        <f t="shared" si="2"/>
        <v>10478.878267228489</v>
      </c>
      <c r="O20" s="1">
        <f t="shared" si="3"/>
        <v>0.39330255516277857</v>
      </c>
      <c r="Q20" s="1">
        <f t="shared" si="5"/>
        <v>4039</v>
      </c>
    </row>
    <row r="21" spans="1:17">
      <c r="A21" s="8">
        <v>1</v>
      </c>
      <c r="B21" s="3">
        <v>2016</v>
      </c>
      <c r="C21" s="3">
        <v>15</v>
      </c>
      <c r="D21" s="9">
        <v>12420</v>
      </c>
      <c r="E21" s="3">
        <v>31.62</v>
      </c>
      <c r="F21" s="2">
        <f t="shared" si="0"/>
        <v>0.31620000000000004</v>
      </c>
      <c r="H21" s="3">
        <f t="shared" si="4"/>
        <v>0.56825191215338222</v>
      </c>
      <c r="I21" s="1">
        <f t="shared" si="6"/>
        <v>106.16288606492159</v>
      </c>
      <c r="J21" s="1">
        <f t="shared" si="7"/>
        <v>0.91528909256153235</v>
      </c>
      <c r="K21" s="1">
        <f t="shared" si="8"/>
        <v>6.2780899221116293E-2</v>
      </c>
      <c r="L21" s="1">
        <f>D21*LN(K21)</f>
        <v>-34379.856701427627</v>
      </c>
      <c r="N21" s="1">
        <f t="shared" si="2"/>
        <v>8122.4043985303624</v>
      </c>
      <c r="O21" s="1">
        <f t="shared" si="3"/>
        <v>0.34602219013443136</v>
      </c>
      <c r="Q21" s="1">
        <f t="shared" si="5"/>
        <v>3162</v>
      </c>
    </row>
    <row r="22" spans="1:17">
      <c r="A22" s="24">
        <v>2</v>
      </c>
      <c r="B22" s="25">
        <v>2016</v>
      </c>
      <c r="C22" s="25">
        <v>16</v>
      </c>
      <c r="D22" s="26">
        <v>9764</v>
      </c>
      <c r="E22" s="25">
        <v>48.46</v>
      </c>
      <c r="F22" s="27">
        <f t="shared" si="0"/>
        <v>0.48460000000000003</v>
      </c>
      <c r="H22" s="3">
        <f t="shared" si="4"/>
        <v>0.42054811973399486</v>
      </c>
      <c r="I22" s="1">
        <f t="shared" si="6"/>
        <v>125.17743003221295</v>
      </c>
      <c r="J22" s="1">
        <f t="shared" si="7"/>
        <v>0.94555907668180872</v>
      </c>
      <c r="K22" s="1">
        <f>J22-J21</f>
        <v>3.0269984120276372E-2</v>
      </c>
      <c r="L22" s="1">
        <f t="shared" si="1"/>
        <v>-34150.553516903325</v>
      </c>
      <c r="N22" s="1">
        <f t="shared" si="2"/>
        <v>3916.2397355289963</v>
      </c>
      <c r="O22" s="1">
        <f>ABS(D22-N22)/D22</f>
        <v>0.59891030975737447</v>
      </c>
      <c r="Q22" s="1">
        <f t="shared" si="5"/>
        <v>4846</v>
      </c>
    </row>
    <row r="27" spans="1:17">
      <c r="E27" s="1" t="s">
        <v>7</v>
      </c>
    </row>
    <row r="28" spans="1:17">
      <c r="E28" s="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O3" sqref="O3"/>
    </sheetView>
  </sheetViews>
  <sheetFormatPr baseColWidth="10" defaultRowHeight="16" x14ac:dyDescent="0"/>
  <cols>
    <col min="1" max="1" width="8" style="1" customWidth="1"/>
    <col min="2" max="2" width="10.83203125" style="1"/>
    <col min="3" max="3" width="5.6640625" style="1" customWidth="1"/>
    <col min="4" max="4" width="7.6640625" style="1" customWidth="1"/>
    <col min="5" max="5" width="11.83203125" style="1" customWidth="1"/>
    <col min="6" max="6" width="12" style="1" customWidth="1"/>
    <col min="7" max="7" width="12" style="3" customWidth="1"/>
    <col min="8" max="8" width="11" style="1" customWidth="1"/>
    <col min="9" max="9" width="10.1640625" style="1" customWidth="1"/>
    <col min="10" max="10" width="12.6640625" style="1" customWidth="1"/>
    <col min="11" max="11" width="10.33203125" style="1" customWidth="1"/>
    <col min="12" max="12" width="11.1640625" style="1" customWidth="1"/>
    <col min="13" max="13" width="14" style="1" customWidth="1"/>
    <col min="14" max="16" width="10.83203125" style="1"/>
    <col min="17" max="17" width="11.33203125" style="1" customWidth="1"/>
    <col min="18" max="16384" width="10.83203125" style="1"/>
  </cols>
  <sheetData>
    <row r="1" spans="1:17">
      <c r="A1" s="1" t="s">
        <v>21</v>
      </c>
      <c r="B1" s="1">
        <f>SUM(D6:D21)</f>
        <v>129377</v>
      </c>
      <c r="F1" s="3"/>
      <c r="H1" s="15" t="s">
        <v>18</v>
      </c>
      <c r="I1" s="16">
        <v>2.2418323127601201</v>
      </c>
      <c r="J1" s="4"/>
      <c r="K1" s="4"/>
      <c r="L1" s="4"/>
      <c r="M1" s="4"/>
      <c r="N1" s="4" t="s">
        <v>28</v>
      </c>
      <c r="O1" s="4">
        <f>-2*I3+2*LN(B1)</f>
        <v>738903.76634298835</v>
      </c>
    </row>
    <row r="2" spans="1:17">
      <c r="F2" s="3"/>
      <c r="H2" s="17" t="s">
        <v>19</v>
      </c>
      <c r="I2" s="18">
        <v>-3.9863256639892226</v>
      </c>
      <c r="J2" s="4"/>
      <c r="K2" s="4"/>
      <c r="L2" s="4"/>
      <c r="M2" s="4"/>
      <c r="N2" s="4" t="s">
        <v>29</v>
      </c>
      <c r="O2" s="4">
        <f>AVERAGE(O6:O21)</f>
        <v>1.7406359378866048</v>
      </c>
    </row>
    <row r="3" spans="1:17" ht="17" thickBot="1">
      <c r="A3" s="12" t="s">
        <v>0</v>
      </c>
      <c r="E3" s="1" t="s">
        <v>11</v>
      </c>
      <c r="F3" s="3"/>
      <c r="H3" s="19" t="s">
        <v>20</v>
      </c>
      <c r="I3" s="20">
        <f>SUM(L6:L21)</f>
        <v>-369440.11268559238</v>
      </c>
      <c r="J3" s="4"/>
      <c r="K3" s="4"/>
      <c r="L3" s="4"/>
      <c r="M3" s="4"/>
      <c r="N3" s="4"/>
      <c r="O3" s="4"/>
    </row>
    <row r="4" spans="1:17">
      <c r="F4" s="3"/>
      <c r="H4" s="13"/>
      <c r="I4" s="4"/>
      <c r="J4" s="4"/>
      <c r="K4" s="4"/>
      <c r="L4" s="4"/>
      <c r="M4" s="4"/>
      <c r="N4" s="4"/>
      <c r="O4" s="4"/>
    </row>
    <row r="5" spans="1:17" s="7" customFormat="1">
      <c r="A5" s="21" t="s">
        <v>1</v>
      </c>
      <c r="B5" s="22" t="s">
        <v>2</v>
      </c>
      <c r="C5" s="22" t="s">
        <v>3</v>
      </c>
      <c r="D5" s="22" t="s">
        <v>4</v>
      </c>
      <c r="E5" s="22" t="s">
        <v>5</v>
      </c>
      <c r="F5" s="23" t="s">
        <v>8</v>
      </c>
      <c r="G5" s="11"/>
      <c r="H5" s="14" t="s">
        <v>22</v>
      </c>
      <c r="I5" s="10" t="s">
        <v>23</v>
      </c>
      <c r="J5" s="10" t="s">
        <v>24</v>
      </c>
      <c r="K5" s="10" t="s">
        <v>25</v>
      </c>
      <c r="L5" s="10" t="s">
        <v>20</v>
      </c>
      <c r="M5" s="10"/>
      <c r="N5" s="10" t="s">
        <v>26</v>
      </c>
      <c r="O5" s="10" t="s">
        <v>27</v>
      </c>
      <c r="Q5" s="7" t="s">
        <v>30</v>
      </c>
    </row>
    <row r="6" spans="1:17">
      <c r="A6" s="8">
        <v>3</v>
      </c>
      <c r="B6" s="3">
        <v>2012</v>
      </c>
      <c r="C6" s="3">
        <v>1</v>
      </c>
      <c r="D6" s="9">
        <v>250</v>
      </c>
      <c r="E6" s="3">
        <v>99.27</v>
      </c>
      <c r="F6" s="2">
        <f>E6/100</f>
        <v>0.99269999999999992</v>
      </c>
      <c r="H6" s="3">
        <f>EXP($I$2*F6)</f>
        <v>1.911607859796834E-2</v>
      </c>
      <c r="I6" s="1">
        <f>H6</f>
        <v>1.911607859796834E-2</v>
      </c>
      <c r="J6" s="1">
        <f>1-EXP(-$I$1*I6)</f>
        <v>4.1949743614057677E-2</v>
      </c>
      <c r="K6" s="1">
        <f>J6</f>
        <v>4.1949743614057677E-2</v>
      </c>
      <c r="L6" s="1">
        <f>D6*LN(K6)</f>
        <v>-792.82073944765841</v>
      </c>
      <c r="N6" s="1">
        <f>$B$1*K6</f>
        <v>5427.3319795559401</v>
      </c>
      <c r="O6" s="1">
        <f>ABS(D6-N6)/D6</f>
        <v>20.70932791822376</v>
      </c>
      <c r="Q6" s="1">
        <f>E6*100</f>
        <v>9927</v>
      </c>
    </row>
    <row r="7" spans="1:17">
      <c r="A7" s="8">
        <v>4</v>
      </c>
      <c r="B7" s="3">
        <v>2012</v>
      </c>
      <c r="C7" s="3">
        <v>2</v>
      </c>
      <c r="D7" s="9">
        <v>2400</v>
      </c>
      <c r="E7" s="3">
        <v>91.2</v>
      </c>
      <c r="F7" s="2">
        <f t="shared" ref="F7:F21" si="0">E7/100</f>
        <v>0.91200000000000003</v>
      </c>
      <c r="H7" s="3">
        <f>EXP($I$2*F7)</f>
        <v>2.6369980830566745E-2</v>
      </c>
      <c r="I7" s="1">
        <f>I6+H7</f>
        <v>4.5486059428535085E-2</v>
      </c>
      <c r="J7" s="1">
        <f>1-EXP(-$I$1*I7)</f>
        <v>9.69452695358759E-2</v>
      </c>
      <c r="K7" s="1">
        <f>J7-J6</f>
        <v>5.4995525921818222E-2</v>
      </c>
      <c r="L7" s="1">
        <f t="shared" ref="L7:L21" si="1">D7*LN(K7)</f>
        <v>-6961.2082654428841</v>
      </c>
      <c r="N7" s="1">
        <f t="shared" ref="N7:N21" si="2">$B$1*K7</f>
        <v>7115.1561571870761</v>
      </c>
      <c r="O7" s="1">
        <f t="shared" ref="O7:O20" si="3">ABS(D7-N7)/D7</f>
        <v>1.9646483988279484</v>
      </c>
      <c r="Q7" s="1">
        <f>E7*100</f>
        <v>9120</v>
      </c>
    </row>
    <row r="8" spans="1:17">
      <c r="A8" s="8">
        <v>1</v>
      </c>
      <c r="B8" s="3">
        <v>2013</v>
      </c>
      <c r="C8" s="3">
        <v>3</v>
      </c>
      <c r="D8" s="9">
        <v>4900</v>
      </c>
      <c r="E8" s="3">
        <v>93.96</v>
      </c>
      <c r="F8" s="2">
        <f t="shared" si="0"/>
        <v>0.93959999999999999</v>
      </c>
      <c r="H8" s="3">
        <f t="shared" ref="H8:H21" si="4">EXP($I$2*F8)</f>
        <v>2.3622595374222535E-2</v>
      </c>
      <c r="I8" s="1">
        <f>I7+H8</f>
        <v>6.9108654802757616E-2</v>
      </c>
      <c r="J8" s="1">
        <f>1-EXP(-$I$1*I8)</f>
        <v>0.1435248845695718</v>
      </c>
      <c r="K8" s="1">
        <f>J8-J7</f>
        <v>4.6579615033695898E-2</v>
      </c>
      <c r="L8" s="1">
        <f t="shared" si="1"/>
        <v>-15026.302168014494</v>
      </c>
      <c r="N8" s="1">
        <f t="shared" si="2"/>
        <v>6026.3308542144741</v>
      </c>
      <c r="O8" s="1">
        <f t="shared" si="3"/>
        <v>0.22986343963560696</v>
      </c>
      <c r="Q8" s="1">
        <f t="shared" ref="Q8:Q21" si="5">E8*100</f>
        <v>9396</v>
      </c>
    </row>
    <row r="9" spans="1:17">
      <c r="A9" s="8">
        <v>2</v>
      </c>
      <c r="B9" s="3">
        <v>2013</v>
      </c>
      <c r="C9" s="3">
        <v>4</v>
      </c>
      <c r="D9" s="9">
        <v>5150</v>
      </c>
      <c r="E9" s="3">
        <v>93.58</v>
      </c>
      <c r="F9" s="2">
        <f t="shared" si="0"/>
        <v>0.93579999999999997</v>
      </c>
      <c r="H9" s="3">
        <f t="shared" si="4"/>
        <v>2.3983155328632783E-2</v>
      </c>
      <c r="I9" s="1">
        <f>I8+H9</f>
        <v>9.3091810131390396E-2</v>
      </c>
      <c r="J9" s="1">
        <f t="shared" ref="J9:J21" si="6">1-EXP(-$I$1*I9)</f>
        <v>0.18835824776731613</v>
      </c>
      <c r="K9" s="1">
        <f>J9-J8</f>
        <v>4.4833363197744336E-2</v>
      </c>
      <c r="L9" s="1">
        <f t="shared" si="1"/>
        <v>-15989.733917812599</v>
      </c>
      <c r="N9" s="1">
        <f>$B$1*K9</f>
        <v>5800.4060304345685</v>
      </c>
      <c r="O9" s="1">
        <f t="shared" si="3"/>
        <v>0.12629243309409097</v>
      </c>
      <c r="Q9" s="1">
        <f t="shared" si="5"/>
        <v>9358</v>
      </c>
    </row>
    <row r="10" spans="1:17">
      <c r="A10" s="8">
        <v>3</v>
      </c>
      <c r="B10" s="3">
        <v>2013</v>
      </c>
      <c r="C10" s="3">
        <v>5</v>
      </c>
      <c r="D10" s="9">
        <v>5500</v>
      </c>
      <c r="E10" s="3">
        <v>109.49</v>
      </c>
      <c r="F10" s="2">
        <f t="shared" si="0"/>
        <v>1.0949</v>
      </c>
      <c r="H10" s="3">
        <f>EXP($I$2*F10)</f>
        <v>1.2719386294754826E-2</v>
      </c>
      <c r="I10" s="1">
        <f>I9+H10</f>
        <v>0.10581119642614523</v>
      </c>
      <c r="J10" s="1">
        <f>1-EXP(-$I$1*I10)</f>
        <v>0.21117513939795607</v>
      </c>
      <c r="K10" s="1">
        <f t="shared" ref="K10:K20" si="7">J10-J9</f>
        <v>2.2816891630639935E-2</v>
      </c>
      <c r="L10" s="1">
        <f>D10*LN(K10)</f>
        <v>-20791.397859819383</v>
      </c>
      <c r="N10" s="1">
        <f>$B$1*K10</f>
        <v>2951.9809884973029</v>
      </c>
      <c r="O10" s="1">
        <f t="shared" si="3"/>
        <v>0.46327618390958131</v>
      </c>
      <c r="Q10" s="1">
        <f t="shared" si="5"/>
        <v>10949</v>
      </c>
    </row>
    <row r="11" spans="1:17">
      <c r="A11" s="8">
        <v>4</v>
      </c>
      <c r="B11" s="3">
        <v>2013</v>
      </c>
      <c r="C11" s="3">
        <v>6</v>
      </c>
      <c r="D11" s="9">
        <v>6892</v>
      </c>
      <c r="E11" s="3">
        <v>94.12</v>
      </c>
      <c r="F11" s="2">
        <f t="shared" si="0"/>
        <v>0.94120000000000004</v>
      </c>
      <c r="H11" s="3">
        <f t="shared" si="4"/>
        <v>2.3472407069855126E-2</v>
      </c>
      <c r="I11" s="1">
        <f t="shared" ref="I11:I21" si="8">I10+H11</f>
        <v>0.12928360349600035</v>
      </c>
      <c r="J11" s="1">
        <f t="shared" si="6"/>
        <v>0.25161083319509958</v>
      </c>
      <c r="K11" s="1">
        <f t="shared" si="7"/>
        <v>4.0435693797143513E-2</v>
      </c>
      <c r="L11" s="1">
        <f>D11*LN(K11)</f>
        <v>-22109.828043329788</v>
      </c>
      <c r="N11" s="1">
        <f t="shared" si="2"/>
        <v>5231.4487563930361</v>
      </c>
      <c r="O11" s="1">
        <f t="shared" si="3"/>
        <v>0.24093895003002958</v>
      </c>
      <c r="Q11" s="1">
        <f t="shared" si="5"/>
        <v>9412</v>
      </c>
    </row>
    <row r="12" spans="1:17">
      <c r="A12" s="8">
        <v>1</v>
      </c>
      <c r="B12" s="3">
        <v>2014</v>
      </c>
      <c r="C12" s="3">
        <v>7</v>
      </c>
      <c r="D12" s="9">
        <v>6457</v>
      </c>
      <c r="E12" s="3">
        <v>103.91</v>
      </c>
      <c r="F12" s="2">
        <f t="shared" si="0"/>
        <v>1.0390999999999999</v>
      </c>
      <c r="H12" s="3">
        <f t="shared" si="4"/>
        <v>1.5888002768136601E-2</v>
      </c>
      <c r="I12" s="1">
        <f t="shared" si="8"/>
        <v>0.14517160626413694</v>
      </c>
      <c r="J12" s="1">
        <f t="shared" si="6"/>
        <v>0.27779799782732484</v>
      </c>
      <c r="K12" s="1">
        <f t="shared" si="7"/>
        <v>2.6187164632225257E-2</v>
      </c>
      <c r="L12" s="1">
        <f t="shared" si="1"/>
        <v>-23519.531377450061</v>
      </c>
      <c r="N12" s="1">
        <f t="shared" si="2"/>
        <v>3388.0167986234069</v>
      </c>
      <c r="O12" s="1">
        <f t="shared" si="3"/>
        <v>0.47529552445045581</v>
      </c>
      <c r="Q12" s="1">
        <f t="shared" si="5"/>
        <v>10391</v>
      </c>
    </row>
    <row r="13" spans="1:17">
      <c r="A13" s="8">
        <v>2</v>
      </c>
      <c r="B13" s="3">
        <v>2014</v>
      </c>
      <c r="C13" s="3">
        <v>8</v>
      </c>
      <c r="D13" s="9">
        <v>7579</v>
      </c>
      <c r="E13" s="3">
        <v>103.09</v>
      </c>
      <c r="F13" s="2">
        <f t="shared" si="0"/>
        <v>1.0308999999999999</v>
      </c>
      <c r="H13" s="3">
        <f t="shared" si="4"/>
        <v>1.6415929132072304E-2</v>
      </c>
      <c r="I13" s="1">
        <f t="shared" si="8"/>
        <v>0.16158753539620924</v>
      </c>
      <c r="J13" s="1">
        <f>1-EXP(-$I$1*I13)</f>
        <v>0.30389318332591253</v>
      </c>
      <c r="K13" s="1">
        <f t="shared" si="7"/>
        <v>2.6095185498587692E-2</v>
      </c>
      <c r="L13" s="1">
        <f t="shared" si="1"/>
        <v>-27633.067691115491</v>
      </c>
      <c r="N13" s="1">
        <f t="shared" si="2"/>
        <v>3376.11681425078</v>
      </c>
      <c r="O13" s="1">
        <f t="shared" si="3"/>
        <v>0.55454323601388311</v>
      </c>
      <c r="Q13" s="1">
        <f t="shared" si="5"/>
        <v>10309</v>
      </c>
    </row>
    <row r="14" spans="1:17">
      <c r="A14" s="8">
        <v>3</v>
      </c>
      <c r="B14" s="3">
        <v>2014</v>
      </c>
      <c r="C14" s="3">
        <v>9</v>
      </c>
      <c r="D14" s="9">
        <v>7785</v>
      </c>
      <c r="E14" s="3">
        <v>97.57</v>
      </c>
      <c r="F14" s="2">
        <f t="shared" si="0"/>
        <v>0.9756999999999999</v>
      </c>
      <c r="H14" s="3">
        <f>EXP($I$2*F14)</f>
        <v>2.0456431434660315E-2</v>
      </c>
      <c r="I14" s="1">
        <f t="shared" si="8"/>
        <v>0.18204396683086954</v>
      </c>
      <c r="J14" s="1">
        <f t="shared" si="6"/>
        <v>0.33509562601459886</v>
      </c>
      <c r="K14" s="1">
        <f t="shared" si="7"/>
        <v>3.1202442688686327E-2</v>
      </c>
      <c r="L14" s="1">
        <f t="shared" si="1"/>
        <v>-26992.610504793687</v>
      </c>
      <c r="N14" s="1">
        <f t="shared" si="2"/>
        <v>4036.8784277341711</v>
      </c>
      <c r="O14" s="1">
        <f t="shared" si="3"/>
        <v>0.48145428031674103</v>
      </c>
      <c r="Q14" s="1">
        <f t="shared" si="5"/>
        <v>9757</v>
      </c>
    </row>
    <row r="15" spans="1:17">
      <c r="A15" s="8">
        <v>4</v>
      </c>
      <c r="B15" s="3">
        <v>2014</v>
      </c>
      <c r="C15" s="3">
        <v>10</v>
      </c>
      <c r="D15" s="9">
        <v>9834</v>
      </c>
      <c r="E15" s="3">
        <v>66.2</v>
      </c>
      <c r="F15" s="2">
        <f t="shared" si="0"/>
        <v>0.66200000000000003</v>
      </c>
      <c r="H15" s="3">
        <f t="shared" si="4"/>
        <v>7.1436410434003811E-2</v>
      </c>
      <c r="I15" s="1">
        <f t="shared" si="8"/>
        <v>0.25348037726487338</v>
      </c>
      <c r="J15" s="1">
        <f t="shared" si="6"/>
        <v>0.43348997393136512</v>
      </c>
      <c r="K15" s="1">
        <f t="shared" si="7"/>
        <v>9.8394347916766267E-2</v>
      </c>
      <c r="L15" s="1">
        <f t="shared" si="1"/>
        <v>-22802.803026309542</v>
      </c>
      <c r="N15" s="1">
        <f t="shared" si="2"/>
        <v>12729.965550427469</v>
      </c>
      <c r="O15" s="1">
        <f t="shared" si="3"/>
        <v>0.29448500614474971</v>
      </c>
      <c r="Q15" s="1">
        <f t="shared" si="5"/>
        <v>6620</v>
      </c>
    </row>
    <row r="16" spans="1:17">
      <c r="A16" s="8">
        <v>1</v>
      </c>
      <c r="B16" s="3">
        <v>2015</v>
      </c>
      <c r="C16" s="3">
        <v>11</v>
      </c>
      <c r="D16" s="9">
        <v>10045</v>
      </c>
      <c r="E16" s="3">
        <v>50.34</v>
      </c>
      <c r="F16" s="2">
        <f t="shared" si="0"/>
        <v>0.50340000000000007</v>
      </c>
      <c r="H16" s="3">
        <f t="shared" si="4"/>
        <v>0.13442937117339351</v>
      </c>
      <c r="I16" s="1">
        <f t="shared" si="8"/>
        <v>0.38790974843826687</v>
      </c>
      <c r="J16" s="1">
        <f t="shared" si="6"/>
        <v>0.58089282680425125</v>
      </c>
      <c r="K16" s="1">
        <f t="shared" si="7"/>
        <v>0.14740285287288613</v>
      </c>
      <c r="L16" s="1">
        <f t="shared" si="1"/>
        <v>-19232.015815328381</v>
      </c>
      <c r="N16" s="1">
        <f t="shared" si="2"/>
        <v>19070.538896135389</v>
      </c>
      <c r="O16" s="1">
        <f t="shared" si="3"/>
        <v>0.89851059194976501</v>
      </c>
      <c r="Q16" s="1">
        <f t="shared" si="5"/>
        <v>5034</v>
      </c>
    </row>
    <row r="17" spans="1:17">
      <c r="A17" s="8">
        <v>2</v>
      </c>
      <c r="B17" s="3">
        <v>2015</v>
      </c>
      <c r="C17" s="3">
        <v>12</v>
      </c>
      <c r="D17" s="9">
        <v>11532</v>
      </c>
      <c r="E17" s="3">
        <v>60.07</v>
      </c>
      <c r="F17" s="2">
        <f t="shared" si="0"/>
        <v>0.60070000000000001</v>
      </c>
      <c r="H17" s="3">
        <f>EXP($I$2*F17)</f>
        <v>9.1210448063999916E-2</v>
      </c>
      <c r="I17" s="1">
        <f>I16+H17</f>
        <v>0.47912019650226678</v>
      </c>
      <c r="J17" s="1">
        <f t="shared" si="6"/>
        <v>0.65839737689375688</v>
      </c>
      <c r="K17" s="1">
        <f t="shared" si="7"/>
        <v>7.7504550089505631E-2</v>
      </c>
      <c r="L17" s="1">
        <f t="shared" si="1"/>
        <v>-29492.151681682506</v>
      </c>
      <c r="N17" s="1">
        <f t="shared" si="2"/>
        <v>10027.306176929969</v>
      </c>
      <c r="O17" s="1">
        <f t="shared" si="3"/>
        <v>0.13047986672476852</v>
      </c>
      <c r="Q17" s="1">
        <f t="shared" si="5"/>
        <v>6007</v>
      </c>
    </row>
    <row r="18" spans="1:17">
      <c r="A18" s="8">
        <v>3</v>
      </c>
      <c r="B18" s="3">
        <v>2015</v>
      </c>
      <c r="C18" s="3">
        <v>13</v>
      </c>
      <c r="D18" s="9">
        <v>11597</v>
      </c>
      <c r="E18" s="3">
        <v>48.95</v>
      </c>
      <c r="F18" s="2">
        <f t="shared" si="0"/>
        <v>0.48950000000000005</v>
      </c>
      <c r="H18" s="3">
        <f t="shared" si="4"/>
        <v>0.14208832431543256</v>
      </c>
      <c r="I18" s="1">
        <f t="shared" si="8"/>
        <v>0.62120852081769939</v>
      </c>
      <c r="J18" s="1">
        <f t="shared" si="6"/>
        <v>0.7515827122508878</v>
      </c>
      <c r="K18" s="1">
        <f t="shared" si="7"/>
        <v>9.3185335357130916E-2</v>
      </c>
      <c r="L18" s="1">
        <f t="shared" si="1"/>
        <v>-27521.593526494955</v>
      </c>
      <c r="N18" s="1">
        <f t="shared" si="2"/>
        <v>12056.039132499527</v>
      </c>
      <c r="O18" s="1">
        <f t="shared" si="3"/>
        <v>3.9582575881652766E-2</v>
      </c>
      <c r="Q18" s="1">
        <f t="shared" si="5"/>
        <v>4895</v>
      </c>
    </row>
    <row r="19" spans="1:17">
      <c r="A19" s="8">
        <v>4</v>
      </c>
      <c r="B19" s="3">
        <v>2015</v>
      </c>
      <c r="C19" s="3">
        <v>14</v>
      </c>
      <c r="D19" s="9">
        <v>17272</v>
      </c>
      <c r="E19" s="3">
        <v>40.39</v>
      </c>
      <c r="F19" s="2">
        <f t="shared" si="0"/>
        <v>0.40389999999999998</v>
      </c>
      <c r="H19" s="3">
        <f t="shared" si="4"/>
        <v>0.19987223617614544</v>
      </c>
      <c r="I19" s="1">
        <f t="shared" si="8"/>
        <v>0.82108075699384486</v>
      </c>
      <c r="J19" s="1">
        <f t="shared" si="6"/>
        <v>0.84129773390089801</v>
      </c>
      <c r="K19" s="1">
        <f t="shared" si="7"/>
        <v>8.9715021650010218E-2</v>
      </c>
      <c r="L19" s="1">
        <f t="shared" si="1"/>
        <v>-41644.813834372057</v>
      </c>
      <c r="N19" s="1">
        <f t="shared" si="2"/>
        <v>11607.060356013371</v>
      </c>
      <c r="O19" s="1">
        <f t="shared" si="3"/>
        <v>0.32798399976763715</v>
      </c>
      <c r="Q19" s="1">
        <f t="shared" si="5"/>
        <v>4039</v>
      </c>
    </row>
    <row r="20" spans="1:17">
      <c r="A20" s="8">
        <v>1</v>
      </c>
      <c r="B20" s="3">
        <v>2016</v>
      </c>
      <c r="C20" s="3">
        <v>15</v>
      </c>
      <c r="D20" s="9">
        <v>12420</v>
      </c>
      <c r="E20" s="3">
        <v>31.62</v>
      </c>
      <c r="F20" s="2">
        <f t="shared" si="0"/>
        <v>0.31620000000000004</v>
      </c>
      <c r="H20" s="3">
        <f t="shared" si="4"/>
        <v>0.28351898971004236</v>
      </c>
      <c r="I20" s="1">
        <f t="shared" si="8"/>
        <v>1.1045997467038873</v>
      </c>
      <c r="J20" s="1">
        <f t="shared" si="6"/>
        <v>0.91594865398729941</v>
      </c>
      <c r="K20" s="1">
        <f t="shared" si="7"/>
        <v>7.4650920086401396E-2</v>
      </c>
      <c r="L20" s="1">
        <f>D20*LN(K20)</f>
        <v>-32229.060777320745</v>
      </c>
      <c r="N20" s="1">
        <f t="shared" si="2"/>
        <v>9658.1120880183535</v>
      </c>
      <c r="O20" s="1">
        <f t="shared" si="3"/>
        <v>0.22237422801784593</v>
      </c>
      <c r="Q20" s="1">
        <f t="shared" si="5"/>
        <v>3162</v>
      </c>
    </row>
    <row r="21" spans="1:17">
      <c r="A21" s="24">
        <v>2</v>
      </c>
      <c r="B21" s="25">
        <v>2016</v>
      </c>
      <c r="C21" s="25">
        <v>16</v>
      </c>
      <c r="D21" s="26">
        <v>9764</v>
      </c>
      <c r="E21" s="25">
        <v>48.46</v>
      </c>
      <c r="F21" s="27">
        <f t="shared" si="0"/>
        <v>0.48460000000000003</v>
      </c>
      <c r="H21" s="3">
        <f t="shared" si="4"/>
        <v>0.1448910183456045</v>
      </c>
      <c r="I21" s="1">
        <f t="shared" si="8"/>
        <v>1.2494907650494917</v>
      </c>
      <c r="J21" s="1">
        <f t="shared" si="6"/>
        <v>0.93925975413727114</v>
      </c>
      <c r="K21" s="1">
        <f>J21-J20</f>
        <v>2.3311100149971731E-2</v>
      </c>
      <c r="L21" s="1">
        <f t="shared" si="1"/>
        <v>-36701.173456858203</v>
      </c>
      <c r="N21" s="1">
        <f t="shared" si="2"/>
        <v>3015.9202041028925</v>
      </c>
      <c r="O21" s="1">
        <f>ABS(D21-N21)/D21</f>
        <v>0.69111837319716374</v>
      </c>
      <c r="Q21" s="1">
        <f t="shared" si="5"/>
        <v>4846</v>
      </c>
    </row>
    <row r="26" spans="1:17">
      <c r="E26" s="1" t="s">
        <v>7</v>
      </c>
    </row>
    <row r="27" spans="1:17">
      <c r="E27" s="1" t="s">
        <v>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data</vt:lpstr>
      <vt:lpstr>W + 4Cov (+Model 3, Powerwall)</vt:lpstr>
      <vt:lpstr>W + 2Cov (+Model X) </vt:lpstr>
      <vt:lpstr>W + Cov (+ Oil Price)</vt:lpstr>
      <vt:lpstr>E + Cov</vt:lpstr>
      <vt:lpstr>Final Chart W+4Cov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Raevsky</dc:creator>
  <cp:lastModifiedBy>Michael Raevsky</cp:lastModifiedBy>
  <dcterms:created xsi:type="dcterms:W3CDTF">2016-08-28T17:58:39Z</dcterms:created>
  <dcterms:modified xsi:type="dcterms:W3CDTF">2016-09-08T18:39:38Z</dcterms:modified>
</cp:coreProperties>
</file>