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Attb_persuasion">Sheet1!$C$15:$E$15</definedName>
    <definedName name="Attb_energy">Sheet1!$C$20:$E$20</definedName>
    <definedName name="Attb_points">Sheet1!$N$19:$N$20</definedName>
    <definedName name="MP_max">Sheet1!$N$9:$N$10</definedName>
    <definedName name="Attb_perception">Sheet1!$C$11:$E$11</definedName>
    <definedName name="Skill_points">Sheet1!$N$17:$N$18</definedName>
    <definedName name="Stamina_current">Sheet1!$C$32:$D$32</definedName>
    <definedName name="Attb_might">Sheet1!$C$7:$E$7</definedName>
    <definedName name="MP_current">Sheet1!$L$9:$L$10</definedName>
    <definedName name="Attb_influence">Sheet1!$C$22:$E$22</definedName>
    <definedName name="XP">Sheet1!$L$2:$N$3</definedName>
    <definedName name="HP_max">Sheet1!$N$7:$N$8</definedName>
    <definedName name="Attb_presence">Sheet1!$C$16:$E$16</definedName>
    <definedName name="Attb_will">Sheet1!$C$12:$E$12</definedName>
    <definedName name="Guard_base">Sheet1!$L$12:$L$13</definedName>
    <definedName name="Attb_prescience">Sheet1!$C$24:$E$24</definedName>
    <definedName name="Level">Sheet1!$L$4:$N$5</definedName>
    <definedName name="HP_current">Sheet1!$L$7:$L$8</definedName>
    <definedName name="Attb_learning">Sheet1!$C$9:$E$9</definedName>
    <definedName name="Attb_fortitude">Sheet1!$C$6:$E$6</definedName>
    <definedName name="Attb_creation">Sheet1!$C$19:$E$19</definedName>
    <definedName name="Stamina_max">Sheet1!$F$32</definedName>
    <definedName name="Attb_deception">Sheet1!$C$14:$E$14</definedName>
    <definedName name="Attb_agility">Sheet1!$C$5:$E$5</definedName>
    <definedName name="Dodge_base">Sheet1!$L$14:$L$15</definedName>
    <definedName name="Attb_alteration">Sheet1!$C$18:$E$18</definedName>
    <definedName name="Dodge_bonus">Sheet1!$N$14:$N$15</definedName>
    <definedName name="Attb_logic">Sheet1!$C$10:$E$10</definedName>
    <definedName name="Attb_entropy">Sheet1!$C$21:$E$21</definedName>
    <definedName name="Guard_bonus">Sheet1!$N$12:$N$13</definedName>
    <definedName name="Attb_movement">Sheet1!$C$23:$E$23</definedName>
    <definedName name="Feat_points">Sheet1!$N$21:$N$22</definedName>
    <definedName name="Size">Sheet1!$L$29:$N$29</definedName>
    <definedName name="Attb_protection">Sheet1!$C$25:$E$25</definedName>
  </definedNames>
  <calcPr/>
</workbook>
</file>

<file path=xl/sharedStrings.xml><?xml version="1.0" encoding="utf-8"?>
<sst xmlns="http://schemas.openxmlformats.org/spreadsheetml/2006/main" count="29" uniqueCount="23">
  <si>
    <t>XP</t>
  </si>
  <si>
    <t>LEVEL</t>
  </si>
  <si>
    <t>Qnt</t>
  </si>
  <si>
    <t>AR</t>
  </si>
  <si>
    <t>HP:</t>
  </si>
  <si>
    <t>/</t>
  </si>
  <si>
    <t>MP:</t>
  </si>
  <si>
    <t>Banes &amp; Boons</t>
  </si>
  <si>
    <t>Stamina</t>
  </si>
  <si>
    <t>Bane or Boon?</t>
  </si>
  <si>
    <t>Power Level</t>
  </si>
  <si>
    <t>Duration</t>
  </si>
  <si>
    <t xml:space="preserve">Skill </t>
  </si>
  <si>
    <t>[ Cold Presence I ] - Koori resfria uma área de 10m ao redor dele. O movimento de Koori é ampliado em 2 squares.</t>
  </si>
  <si>
    <t>1SP / 4MP pra ativar, 2MP por turno</t>
  </si>
  <si>
    <t>Skill</t>
  </si>
  <si>
    <t>[ Ice Shield I ] - Koori envove seu corpo em uma camada de gelo, garantindo ele +1 de guard por 3+1d8 turnos. Se o ambiente tiver temperatura negativa, o gelo não derrete.</t>
  </si>
  <si>
    <t>2SP / 3MP</t>
  </si>
  <si>
    <t>[ Granite Rain ] - Koori invoca nuvens ao seu redor e força uma chiva de granitos gigantes. Causando 3d6 de dano em quem falhar em um teste de Agility 8+(atributo de magia, energy). Quem passar leva metade do dano.</t>
  </si>
  <si>
    <t>3SP / 3MP</t>
  </si>
  <si>
    <t>[ Ice Shard ] - Koori cria um estilhaço de gelho e o lança em um alvo até 20m. O teste de desvio é 8+(atributo de magia, energy). Caso não desvie o alvo leva dano mágico de gelo. Após atingir o alvo ou seu alcance máximo, o estilhaço explode lançando fragmentos em um cone de 5m, e os atingidos levam o Bane Slow caso falhem no teste de desvio.</t>
  </si>
  <si>
    <t>[ Cold Affinity ] - Koori recupera 2sp e 2mp por turno em ambientes frios</t>
  </si>
  <si>
    <t>1SP / Passivo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</si>
</sst>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1.0"/>
      <color rgb="FF000000"/>
      <name val="Calibri"/>
    </font>
    <font>
      <sz val="11.0"/>
      <color rgb="FFFFFFFF"/>
      <name val="Calibri"/>
    </font>
    <font/>
    <font>
      <sz val="12.0"/>
      <color rgb="FFFFFFFF"/>
      <name val="Calibri"/>
    </font>
    <font>
      <sz val="22.0"/>
      <color rgb="FF9C6500"/>
      <name val="Calibri"/>
    </font>
    <font>
      <sz val="21.0"/>
      <color rgb="FF9C6500"/>
      <name val="Calibri"/>
    </font>
    <font>
      <sz val="16.0"/>
      <color rgb="FFFFFFFF"/>
      <name val="Calibri"/>
    </font>
    <font>
      <sz val="11.0"/>
      <color rgb="FF9C6500"/>
      <name val="Calibri"/>
    </font>
    <font>
      <sz val="12.0"/>
      <color rgb="FF9C6500"/>
      <name val="Calibri"/>
    </font>
    <font>
      <sz val="22.0"/>
      <color rgb="FF006100"/>
      <name val="Calibri"/>
    </font>
    <font>
      <sz val="22.0"/>
      <color rgb="FF9C0006"/>
      <name val="Calibri"/>
    </font>
    <font>
      <sz val="20.0"/>
      <color rgb="FF9C0006"/>
      <name val="Calibri"/>
    </font>
    <font>
      <sz val="22.0"/>
      <color rgb="FF1741F1"/>
      <name val="Calibri"/>
    </font>
    <font>
      <sz val="20.0"/>
      <color rgb="FF1741F1"/>
      <name val="Calibri"/>
    </font>
    <font>
      <sz val="12.0"/>
      <color rgb="FF000000"/>
      <name val="Calibri"/>
    </font>
    <font>
      <sz val="14.0"/>
      <color rgb="FF883406"/>
      <name val="Calibri"/>
    </font>
    <font>
      <sz val="16.0"/>
      <color rgb="FF883406"/>
      <name val="Calibri"/>
    </font>
    <font>
      <sz val="14.0"/>
      <color rgb="FF7E691C"/>
      <name val="Calibri"/>
    </font>
    <font>
      <sz val="16.0"/>
      <color rgb="FF7E691C"/>
      <name val="Calibri"/>
    </font>
    <font>
      <sz val="12.0"/>
      <color rgb="FF094718"/>
      <name val="Calibri"/>
    </font>
    <font>
      <sz val="16.0"/>
      <color rgb="FF094718"/>
      <name val="Calibri"/>
    </font>
    <font>
      <sz val="12.0"/>
      <color rgb="FF082F86"/>
      <name val="Calibri"/>
    </font>
    <font>
      <sz val="16.0"/>
      <color rgb="FF082F86"/>
      <name val="Calibri"/>
    </font>
    <font>
      <sz val="12.0"/>
      <color rgb="FF744006"/>
      <name val="Calibri"/>
    </font>
    <font>
      <sz val="16.0"/>
      <color rgb="FF744006"/>
      <name val="Calibri"/>
    </font>
    <font>
      <sz val="20.0"/>
      <color rgb="FF000000"/>
      <name val="Calibri"/>
    </font>
    <font>
      <sz val="16.0"/>
      <color rgb="FF000000"/>
      <name val="Calibri"/>
    </font>
    <font>
      <sz val="11.0"/>
      <color rgb="FF3F3F76"/>
      <name val="Calibri"/>
    </font>
    <font>
      <sz val="14.0"/>
      <color rgb="FFFFFFFF"/>
      <name val="Calibri"/>
    </font>
    <font>
      <sz val="25.0"/>
      <color rgb="FF883406"/>
      <name val="Calibri"/>
    </font>
    <font>
      <sz val="26.0"/>
      <color rgb="FF883406"/>
      <name val="Calibri"/>
    </font>
    <font>
      <sz val="18.0"/>
      <color rgb="FF9C0006"/>
      <name val="Calibri"/>
    </font>
    <font>
      <sz val="18.0"/>
      <color rgb="FF1741F1"/>
      <name val="Calibri"/>
    </font>
  </fonts>
  <fills count="3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70AD47"/>
        <bgColor rgb="FF70AD47"/>
      </patternFill>
    </fill>
    <fill>
      <patternFill patternType="solid">
        <fgColor rgb="FFFED562"/>
        <bgColor rgb="FFFED562"/>
      </patternFill>
    </fill>
    <fill>
      <patternFill patternType="solid">
        <fgColor rgb="FFC8C8C8"/>
        <bgColor rgb="FFC8C8C8"/>
      </patternFill>
    </fill>
    <fill>
      <patternFill patternType="solid">
        <fgColor rgb="FFED7D31"/>
        <bgColor rgb="FFED7D31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5B9BD5"/>
        <bgColor rgb="FF5B9BD5"/>
      </patternFill>
    </fill>
    <fill>
      <patternFill patternType="solid">
        <fgColor rgb="FFBDD6EE"/>
        <bgColor rgb="FFBDD6EE"/>
      </patternFill>
    </fill>
    <fill>
      <patternFill patternType="solid">
        <fgColor rgb="FF9FC4FB"/>
        <bgColor rgb="FF9FC4FB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FE7550"/>
        <bgColor rgb="FFFE7550"/>
      </patternFill>
    </fill>
    <fill>
      <patternFill patternType="solid">
        <fgColor rgb="FFC5E0B3"/>
        <bgColor rgb="FFC5E0B3"/>
      </patternFill>
    </fill>
    <fill>
      <patternFill patternType="solid">
        <fgColor rgb="FFF9CB6F"/>
        <bgColor rgb="FFF9CB6F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23E509"/>
        <bgColor rgb="FF23E50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55C9FD"/>
        <bgColor rgb="FF55C9FD"/>
      </patternFill>
    </fill>
    <fill>
      <patternFill patternType="solid">
        <fgColor rgb="FFFFFFCC"/>
        <bgColor rgb="FFFFFFCC"/>
      </patternFill>
    </fill>
    <fill>
      <patternFill patternType="solid">
        <fgColor rgb="FF4472C4"/>
        <bgColor rgb="FF4472C4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CC99"/>
        <bgColor rgb="FFFFCC99"/>
      </patternFill>
    </fill>
    <fill>
      <patternFill patternType="solid">
        <fgColor rgb="FF262626"/>
        <bgColor rgb="FF262626"/>
      </patternFill>
    </fill>
    <fill>
      <patternFill patternType="solid">
        <fgColor rgb="FF9CC2E5"/>
        <bgColor rgb="FF9CC2E5"/>
      </patternFill>
    </fill>
  </fills>
  <borders count="91">
    <border/>
    <border>
      <bottom style="medium">
        <color rgb="FF000000"/>
      </bottom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/>
    </border>
    <border>
      <top/>
    </border>
    <border>
      <right/>
      <top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ck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ck">
        <color rgb="FF000000"/>
      </right>
      <top/>
      <bottom/>
    </border>
    <border>
      <left style="medium">
        <color rgb="FF000000"/>
      </left>
      <right/>
      <bottom style="medium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thick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thick">
        <color rgb="FF000000"/>
      </left>
      <right/>
      <top/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/>
      <right/>
      <top style="medium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/>
      <bottom style="thin">
        <color rgb="FF7F7F7F"/>
      </bottom>
    </border>
    <border>
      <left/>
      <right/>
      <bottom style="thin">
        <color rgb="FF7F7F7F"/>
      </bottom>
    </border>
    <border>
      <left/>
      <right style="medium">
        <color rgb="FF000000"/>
      </right>
      <bottom style="thin">
        <color rgb="FF7F7F7F"/>
      </bottom>
    </border>
    <border>
      <left style="medium">
        <color rgb="FF000000"/>
      </left>
      <right/>
      <top style="thin">
        <color rgb="FF7F7F7F"/>
      </top>
    </border>
    <border>
      <left/>
      <right/>
      <top style="thin">
        <color rgb="FF7F7F7F"/>
      </top>
    </border>
    <border>
      <left/>
      <right style="medium">
        <color rgb="FF000000"/>
      </right>
      <top style="thin">
        <color rgb="FF7F7F7F"/>
      </top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top/>
    </border>
    <border>
      <left/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B2B2B2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B2B2B2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bottom/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0" numFmtId="0" xfId="0" applyBorder="1" applyFont="1"/>
    <xf borderId="3" fillId="2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2" fontId="1" numFmtId="0" xfId="0" applyBorder="1" applyFont="1"/>
    <xf borderId="7" fillId="2" fontId="3" numFmtId="0" xfId="0" applyBorder="1" applyFont="1"/>
    <xf borderId="8" fillId="3" fontId="4" numFmtId="0" xfId="0" applyAlignment="1" applyBorder="1" applyFill="1" applyFont="1">
      <alignment horizontal="center" vertical="center"/>
    </xf>
    <xf borderId="9" fillId="3" fontId="5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12" fillId="4" fontId="6" numFmtId="0" xfId="0" applyAlignment="1" applyBorder="1" applyFill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5" fontId="7" numFmtId="0" xfId="0" applyAlignment="1" applyBorder="1" applyFill="1" applyFont="1">
      <alignment horizontal="center" vertical="center"/>
    </xf>
    <xf borderId="16" fillId="0" fontId="2" numFmtId="0" xfId="0" applyBorder="1" applyFont="1"/>
    <xf borderId="17" fillId="0" fontId="2" numFmtId="0" xfId="0" applyBorder="1" applyFont="1"/>
    <xf borderId="18" fillId="6" fontId="1" numFmtId="0" xfId="0" applyAlignment="1" applyBorder="1" applyFill="1" applyFont="1">
      <alignment horizontal="center"/>
    </xf>
    <xf borderId="19" fillId="6" fontId="1" numFmtId="0" xfId="0" applyAlignment="1" applyBorder="1" applyFont="1">
      <alignment horizontal="center"/>
    </xf>
    <xf borderId="20" fillId="6" fontId="1" numFmtId="0" xfId="0" applyAlignment="1" applyBorder="1" applyFont="1">
      <alignment horizontal="center"/>
    </xf>
    <xf borderId="0" fillId="0" fontId="0" numFmtId="0" xfId="0" applyFont="1"/>
    <xf borderId="21" fillId="0" fontId="2" numFmtId="0" xfId="0" applyBorder="1" applyFont="1"/>
    <xf borderId="22" fillId="0" fontId="2" numFmtId="0" xfId="0" applyBorder="1" applyFont="1"/>
    <xf borderId="1" fillId="0" fontId="2" numFmtId="0" xfId="0" applyBorder="1" applyFont="1"/>
    <xf borderId="23" fillId="0" fontId="2" numFmtId="0" xfId="0" applyBorder="1" applyFont="1"/>
    <xf borderId="0" fillId="0" fontId="0" numFmtId="0" xfId="0" applyAlignment="1" applyFont="1">
      <alignment vertical="center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5" fontId="7" numFmtId="0" xfId="0" applyAlignment="1" applyBorder="1" applyFont="1">
      <alignment horizontal="center" vertical="center"/>
    </xf>
    <xf borderId="28" fillId="3" fontId="8" numFmtId="0" xfId="0" applyAlignment="1" applyBorder="1" applyFont="1">
      <alignment horizontal="center" vertical="center"/>
    </xf>
    <xf borderId="29" fillId="3" fontId="8" numFmtId="0" xfId="0" applyAlignment="1" applyBorder="1" applyFont="1">
      <alignment horizontal="center" vertical="center"/>
    </xf>
    <xf borderId="30" fillId="7" fontId="1" numFmtId="0" xfId="0" applyAlignment="1" applyBorder="1" applyFill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8" fontId="1" numFmtId="0" xfId="0" applyAlignment="1" applyBorder="1" applyFill="1" applyFont="1">
      <alignment horizontal="center" vertical="center"/>
    </xf>
    <xf borderId="34" fillId="5" fontId="7" numFmtId="0" xfId="0" applyAlignment="1" applyBorder="1" applyFont="1">
      <alignment horizontal="center" vertical="center"/>
    </xf>
    <xf borderId="35" fillId="3" fontId="8" numFmtId="0" xfId="0" applyAlignment="1" applyBorder="1" applyFont="1">
      <alignment horizontal="center" vertical="center"/>
    </xf>
    <xf borderId="36" fillId="3" fontId="8" numFmtId="0" xfId="0" applyAlignment="1" applyBorder="1" applyFont="1">
      <alignment horizontal="center" vertical="center"/>
    </xf>
    <xf borderId="18" fillId="9" fontId="0" numFmtId="0" xfId="0" applyBorder="1" applyFill="1" applyFont="1"/>
    <xf borderId="33" fillId="9" fontId="0" numFmtId="0" xfId="0" applyAlignment="1" applyBorder="1" applyFont="1">
      <alignment horizontal="center"/>
    </xf>
    <xf borderId="33" fillId="9" fontId="0" numFmtId="0" xfId="0" applyAlignment="1" applyBorder="1" applyFont="1">
      <alignment horizontal="center" readingOrder="0"/>
    </xf>
    <xf borderId="20" fillId="9" fontId="0" numFmtId="0" xfId="0" applyAlignment="1" applyBorder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/>
    </xf>
    <xf borderId="2" fillId="0" fontId="0" numFmtId="0" xfId="0" applyAlignment="1" applyBorder="1" applyFont="1">
      <alignment horizontal="center"/>
    </xf>
    <xf borderId="18" fillId="10" fontId="0" numFmtId="0" xfId="0" applyBorder="1" applyFill="1" applyFont="1"/>
    <xf borderId="33" fillId="10" fontId="0" numFmtId="0" xfId="0" applyAlignment="1" applyBorder="1" applyFont="1">
      <alignment horizontal="center"/>
    </xf>
    <xf borderId="33" fillId="10" fontId="0" numFmtId="0" xfId="0" applyAlignment="1" applyBorder="1" applyFont="1">
      <alignment horizontal="center" readingOrder="0"/>
    </xf>
    <xf borderId="20" fillId="1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8" fillId="11" fontId="9" numFmtId="0" xfId="0" applyAlignment="1" applyBorder="1" applyFill="1" applyFont="1">
      <alignment horizontal="center"/>
    </xf>
    <xf borderId="37" fillId="11" fontId="9" numFmtId="0" xfId="0" applyAlignment="1" applyBorder="1" applyFont="1">
      <alignment horizontal="center"/>
    </xf>
    <xf borderId="38" fillId="9" fontId="0" numFmtId="0" xfId="0" applyBorder="1" applyFont="1"/>
    <xf borderId="35" fillId="9" fontId="0" numFmtId="0" xfId="0" applyAlignment="1" applyBorder="1" applyFont="1">
      <alignment horizontal="center" readingOrder="0"/>
    </xf>
    <xf borderId="39" fillId="9" fontId="0" numFmtId="0" xfId="0" applyAlignment="1" applyBorder="1" applyFont="1">
      <alignment horizontal="center"/>
    </xf>
    <xf borderId="8" fillId="12" fontId="10" numFmtId="0" xfId="0" applyAlignment="1" applyBorder="1" applyFill="1" applyFont="1">
      <alignment horizontal="center" vertical="center"/>
    </xf>
    <xf borderId="40" fillId="12" fontId="11" numFmtId="0" xfId="0" applyAlignment="1" applyBorder="1" applyFont="1">
      <alignment horizontal="center" readingOrder="0" vertical="center"/>
    </xf>
    <xf borderId="40" fillId="12" fontId="10" numFmtId="0" xfId="0" applyAlignment="1" applyBorder="1" applyFont="1">
      <alignment horizontal="center" vertical="center"/>
    </xf>
    <xf borderId="37" fillId="12" fontId="11" numFmtId="0" xfId="0" applyAlignment="1" applyBorder="1" applyFont="1">
      <alignment horizontal="center" vertical="center"/>
    </xf>
    <xf borderId="41" fillId="0" fontId="2" numFmtId="0" xfId="0" applyBorder="1" applyFont="1"/>
    <xf borderId="30" fillId="13" fontId="1" numFmtId="0" xfId="0" applyAlignment="1" applyBorder="1" applyFill="1" applyFont="1">
      <alignment horizontal="center"/>
    </xf>
    <xf borderId="42" fillId="0" fontId="2" numFmtId="0" xfId="0" applyBorder="1" applyFon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/>
    </xf>
    <xf borderId="18" fillId="14" fontId="0" numFmtId="0" xfId="0" applyBorder="1" applyFill="1" applyFont="1"/>
    <xf borderId="33" fillId="14" fontId="0" numFmtId="0" xfId="0" applyAlignment="1" applyBorder="1" applyFont="1">
      <alignment horizontal="center"/>
    </xf>
    <xf borderId="33" fillId="14" fontId="0" numFmtId="0" xfId="0" applyAlignment="1" applyBorder="1" applyFont="1">
      <alignment horizontal="center" readingOrder="0"/>
    </xf>
    <xf borderId="20" fillId="14" fontId="0" numFmtId="0" xfId="0" applyAlignment="1" applyBorder="1" applyFont="1">
      <alignment horizontal="center"/>
    </xf>
    <xf borderId="8" fillId="15" fontId="12" numFmtId="0" xfId="0" applyAlignment="1" applyBorder="1" applyFill="1" applyFont="1">
      <alignment horizontal="center" vertical="center"/>
    </xf>
    <xf borderId="40" fillId="15" fontId="13" numFmtId="0" xfId="0" applyAlignment="1" applyBorder="1" applyFont="1">
      <alignment horizontal="center" readingOrder="0" vertical="center"/>
    </xf>
    <xf borderId="40" fillId="15" fontId="12" numFmtId="0" xfId="0" applyAlignment="1" applyBorder="1" applyFont="1">
      <alignment horizontal="center" vertical="center"/>
    </xf>
    <xf borderId="37" fillId="15" fontId="13" numFmtId="0" xfId="0" applyAlignment="1" applyBorder="1" applyFont="1">
      <alignment horizontal="center" vertical="center"/>
    </xf>
    <xf borderId="33" fillId="16" fontId="14" numFmtId="0" xfId="0" applyAlignment="1" applyBorder="1" applyFill="1" applyFont="1">
      <alignment horizontal="center" vertical="center"/>
    </xf>
    <xf borderId="18" fillId="17" fontId="0" numFmtId="0" xfId="0" applyBorder="1" applyFill="1" applyFont="1"/>
    <xf borderId="33" fillId="17" fontId="0" numFmtId="0" xfId="0" applyAlignment="1" applyBorder="1" applyFont="1">
      <alignment horizontal="center"/>
    </xf>
    <xf borderId="33" fillId="17" fontId="0" numFmtId="0" xfId="0" applyAlignment="1" applyBorder="1" applyFont="1">
      <alignment horizontal="center" readingOrder="0"/>
    </xf>
    <xf borderId="20" fillId="17" fontId="0" numFmtId="0" xfId="0" applyAlignment="1" applyBorder="1" applyFont="1">
      <alignment horizontal="center"/>
    </xf>
    <xf borderId="8" fillId="18" fontId="15" numFmtId="0" xfId="0" applyAlignment="1" applyBorder="1" applyFill="1" applyFont="1">
      <alignment horizontal="center" vertical="center"/>
    </xf>
    <xf borderId="40" fillId="18" fontId="16" numFmtId="0" xfId="0" applyAlignment="1" applyBorder="1" applyFont="1">
      <alignment horizontal="center" vertical="center"/>
    </xf>
    <xf borderId="40" fillId="18" fontId="16" numFmtId="0" xfId="0" applyAlignment="1" applyBorder="1" applyFont="1">
      <alignment horizontal="center" shrinkToFit="0" vertical="center" wrapText="0"/>
    </xf>
    <xf borderId="37" fillId="18" fontId="16" numFmtId="0" xfId="0" applyAlignment="1" applyBorder="1" applyFont="1">
      <alignment horizontal="center" readingOrder="0" vertical="center"/>
    </xf>
    <xf borderId="30" fillId="4" fontId="1" numFmtId="0" xfId="0" applyAlignment="1" applyBorder="1" applyFont="1">
      <alignment horizontal="center"/>
    </xf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18" fillId="19" fontId="0" numFmtId="0" xfId="0" applyBorder="1" applyFill="1" applyFont="1"/>
    <xf borderId="33" fillId="19" fontId="0" numFmtId="0" xfId="0" applyAlignment="1" applyBorder="1" applyFont="1">
      <alignment horizontal="center"/>
    </xf>
    <xf borderId="33" fillId="19" fontId="0" numFmtId="0" xfId="0" applyAlignment="1" applyBorder="1" applyFont="1">
      <alignment horizontal="center" readingOrder="0"/>
    </xf>
    <xf borderId="20" fillId="19" fontId="0" numFmtId="0" xfId="0" applyAlignment="1" applyBorder="1" applyFont="1">
      <alignment horizontal="center"/>
    </xf>
    <xf borderId="46" fillId="20" fontId="17" numFmtId="0" xfId="0" applyAlignment="1" applyBorder="1" applyFill="1" applyFont="1">
      <alignment horizontal="center" vertical="center"/>
    </xf>
    <xf borderId="47" fillId="20" fontId="18" numFmtId="0" xfId="0" applyAlignment="1" applyBorder="1" applyFont="1">
      <alignment horizontal="center" vertical="center"/>
    </xf>
    <xf borderId="47" fillId="20" fontId="18" numFmtId="0" xfId="0" applyAlignment="1" applyBorder="1" applyFont="1">
      <alignment horizontal="center" shrinkToFit="0" vertical="center" wrapText="0"/>
    </xf>
    <xf borderId="48" fillId="20" fontId="18" numFmtId="0" xfId="0" applyAlignment="1" applyBorder="1" applyFont="1">
      <alignment horizontal="center" readingOrder="0" vertical="center"/>
    </xf>
    <xf borderId="18" fillId="21" fontId="0" numFmtId="0" xfId="0" applyBorder="1" applyFill="1" applyFont="1"/>
    <xf borderId="33" fillId="21" fontId="0" numFmtId="0" xfId="0" applyAlignment="1" applyBorder="1" applyFont="1">
      <alignment horizontal="center"/>
    </xf>
    <xf borderId="33" fillId="21" fontId="0" numFmtId="0" xfId="0" applyAlignment="1" applyBorder="1" applyFont="1">
      <alignment horizontal="center" readingOrder="0"/>
    </xf>
    <xf borderId="20" fillId="21" fontId="0" numFmtId="0" xfId="0" applyAlignment="1" applyBorder="1" applyFont="1">
      <alignment horizontal="center"/>
    </xf>
    <xf borderId="38" fillId="19" fontId="0" numFmtId="0" xfId="0" applyBorder="1" applyFont="1"/>
    <xf borderId="35" fillId="19" fontId="0" numFmtId="0" xfId="0" applyAlignment="1" applyBorder="1" applyFont="1">
      <alignment horizontal="center"/>
    </xf>
    <xf borderId="35" fillId="19" fontId="0" numFmtId="0" xfId="0" applyAlignment="1" applyBorder="1" applyFont="1">
      <alignment horizontal="center" readingOrder="0"/>
    </xf>
    <xf borderId="39" fillId="19" fontId="0" numFmtId="0" xfId="0" applyAlignment="1" applyBorder="1" applyFont="1">
      <alignment horizontal="center"/>
    </xf>
    <xf borderId="30" fillId="22" fontId="1" numFmtId="0" xfId="0" applyAlignment="1" applyBorder="1" applyFill="1" applyFont="1">
      <alignment horizontal="center"/>
    </xf>
    <xf borderId="49" fillId="23" fontId="19" numFmtId="0" xfId="0" applyAlignment="1" applyBorder="1" applyFill="1" applyFont="1">
      <alignment horizontal="center" vertical="center"/>
    </xf>
    <xf borderId="50" fillId="0" fontId="2" numFmtId="0" xfId="0" applyBorder="1" applyFont="1"/>
    <xf borderId="37" fillId="23" fontId="20" numFmtId="0" xfId="0" applyAlignment="1" applyBorder="1" applyFont="1">
      <alignment horizontal="center" readingOrder="0" vertical="center"/>
    </xf>
    <xf borderId="18" fillId="24" fontId="0" numFmtId="0" xfId="0" applyBorder="1" applyFill="1" applyFont="1"/>
    <xf borderId="33" fillId="24" fontId="0" numFmtId="0" xfId="0" applyAlignment="1" applyBorder="1" applyFont="1">
      <alignment horizontal="center"/>
    </xf>
    <xf borderId="33" fillId="24" fontId="0" numFmtId="0" xfId="0" applyAlignment="1" applyBorder="1" applyFont="1">
      <alignment horizontal="center" readingOrder="0"/>
    </xf>
    <xf borderId="20" fillId="24" fontId="0" numFmtId="0" xfId="0" applyAlignment="1" applyBorder="1" applyFont="1">
      <alignment horizontal="center"/>
    </xf>
    <xf borderId="51" fillId="0" fontId="2" numFmtId="0" xfId="0" applyBorder="1" applyFont="1"/>
    <xf borderId="52" fillId="0" fontId="2" numFmtId="0" xfId="0" applyBorder="1" applyFont="1"/>
    <xf borderId="53" fillId="0" fontId="2" numFmtId="0" xfId="0" applyBorder="1" applyFont="1"/>
    <xf borderId="54" fillId="0" fontId="2" numFmtId="0" xfId="0" applyBorder="1" applyFont="1"/>
    <xf borderId="18" fillId="25" fontId="0" numFmtId="0" xfId="0" applyBorder="1" applyFill="1" applyFont="1"/>
    <xf borderId="33" fillId="25" fontId="0" numFmtId="0" xfId="0" applyAlignment="1" applyBorder="1" applyFont="1">
      <alignment horizontal="center"/>
    </xf>
    <xf borderId="33" fillId="25" fontId="0" numFmtId="0" xfId="0" applyAlignment="1" applyBorder="1" applyFont="1">
      <alignment horizontal="center" readingOrder="0"/>
    </xf>
    <xf borderId="20" fillId="25" fontId="0" numFmtId="0" xfId="0" applyAlignment="1" applyBorder="1" applyFont="1">
      <alignment horizontal="center"/>
    </xf>
    <xf borderId="55" fillId="26" fontId="21" numFmtId="0" xfId="0" applyAlignment="1" applyBorder="1" applyFill="1" applyFont="1">
      <alignment horizontal="center" vertical="center"/>
    </xf>
    <xf borderId="56" fillId="26" fontId="22" numFmtId="0" xfId="0" applyAlignment="1" applyBorder="1" applyFont="1">
      <alignment horizontal="center" readingOrder="0" vertical="center"/>
    </xf>
    <xf borderId="55" fillId="5" fontId="23" numFmtId="0" xfId="0" applyAlignment="1" applyBorder="1" applyFont="1">
      <alignment horizontal="center" vertical="center"/>
    </xf>
    <xf borderId="56" fillId="5" fontId="24" numFmtId="0" xfId="0" applyAlignment="1" applyBorder="1" applyFont="1">
      <alignment horizontal="center" readingOrder="0" vertical="center"/>
    </xf>
    <xf borderId="57" fillId="0" fontId="2" numFmtId="0" xfId="0" applyBorder="1" applyFont="1"/>
    <xf borderId="58" fillId="0" fontId="2" numFmtId="0" xfId="0" applyBorder="1" applyFont="1"/>
    <xf borderId="59" fillId="27" fontId="14" numFmtId="0" xfId="0" applyAlignment="1" applyBorder="1" applyFill="1" applyFont="1">
      <alignment horizontal="center" shrinkToFit="0" vertical="center" wrapText="1"/>
    </xf>
    <xf borderId="9" fillId="27" fontId="25" numFmtId="0" xfId="0" applyAlignment="1" applyBorder="1" applyFont="1">
      <alignment horizontal="center" vertical="center"/>
    </xf>
    <xf borderId="60" fillId="25" fontId="0" numFmtId="0" xfId="0" applyBorder="1" applyFont="1"/>
    <xf borderId="61" fillId="25" fontId="0" numFmtId="0" xfId="0" applyAlignment="1" applyBorder="1" applyFont="1">
      <alignment horizontal="center"/>
    </xf>
    <xf borderId="61" fillId="25" fontId="0" numFmtId="0" xfId="0" applyAlignment="1" applyBorder="1" applyFont="1">
      <alignment horizontal="center" readingOrder="0"/>
    </xf>
    <xf borderId="62" fillId="25" fontId="0" numFmtId="0" xfId="0" applyAlignment="1" applyBorder="1" applyFont="1">
      <alignment horizontal="center"/>
    </xf>
    <xf borderId="63" fillId="0" fontId="2" numFmtId="0" xfId="0" applyBorder="1" applyFont="1"/>
    <xf borderId="64" fillId="0" fontId="2" numFmtId="0" xfId="0" applyBorder="1" applyFont="1"/>
    <xf borderId="65" fillId="27" fontId="0" numFmtId="0" xfId="0" applyAlignment="1" applyBorder="1" applyFont="1">
      <alignment horizontal="center"/>
    </xf>
    <xf borderId="66" fillId="27" fontId="0" numFmtId="0" xfId="0" applyAlignment="1" applyBorder="1" applyFont="1">
      <alignment horizontal="center"/>
    </xf>
    <xf borderId="67" fillId="0" fontId="2" numFmtId="0" xfId="0" applyBorder="1" applyFont="1"/>
    <xf borderId="68" fillId="0" fontId="2" numFmtId="0" xfId="0" applyBorder="1" applyFont="1"/>
    <xf borderId="69" fillId="28" fontId="1" numFmtId="0" xfId="0" applyAlignment="1" applyBorder="1" applyFill="1" applyFont="1">
      <alignment horizontal="center"/>
    </xf>
    <xf borderId="70" fillId="0" fontId="2" numFmtId="0" xfId="0" applyBorder="1" applyFont="1"/>
    <xf borderId="71" fillId="27" fontId="0" numFmtId="0" xfId="0" applyAlignment="1" applyBorder="1" applyFont="1">
      <alignment horizontal="center"/>
    </xf>
    <xf borderId="72" fillId="27" fontId="0" numFmtId="0" xfId="0" applyAlignment="1" applyBorder="1" applyFont="1">
      <alignment horizontal="center"/>
    </xf>
    <xf borderId="73" fillId="0" fontId="2" numFmtId="0" xfId="0" applyBorder="1" applyFont="1"/>
    <xf borderId="74" fillId="0" fontId="2" numFmtId="0" xfId="0" applyBorder="1" applyFont="1"/>
    <xf borderId="75" fillId="29" fontId="1" numFmtId="0" xfId="0" applyAlignment="1" applyBorder="1" applyFill="1" applyFont="1">
      <alignment horizontal="center"/>
    </xf>
    <xf borderId="76" fillId="0" fontId="2" numFmtId="0" xfId="0" applyBorder="1" applyFont="1"/>
    <xf borderId="77" fillId="29" fontId="1" numFmtId="0" xfId="0" applyAlignment="1" applyBorder="1" applyFont="1">
      <alignment horizontal="center"/>
    </xf>
    <xf borderId="78" fillId="0" fontId="2" numFmtId="0" xfId="0" applyBorder="1" applyFont="1"/>
    <xf borderId="79" fillId="0" fontId="2" numFmtId="0" xfId="0" applyBorder="1" applyFont="1"/>
    <xf borderId="55" fillId="30" fontId="26" numFmtId="0" xfId="0" applyAlignment="1" applyBorder="1" applyFill="1" applyFont="1">
      <alignment horizontal="center" vertical="center"/>
    </xf>
    <xf borderId="12" fillId="30" fontId="26" numFmtId="0" xfId="0" applyAlignment="1" applyBorder="1" applyFont="1">
      <alignment horizontal="center" vertical="center"/>
    </xf>
    <xf borderId="80" fillId="0" fontId="2" numFmtId="0" xfId="0" applyBorder="1" applyFont="1"/>
    <xf borderId="81" fillId="31" fontId="27" numFmtId="0" xfId="0" applyAlignment="1" applyBorder="1" applyFill="1" applyFont="1">
      <alignment horizontal="center"/>
    </xf>
    <xf borderId="82" fillId="31" fontId="27" numFmtId="0" xfId="0" applyAlignment="1" applyBorder="1" applyFont="1">
      <alignment horizontal="center" readingOrder="0"/>
    </xf>
    <xf borderId="83" fillId="0" fontId="2" numFmtId="0" xfId="0" applyBorder="1" applyFont="1"/>
    <xf borderId="84" fillId="0" fontId="2" numFmtId="0" xfId="0" applyBorder="1" applyFont="1"/>
    <xf borderId="85" fillId="13" fontId="28" numFmtId="0" xfId="0" applyAlignment="1" applyBorder="1" applyFont="1">
      <alignment horizontal="center" vertical="center"/>
    </xf>
    <xf borderId="86" fillId="0" fontId="2" numFmtId="0" xfId="0" applyBorder="1" applyFont="1"/>
    <xf borderId="6" fillId="18" fontId="16" numFmtId="0" xfId="0" applyAlignment="1" applyBorder="1" applyFont="1">
      <alignment horizontal="center" vertical="center"/>
    </xf>
    <xf borderId="87" fillId="18" fontId="29" numFmtId="0" xfId="0" applyAlignment="1" applyBorder="1" applyFont="1">
      <alignment horizontal="center" readingOrder="0" vertical="center"/>
    </xf>
    <xf borderId="88" fillId="0" fontId="2" numFmtId="0" xfId="0" applyBorder="1" applyFont="1"/>
    <xf borderId="89" fillId="18" fontId="30" numFmtId="0" xfId="0" applyAlignment="1" applyBorder="1" applyFont="1">
      <alignment horizontal="center" vertical="center"/>
    </xf>
    <xf borderId="7" fillId="18" fontId="30" numFmtId="0" xfId="0" applyAlignment="1" applyBorder="1" applyFont="1">
      <alignment horizontal="center" vertical="center"/>
    </xf>
    <xf borderId="33" fillId="32" fontId="3" numFmtId="0" xfId="0" applyAlignment="1" applyBorder="1" applyFill="1" applyFont="1">
      <alignment horizontal="center" shrinkToFit="0" vertical="center" wrapText="1"/>
    </xf>
    <xf borderId="33" fillId="32" fontId="3" numFmtId="0" xfId="0" applyAlignment="1" applyBorder="1" applyFont="1">
      <alignment horizontal="center" vertical="center"/>
    </xf>
    <xf borderId="33" fillId="33" fontId="1" numFmtId="0" xfId="0" applyAlignment="1" applyBorder="1" applyFill="1" applyFont="1">
      <alignment horizontal="center" vertical="center"/>
    </xf>
    <xf borderId="33" fillId="33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16" xfId="0" applyAlignment="1" applyFont="1" applyNumberFormat="1">
      <alignment horizontal="center" vertical="center"/>
    </xf>
    <xf borderId="49" fillId="12" fontId="31" numFmtId="0" xfId="0" applyAlignment="1" applyBorder="1" applyFont="1">
      <alignment horizontal="center" vertical="center"/>
    </xf>
    <xf borderId="9" fillId="12" fontId="31" numFmtId="0" xfId="0" applyAlignment="1" applyBorder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left" shrinkToFit="0" vertical="center" wrapText="1"/>
    </xf>
    <xf borderId="90" fillId="0" fontId="2" numFmtId="0" xfId="0" applyBorder="1" applyFont="1"/>
    <xf borderId="49" fillId="15" fontId="32" numFmtId="0" xfId="0" applyAlignment="1" applyBorder="1" applyFont="1">
      <alignment horizontal="center" vertical="center"/>
    </xf>
    <xf borderId="9" fillId="15" fontId="32" numFmtId="0" xfId="0" applyAlignment="1" applyBorder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3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3" type="firstRowStripe"/>
      <tableStyleElement dxfId="4" type="secondRowStripe"/>
    </tableStyle>
    <tableStyle count="2" pivot="0" name="Sheet1-style 3">
      <tableStyleElement dxfId="5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1</xdr:row>
      <xdr:rowOff>28575</xdr:rowOff>
    </xdr:from>
    <xdr:ext cx="409575" cy="276225"/>
    <xdr:grpSp>
      <xdr:nvGrpSpPr>
        <xdr:cNvPr id="2" name="Shape 2" title="Drawing"/>
        <xdr:cNvGrpSpPr/>
      </xdr:nvGrpSpPr>
      <xdr:grpSpPr>
        <a:xfrm>
          <a:off x="737600" y="983450"/>
          <a:ext cx="2193000" cy="1386600"/>
          <a:chOff x="737600" y="983450"/>
          <a:chExt cx="2193000" cy="1386600"/>
        </a:xfrm>
      </xdr:grpSpPr>
      <xdr:sp>
        <xdr:nvSpPr>
          <xdr:cNvPr id="3" name="Shape 3"/>
          <xdr:cNvSpPr/>
        </xdr:nvSpPr>
        <xdr:spPr>
          <a:xfrm>
            <a:off x="737600" y="983450"/>
            <a:ext cx="2193000" cy="1386600"/>
          </a:xfrm>
          <a:prstGeom prst="roundRect">
            <a:avLst>
              <a:gd fmla="val 16667" name="adj"/>
            </a:avLst>
          </a:prstGeom>
          <a:solidFill>
            <a:srgbClr val="1FCA1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473950" y="1032650"/>
            <a:ext cx="720300" cy="1288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7200"/>
              <a:t>+</a:t>
            </a:r>
            <a:endParaRPr sz="7200"/>
          </a:p>
        </xdr:txBody>
      </xdr:sp>
    </xdr:grpSp>
    <xdr:clientData fLocksWithSheet="0"/>
  </xdr:oneCellAnchor>
  <xdr:oneCellAnchor>
    <xdr:from>
      <xdr:col>11</xdr:col>
      <xdr:colOff>142875</xdr:colOff>
      <xdr:row>30</xdr:row>
      <xdr:rowOff>95250</xdr:rowOff>
    </xdr:from>
    <xdr:ext cx="962025" cy="390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5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6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8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9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10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11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13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14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15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17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18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19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20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21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22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23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24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4</xdr:row>
      <xdr:rowOff>19050</xdr:rowOff>
    </xdr:from>
    <xdr:ext cx="257175" cy="133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P33:U36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H33:K40" displayName="Table_2" id="2">
  <tableColumns count="4">
    <tableColumn name="Column1" id="1"/>
    <tableColumn name="Column2" id="2"/>
    <tableColumn name="Column3" id="3"/>
    <tableColumn name="Column4" id="4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P5:R7" displayName="Table_3" id="3">
  <tableColumns count="3">
    <tableColumn name="Column1" id="1"/>
    <tableColumn name="Column2" id="2"/>
    <tableColumn name="Column3" id="3"/>
  </tableColumns>
  <tableStyleInfo name="Sheet1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3" width="5.71"/>
    <col customWidth="1" min="4" max="4" width="6.14"/>
    <col customWidth="1" min="5" max="5" width="5.57"/>
    <col customWidth="1" min="6" max="6" width="10.86"/>
    <col customWidth="1" min="7" max="7" width="2.86"/>
    <col customWidth="1" min="8" max="8" width="13.14"/>
    <col customWidth="1" min="9" max="9" width="62.43"/>
    <col customWidth="1" min="10" max="10" width="11.29"/>
    <col customWidth="1" min="11" max="11" width="15.43"/>
    <col customWidth="1" min="12" max="12" width="8.0"/>
    <col customWidth="1" min="13" max="13" width="1.86"/>
    <col customWidth="1" min="14" max="14" width="6.0"/>
    <col customWidth="1" min="15" max="15" width="2.57"/>
    <col customWidth="1" min="16" max="16" width="10.43"/>
    <col customWidth="1" min="17" max="17" width="15.71"/>
    <col customWidth="1" min="18" max="18" width="47.29"/>
    <col customWidth="1" min="19" max="19" width="4.0"/>
    <col customWidth="1" min="20" max="20" width="11.29"/>
    <col customWidth="1" min="21" max="21" width="9.0"/>
    <col customWidth="1" min="22" max="22" width="9.14"/>
    <col customWidth="1" min="23" max="26" width="8.71"/>
  </cols>
  <sheetData>
    <row r="1">
      <c r="T1" s="1"/>
      <c r="U1" s="1"/>
      <c r="V1" s="1"/>
    </row>
    <row r="2" ht="15.0" customHeight="1">
      <c r="A2" s="2"/>
      <c r="B2" s="3" t="str">
        <f>IF(L24 = 0,"Attributes","Atributos")</f>
        <v>Attributes</v>
      </c>
      <c r="C2" s="4"/>
      <c r="D2" s="4"/>
      <c r="E2" s="4"/>
      <c r="F2" s="5"/>
      <c r="H2" s="6" t="str">
        <f>IF(L24 = 0, "Name:", "Nome:")</f>
        <v>Name:</v>
      </c>
      <c r="I2" s="7"/>
      <c r="K2" s="8" t="s">
        <v>0</v>
      </c>
      <c r="L2" s="9">
        <v>0.0</v>
      </c>
      <c r="M2" s="10"/>
      <c r="N2" s="11"/>
      <c r="P2" s="12" t="str">
        <f>IF(L24=0,"Inventory", "Inventário")</f>
        <v>Inventory</v>
      </c>
      <c r="Q2" s="13"/>
      <c r="R2" s="14"/>
      <c r="T2" s="15" t="str">
        <f>IF(L24=0, "Movement", "Movimento")</f>
        <v>Movement</v>
      </c>
      <c r="U2" s="16"/>
      <c r="V2" s="17"/>
    </row>
    <row r="3" ht="15.75" customHeight="1">
      <c r="A3" s="2"/>
      <c r="B3" s="18" t="str">
        <f>IF(L24 = 0,"Name","Nome")</f>
        <v>Name</v>
      </c>
      <c r="C3" s="19" t="str">
        <f>IF(L24 = 0,"Cost","Custo")</f>
        <v>Cost</v>
      </c>
      <c r="D3" s="19" t="str">
        <f>IF(L24 = 0,"Score","Valor")</f>
        <v>Score</v>
      </c>
      <c r="E3" s="19" t="str">
        <f>IF(L24=0, "Bonus", "Bonus")</f>
        <v>Bonus</v>
      </c>
      <c r="F3" s="20" t="str">
        <f>IF(L24 = 0,"Dice","Dado")</f>
        <v>Dice</v>
      </c>
      <c r="H3" s="21"/>
      <c r="K3" s="22"/>
      <c r="L3" s="23"/>
      <c r="M3" s="24"/>
      <c r="N3" s="25"/>
      <c r="O3" s="26"/>
      <c r="P3" s="27"/>
      <c r="Q3" s="28"/>
      <c r="R3" s="29"/>
      <c r="T3" s="30" t="str">
        <f>IF(L24=0, "Normal", "Normal")</f>
        <v>Normal</v>
      </c>
      <c r="U3" s="31">
        <f>IF(L29 &gt; 7, 7, IF(L29 &lt; 4, 5, 6))</f>
        <v>6</v>
      </c>
      <c r="V3" s="32" t="str">
        <f t="shared" ref="V3:V4" si="1">($U3 *1.5) &amp; "m"</f>
        <v>9m</v>
      </c>
    </row>
    <row r="4" ht="15.0" customHeight="1">
      <c r="A4" s="2"/>
      <c r="B4" s="33" t="str">
        <f>IF(L24 = 0,"Physical","Físicos")</f>
        <v>Physical</v>
      </c>
      <c r="C4" s="34"/>
      <c r="D4" s="34"/>
      <c r="E4" s="34"/>
      <c r="F4" s="35"/>
      <c r="K4" s="8" t="s">
        <v>1</v>
      </c>
      <c r="L4" s="9">
        <v>3.0</v>
      </c>
      <c r="M4" s="10"/>
      <c r="N4" s="11"/>
      <c r="P4" s="36" t="s">
        <v>2</v>
      </c>
      <c r="Q4" s="36" t="str">
        <f>IF(L24 = 0, "Item", "Item")</f>
        <v>Item</v>
      </c>
      <c r="R4" s="36" t="str">
        <f>IF(L24 = 0, "Description", "Descrição")</f>
        <v>Description</v>
      </c>
      <c r="T4" s="37" t="str">
        <f>IF(L24=0, "Difficult", "Difícil")</f>
        <v>Difficult</v>
      </c>
      <c r="U4" s="38">
        <f>IF(L29 &gt; 7, 3, IF(L29 &lt; 4, 5, 4))</f>
        <v>4</v>
      </c>
      <c r="V4" s="39" t="str">
        <f t="shared" si="1"/>
        <v>6m</v>
      </c>
    </row>
    <row r="5" ht="15.75" customHeight="1">
      <c r="A5" s="2"/>
      <c r="B5" s="40" t="str">
        <f>IF(L24 = 0,"Agility","Agilidade")</f>
        <v>Agility</v>
      </c>
      <c r="C5" s="41">
        <f t="shared" ref="C5:C7" si="2">IFERROR(D5 * (D5+1) / 2, 0)</f>
        <v>3</v>
      </c>
      <c r="D5" s="42">
        <v>2.0</v>
      </c>
      <c r="E5" s="42"/>
      <c r="F5" s="43" t="str">
        <f t="shared" ref="F5:F7" si="3">IF(D5 + E5 &lt; 1,"1d2",IF(D5 + E5 = 1, "1d4", IF(D5 + E5 = 2, "1d6", IF(D5 + E5 = 3, "1d8", IF(D5 + E5 = 4, "1d10", IF(D5 + E5 = 5, "2d6", IF(D5 + E5 = 6, "2d8", IF(D5 + E5 = 7, "2d10", IF(D5 + E5 = 8, "3d8", IF(D5 + E5 = 9, "3d10", IF(D5 + E5 = 10, "4d8", IF(D5 + E5 = 11, "6d6",IF(D5 + E5 = 12, "7d6",IF(D5 + E5 = 13, "6d8",IF(D5 + E5 = 14, "12d4",IF(D5 + E5 = 15, "6d10",IF(D5 + E5 = 16, "8d8",IF(D5 + E5 = 17, "7d10", ""))))))))))))))))))</f>
        <v>1d6</v>
      </c>
      <c r="K5" s="22"/>
      <c r="L5" s="23"/>
      <c r="M5" s="24"/>
      <c r="N5" s="25"/>
      <c r="P5" s="44"/>
      <c r="Q5" s="44"/>
      <c r="R5" s="45"/>
    </row>
    <row r="6" ht="15.0" customHeight="1">
      <c r="A6" s="46"/>
      <c r="B6" s="47" t="str">
        <f>IF(L24 = 0,"Fortitude","Fortitude")</f>
        <v>Fortitude</v>
      </c>
      <c r="C6" s="48">
        <f t="shared" si="2"/>
        <v>6</v>
      </c>
      <c r="D6" s="49">
        <v>3.0</v>
      </c>
      <c r="E6" s="49"/>
      <c r="F6" s="50" t="str">
        <f t="shared" si="3"/>
        <v>1d8</v>
      </c>
      <c r="L6" s="51"/>
      <c r="M6" s="51"/>
      <c r="N6" s="51"/>
      <c r="P6" s="44"/>
      <c r="Q6" s="44"/>
      <c r="R6" s="45"/>
      <c r="T6" s="52" t="s">
        <v>3</v>
      </c>
      <c r="U6" s="53">
        <f>8 + L14 + N14</f>
        <v>8</v>
      </c>
    </row>
    <row r="7" ht="15.0" customHeight="1">
      <c r="A7" s="2"/>
      <c r="B7" s="54" t="str">
        <f>IF(L24 = 0,"Might","Força")</f>
        <v>Might</v>
      </c>
      <c r="C7" s="41">
        <f t="shared" si="2"/>
        <v>15</v>
      </c>
      <c r="D7" s="55">
        <v>5.0</v>
      </c>
      <c r="E7" s="55">
        <v>1.0</v>
      </c>
      <c r="F7" s="56" t="str">
        <f t="shared" si="3"/>
        <v>2d8</v>
      </c>
      <c r="K7" s="57" t="s">
        <v>4</v>
      </c>
      <c r="L7" s="58"/>
      <c r="M7" s="59" t="s">
        <v>5</v>
      </c>
      <c r="N7" s="60">
        <f>IF(8+2*(D6+E6)+2*(D16+E16)+D12+E12+FLOOR.MATH(1.5*(D7+E7))+2*L4&gt;0,8+2*(D6+E6)+2*(D16+E16)+D12+E12+FLOOR.MATH(1.5*(D7+E7))+2*L4,1)</f>
        <v>37</v>
      </c>
      <c r="P7" s="44"/>
      <c r="Q7" s="44"/>
      <c r="R7" s="45"/>
      <c r="T7" s="22"/>
      <c r="U7" s="61"/>
    </row>
    <row r="8" ht="15.0" customHeight="1">
      <c r="A8" s="2"/>
      <c r="B8" s="62" t="str">
        <f>IF(L24 = 0,"Mental","Mentais")</f>
        <v>Mental</v>
      </c>
      <c r="C8" s="34"/>
      <c r="D8" s="34"/>
      <c r="E8" s="34"/>
      <c r="F8" s="35"/>
      <c r="K8" s="22"/>
      <c r="L8" s="63"/>
      <c r="M8" s="63"/>
      <c r="N8" s="61"/>
      <c r="P8" s="64"/>
      <c r="Q8" s="64"/>
      <c r="R8" s="65"/>
    </row>
    <row r="9" ht="15.75" customHeight="1">
      <c r="A9" s="2"/>
      <c r="B9" s="66" t="str">
        <f>IF(L24 = 0,"Learning","Aprendizado")</f>
        <v>Learning</v>
      </c>
      <c r="C9" s="67">
        <f t="shared" ref="C9:C12" si="4">IFERROR(D9 * (D9+1) / 2, 0)</f>
        <v>3</v>
      </c>
      <c r="D9" s="68">
        <v>2.0</v>
      </c>
      <c r="E9" s="68"/>
      <c r="F9" s="69" t="str">
        <f t="shared" ref="F9:F12" si="5">IF(D9 + E9 &lt; 1,"1d2",IF(D9 + E9 = 1, "1d4", IF(D9 + E9 = 2, "1d6", IF(D9 + E9 = 3, "1d8", IF(D9 + E9 = 4, "1d10", IF(D9 + E9 = 5, "2d6", IF(D9 + E9 = 6, "2d8", IF(D9 + E9 = 7, "2d10", IF(D9 + E9 = 8, "3d8", IF(D9 + E9 = 9, "3d10", IF(D9 + E9 = 10, "4d8", IF(D9 + E9 = 11, "6d6",IF(D9 + E9 = 12, "7d6",IF(D9 + E9 = 13, "6d8",IF(D9 + E9 = 14, "12d4",IF(D9 + E9 = 15, "6d10",IF(D9 + E9 = 16, "8d8",IF(D9 + E9 = 17, "7d10", ""))))))))))))))))))</f>
        <v>1d6</v>
      </c>
      <c r="K9" s="70" t="s">
        <v>6</v>
      </c>
      <c r="L9" s="71"/>
      <c r="M9" s="72" t="s">
        <v>5</v>
      </c>
      <c r="N9" s="73">
        <f> IF(CEILING.MATH(10 + 3*(D9 + E9) + 1.5*(D12 + E12) + 2*(D10 + E10) + 1.5*MAX(D18+E18, D19+E19, D20+E20, D21+E21, D22+E22, D23+E23, D24+E24, D25+E25)) &gt; 0, CEILING.MATH(10 + 3*(D9 + E9) + 1.5*(D12 + E12) + 2*(D10 + E10) + 1.5*MAX(D18+E18, D19+E19, D20+E20, D21+E21, D22+E22, D23+E23, D24+E24, D25+E25)), 1)</f>
        <v>24</v>
      </c>
      <c r="P9" s="64"/>
      <c r="Q9" s="64"/>
      <c r="R9" s="65"/>
      <c r="T9" s="74" t="str">
        <f>IF($L$24=0, "Languages", "Línguas")</f>
        <v>Languages</v>
      </c>
      <c r="V9" s="21"/>
    </row>
    <row r="10" ht="15.0" customHeight="1">
      <c r="A10" s="2"/>
      <c r="B10" s="75" t="str">
        <f>IF(L24 = 0,"Logic","Lógica")</f>
        <v>Logic</v>
      </c>
      <c r="C10" s="76">
        <f t="shared" si="4"/>
        <v>1</v>
      </c>
      <c r="D10" s="77">
        <v>1.0</v>
      </c>
      <c r="E10" s="77"/>
      <c r="F10" s="78" t="str">
        <f t="shared" si="5"/>
        <v>1d4</v>
      </c>
      <c r="K10" s="22"/>
      <c r="L10" s="63"/>
      <c r="M10" s="63"/>
      <c r="N10" s="61"/>
      <c r="P10" s="64"/>
      <c r="Q10" s="64"/>
      <c r="R10" s="65"/>
      <c r="T10" s="41"/>
    </row>
    <row r="11" ht="15.0" customHeight="1">
      <c r="A11" s="2"/>
      <c r="B11" s="66" t="str">
        <f>IF(L24 = 0,"Perception","Percepção")</f>
        <v>Perception</v>
      </c>
      <c r="C11" s="67">
        <f t="shared" si="4"/>
        <v>3</v>
      </c>
      <c r="D11" s="68">
        <v>2.0</v>
      </c>
      <c r="E11" s="68"/>
      <c r="F11" s="69" t="str">
        <f t="shared" si="5"/>
        <v>1d6</v>
      </c>
      <c r="P11" s="64"/>
      <c r="Q11" s="64"/>
      <c r="R11" s="65"/>
      <c r="T11" s="41"/>
    </row>
    <row r="12" ht="15.0" customHeight="1">
      <c r="A12" s="2"/>
      <c r="B12" s="75" t="str">
        <f>IF(L24 = 0,"Will","Vontade")</f>
        <v>Will</v>
      </c>
      <c r="C12" s="76">
        <f t="shared" si="4"/>
        <v>10</v>
      </c>
      <c r="D12" s="77">
        <v>4.0</v>
      </c>
      <c r="E12" s="77"/>
      <c r="F12" s="78" t="str">
        <f t="shared" si="5"/>
        <v>1d10</v>
      </c>
      <c r="K12" s="79" t="str">
        <f>IF(L24 = 0, "GUARD", "GUARD")</f>
        <v>GUARD</v>
      </c>
      <c r="L12" s="80">
        <f>IF(OR(1.5*(D7) &lt; D5, IFERROR(NUMBERVALUE(L29), 0) = 0), 0, FLOOR.MATH(1*(D7 + E7) + 0.75*(D6 + E6) + 0.5*(D25 + E25) + (L29-5)))</f>
        <v>0</v>
      </c>
      <c r="M12" s="81" t="str">
        <f>IF(N12 &gt; 0, "+", "")</f>
        <v/>
      </c>
      <c r="N12" s="82"/>
      <c r="P12" s="64"/>
      <c r="Q12" s="64"/>
      <c r="R12" s="65"/>
      <c r="T12" s="41"/>
    </row>
    <row r="13" ht="15.0" customHeight="1">
      <c r="A13" s="2"/>
      <c r="B13" s="83" t="str">
        <f>IF(L24 = 0,"Social","Sociais")</f>
        <v>Social</v>
      </c>
      <c r="C13" s="34"/>
      <c r="D13" s="34"/>
      <c r="E13" s="34"/>
      <c r="F13" s="35"/>
      <c r="K13" s="84"/>
      <c r="L13" s="85"/>
      <c r="M13" s="85"/>
      <c r="N13" s="86"/>
      <c r="P13" s="64"/>
      <c r="Q13" s="64"/>
      <c r="R13" s="65"/>
      <c r="T13" s="21"/>
    </row>
    <row r="14" ht="15.0" customHeight="1">
      <c r="A14" s="2"/>
      <c r="B14" s="87" t="str">
        <f>IF(L24 = 0,"Deception","Enganação")</f>
        <v>Deception</v>
      </c>
      <c r="C14" s="88">
        <f t="shared" ref="C14:C16" si="6">IFERROR(D14 * (D14+1) / 2, 0)</f>
        <v>10</v>
      </c>
      <c r="D14" s="89">
        <v>4.0</v>
      </c>
      <c r="E14" s="89"/>
      <c r="F14" s="90" t="str">
        <f t="shared" ref="F14:F16" si="7">IF(D14 + E14 &lt; 1,"1d2",IF(D14 + E14 = 1, "1d4", IF(D14 + E14 = 2, "1d6", IF(D14 + E14 = 3, "1d8", IF(D14 + E14 = 4, "1d10", IF(D14 + E14 = 5, "2d6", IF(D14 + E14 = 6, "2d8", IF(D14 + E14 = 7, "2d10", IF(D14 + E14 = 8, "3d8", IF(D14 + E14 = 9, "3d10", IF(D14 + E14 = 10, "4d8", IF(D14 + E14 = 11, "6d6",IF(D14 + E14 = 12, "7d6",IF(D14 + E14 = 13, "6d8",IF(D14 + E14 = 14, "12d4",IF(D14 + E14 = 15, "6d10",IF(D14 + E14 = 16, "8d8",IF(D14 + E14 = 17, "7d10", ""))))))))))))))))))</f>
        <v>1d10</v>
      </c>
      <c r="K14" s="91" t="str">
        <f>IF(L24 = 0, "DODGE", "EVASÃO")</f>
        <v>DODGE</v>
      </c>
      <c r="L14" s="92">
        <f>IF(AND(D7&gt;1.5*(D5), ROUND(0.75*(D5 + E5) + 0.5*(D11 + E11) + 1*(D14 + E14) - 0.5*(D7 + E7) - (L29 - 5), 0) &gt; 0), 0, ROUND(0.75*(D5 + E5) + 0.5*(D11 + E11) + 1*(D14 + E14)  - 0.5*(D7 + E7) - (L29 - 5), 0))</f>
        <v>0</v>
      </c>
      <c r="M14" s="93" t="str">
        <f>IF(N14 &gt; 0, "+", "")</f>
        <v/>
      </c>
      <c r="N14" s="94"/>
      <c r="P14" s="64"/>
      <c r="Q14" s="64"/>
      <c r="R14" s="65"/>
      <c r="T14" s="21"/>
    </row>
    <row r="15" ht="15.0" customHeight="1">
      <c r="A15" s="2"/>
      <c r="B15" s="95" t="str">
        <f>IF(L24 = 0,"Persuasion","Persuasão")</f>
        <v>Persuasion</v>
      </c>
      <c r="C15" s="96">
        <f t="shared" si="6"/>
        <v>3</v>
      </c>
      <c r="D15" s="97">
        <v>2.0</v>
      </c>
      <c r="E15" s="97"/>
      <c r="F15" s="98" t="str">
        <f t="shared" si="7"/>
        <v>1d6</v>
      </c>
      <c r="K15" s="22"/>
      <c r="L15" s="63"/>
      <c r="M15" s="63"/>
      <c r="N15" s="61"/>
      <c r="P15" s="64"/>
      <c r="Q15" s="64"/>
      <c r="R15" s="65"/>
      <c r="T15" s="21"/>
    </row>
    <row r="16" ht="15.0" customHeight="1">
      <c r="A16" s="2"/>
      <c r="B16" s="99" t="str">
        <f>IF(L24 = 0,"Presence","Presença")</f>
        <v>Presence</v>
      </c>
      <c r="C16" s="100">
        <f t="shared" si="6"/>
        <v>3</v>
      </c>
      <c r="D16" s="101">
        <v>2.0</v>
      </c>
      <c r="E16" s="101"/>
      <c r="F16" s="102" t="str">
        <f t="shared" si="7"/>
        <v>1d6</v>
      </c>
      <c r="P16" s="64"/>
      <c r="Q16" s="64"/>
      <c r="R16" s="65"/>
      <c r="U16" s="21"/>
    </row>
    <row r="17" ht="15.0" customHeight="1">
      <c r="A17" s="2"/>
      <c r="B17" s="103" t="str">
        <f>IF(L24 = 0,"Extraordinary","Extraordinários")</f>
        <v>Extraordinary</v>
      </c>
      <c r="C17" s="34"/>
      <c r="D17" s="34"/>
      <c r="E17" s="34"/>
      <c r="F17" s="35"/>
      <c r="K17" s="104" t="str">
        <f>IF(L24 = 0, "Skill Points", "Pontos de Habilidade")</f>
        <v>Skill Points</v>
      </c>
      <c r="L17" s="10"/>
      <c r="M17" s="105"/>
      <c r="N17" s="106">
        <v>10.0</v>
      </c>
      <c r="P17" s="64"/>
      <c r="Q17" s="64"/>
      <c r="R17" s="65"/>
      <c r="U17" s="21"/>
    </row>
    <row r="18">
      <c r="A18" s="2"/>
      <c r="B18" s="107" t="str">
        <f>IF(L24 = 0,"Alteration","Alteração")</f>
        <v>Alteration</v>
      </c>
      <c r="C18" s="108">
        <f t="shared" ref="C18:C25" si="8">IFERROR(D18 * (D18+1) / 2, 0)</f>
        <v>0</v>
      </c>
      <c r="D18" s="109"/>
      <c r="E18" s="109"/>
      <c r="F18" s="110" t="str">
        <f t="shared" ref="F18:F25" si="9">IF(D18 + E18 &lt; 1,"1d2",IF(D18 + E18 = 1, "1d4", IF(D18 + E18 = 2, "1d6", IF(D18 + E18 = 3, "1d8", IF(D18 + E18 = 4, "1d10", IF(D18 + E18 = 5, "2d6", IF(D18 + E18 = 6, "2d8", IF(D18 + E18 = 7, "2d10", IF(D18 + E18 = 8, "3d8", IF(D18 + E18 = 9, "3d10", IF(D18 + E18 = 10, "4d8", IF(D18 + E18 = 11, "6d6",IF(D18 + E18 = 12, "7d6",IF(D18 + E18 = 13, "6d8",IF(D18 + E18 = 14, "12d4",IF(D18 + E18 = 15, "6d10",IF(D18 + E18 = 16, "8d8",IF(D18 + E18 = 17, "7d10", ""))))))))))))))))))</f>
        <v>1d2</v>
      </c>
      <c r="K18" s="111"/>
      <c r="L18" s="112"/>
      <c r="M18" s="113"/>
      <c r="N18" s="114"/>
      <c r="P18" s="64"/>
      <c r="Q18" s="64"/>
      <c r="R18" s="65"/>
      <c r="U18" s="21"/>
    </row>
    <row r="19">
      <c r="A19" s="2"/>
      <c r="B19" s="115" t="str">
        <f>IF(L24 = 0,"Creation","Criação")</f>
        <v>Creation</v>
      </c>
      <c r="C19" s="116">
        <f t="shared" si="8"/>
        <v>0</v>
      </c>
      <c r="D19" s="117"/>
      <c r="E19" s="117"/>
      <c r="F19" s="118" t="str">
        <f t="shared" si="9"/>
        <v>1d2</v>
      </c>
      <c r="K19" s="119" t="str">
        <f>IF(L24= 0, "Attribute Points", "Pontos de Atributo")</f>
        <v>Attribute Points</v>
      </c>
      <c r="L19" s="13"/>
      <c r="M19" s="14"/>
      <c r="N19" s="120">
        <v>0.0</v>
      </c>
      <c r="P19" s="64"/>
      <c r="Q19" s="64"/>
      <c r="R19" s="65"/>
      <c r="U19" s="21"/>
    </row>
    <row r="20">
      <c r="A20" s="2"/>
      <c r="B20" s="107" t="str">
        <f>IF(L24 = 0,"Energy","Energia")</f>
        <v>Energy</v>
      </c>
      <c r="C20" s="108">
        <f t="shared" si="8"/>
        <v>0</v>
      </c>
      <c r="D20" s="109"/>
      <c r="E20" s="109"/>
      <c r="F20" s="110" t="str">
        <f t="shared" si="9"/>
        <v>1d2</v>
      </c>
      <c r="K20" s="111"/>
      <c r="L20" s="112"/>
      <c r="M20" s="113"/>
      <c r="N20" s="114"/>
      <c r="P20" s="64"/>
      <c r="Q20" s="64"/>
      <c r="R20" s="65"/>
      <c r="U20" s="21"/>
    </row>
    <row r="21" ht="15.75" customHeight="1">
      <c r="A21" s="2"/>
      <c r="B21" s="115" t="str">
        <f>IF(L24 = 0,"Entropy","Entropia")</f>
        <v>Entropy</v>
      </c>
      <c r="C21" s="116">
        <f t="shared" si="8"/>
        <v>0</v>
      </c>
      <c r="D21" s="117"/>
      <c r="E21" s="117"/>
      <c r="F21" s="118" t="str">
        <f t="shared" si="9"/>
        <v>1d2</v>
      </c>
      <c r="K21" s="121" t="str">
        <f>IF(L24 = 0, "Feat Points", "Pontos de Perícia")</f>
        <v>Feat Points</v>
      </c>
      <c r="L21" s="13"/>
      <c r="M21" s="14"/>
      <c r="N21" s="122">
        <v>12.0</v>
      </c>
      <c r="P21" s="64"/>
      <c r="Q21" s="64"/>
      <c r="R21" s="65"/>
      <c r="U21" s="21"/>
    </row>
    <row r="22" ht="15.0" customHeight="1">
      <c r="A22" s="2"/>
      <c r="B22" s="107" t="str">
        <f>IF(L24 = 0,"Influcence","Influência")</f>
        <v>Influcence</v>
      </c>
      <c r="C22" s="108">
        <f t="shared" si="8"/>
        <v>0</v>
      </c>
      <c r="D22" s="109"/>
      <c r="E22" s="109"/>
      <c r="F22" s="110" t="str">
        <f t="shared" si="9"/>
        <v>1d2</v>
      </c>
      <c r="K22" s="123"/>
      <c r="L22" s="24"/>
      <c r="M22" s="124"/>
      <c r="N22" s="61"/>
      <c r="P22" s="64"/>
      <c r="Q22" s="64"/>
      <c r="R22" s="65"/>
      <c r="U22" s="21"/>
    </row>
    <row r="23" ht="15.0" customHeight="1">
      <c r="A23" s="2"/>
      <c r="B23" s="115" t="str">
        <f>IF(L24=0, "Movement", "Movimento")</f>
        <v>Movement</v>
      </c>
      <c r="C23" s="116">
        <f t="shared" si="8"/>
        <v>0</v>
      </c>
      <c r="D23" s="117"/>
      <c r="E23" s="117"/>
      <c r="F23" s="118" t="str">
        <f t="shared" si="9"/>
        <v>1d2</v>
      </c>
      <c r="P23" s="64"/>
      <c r="Q23" s="64"/>
      <c r="R23" s="65"/>
      <c r="S23" s="21"/>
      <c r="T23" s="21"/>
      <c r="U23" s="21"/>
    </row>
    <row r="24" ht="15.0" customHeight="1">
      <c r="A24" s="2"/>
      <c r="B24" s="107" t="str">
        <f>IF(L24 = 0,"Prescience","Preciência")</f>
        <v>Prescience</v>
      </c>
      <c r="C24" s="108">
        <f t="shared" si="8"/>
        <v>0</v>
      </c>
      <c r="D24" s="109"/>
      <c r="E24" s="109"/>
      <c r="F24" s="110" t="str">
        <f t="shared" si="9"/>
        <v>1d2</v>
      </c>
      <c r="K24" s="125" t="str">
        <f>IF(L24 = 0, "Language:", "Língua:")</f>
        <v>Language:</v>
      </c>
      <c r="L24" s="126">
        <v>0.0</v>
      </c>
      <c r="M24" s="10"/>
      <c r="N24" s="11"/>
      <c r="P24" s="64"/>
      <c r="Q24" s="64"/>
      <c r="R24" s="65"/>
    </row>
    <row r="25" ht="15.0" customHeight="1">
      <c r="A25" s="2"/>
      <c r="B25" s="127" t="str">
        <f>IF(L24 = 0,"Protection","Proteção")</f>
        <v>Protection</v>
      </c>
      <c r="C25" s="128">
        <f t="shared" si="8"/>
        <v>0</v>
      </c>
      <c r="D25" s="129"/>
      <c r="E25" s="129"/>
      <c r="F25" s="130" t="str">
        <f t="shared" si="9"/>
        <v>1d2</v>
      </c>
      <c r="K25" s="131"/>
      <c r="L25" s="27"/>
      <c r="M25" s="28"/>
      <c r="N25" s="132"/>
      <c r="P25" s="64"/>
      <c r="Q25" s="64"/>
      <c r="R25" s="65"/>
    </row>
    <row r="26" ht="15.75" customHeight="1">
      <c r="K26" s="133">
        <v>0.0</v>
      </c>
      <c r="L26" s="134" t="str">
        <f>IF(L24 = 0,"English","Inglês")</f>
        <v>English</v>
      </c>
      <c r="M26" s="135"/>
      <c r="N26" s="136"/>
      <c r="P26" s="64"/>
      <c r="Q26" s="64"/>
      <c r="R26" s="65"/>
    </row>
    <row r="27" ht="15.75" customHeight="1">
      <c r="B27" s="137" t="str">
        <f>IF(L24 = 0, "Defense Calculation", "Cálculo de Defesa")</f>
        <v>Defense Calculation</v>
      </c>
      <c r="C27" s="34"/>
      <c r="D27" s="34"/>
      <c r="E27" s="34"/>
      <c r="F27" s="138"/>
      <c r="K27" s="139">
        <v>1.0</v>
      </c>
      <c r="L27" s="140" t="str">
        <f>IF(L24 = 0,"Portuguese","Português")</f>
        <v>Portuguese</v>
      </c>
      <c r="M27" s="141"/>
      <c r="N27" s="142"/>
    </row>
    <row r="28" ht="15.75" customHeight="1">
      <c r="B28" s="143" t="str">
        <f>IF(L24 = 0, "Pre-Defense", "Antes da Defesa")</f>
        <v>Pre-Defense</v>
      </c>
      <c r="C28" s="144"/>
      <c r="D28" s="145" t="str">
        <f>IF(L24 = 0, "Post-Defense", "Pós-Defesa")</f>
        <v>Post-Defense</v>
      </c>
      <c r="E28" s="146"/>
      <c r="F28" s="147"/>
    </row>
    <row r="29" ht="15.75" customHeight="1">
      <c r="B29" s="148"/>
      <c r="C29" s="14"/>
      <c r="D29" s="149" t="str">
        <f>IF(B29 = "", "", IF(L14+N14 &lt; 0, B29 - (L12+N12), IF(ROUNDDOWN(B29 * 15/(L14+N14+15) - (L12+N12), 0) &gt;= 0, ROUNDDOWN(B29 * 15/(L14+N14+15) - (L12+N12), 0), 0)))</f>
        <v/>
      </c>
      <c r="E29" s="13"/>
      <c r="F29" s="150"/>
      <c r="K29" s="151" t="str">
        <f>IF(L24 = 0, "Size:", "Tamanho:")</f>
        <v>Size:</v>
      </c>
      <c r="L29" s="152">
        <v>7.0</v>
      </c>
      <c r="M29" s="153"/>
      <c r="N29" s="154"/>
    </row>
    <row r="30" ht="15.75" customHeight="1">
      <c r="B30" s="123"/>
      <c r="C30" s="124"/>
      <c r="D30" s="23"/>
      <c r="E30" s="24"/>
      <c r="F30" s="25"/>
    </row>
    <row r="31" ht="15.75" customHeight="1">
      <c r="P31" s="155" t="s">
        <v>7</v>
      </c>
      <c r="Q31" s="16"/>
      <c r="R31" s="16"/>
      <c r="S31" s="16"/>
      <c r="T31" s="16"/>
      <c r="U31" s="156"/>
    </row>
    <row r="32" ht="15.75" customHeight="1">
      <c r="B32" s="157" t="s">
        <v>8</v>
      </c>
      <c r="C32" s="158"/>
      <c r="D32" s="159"/>
      <c r="E32" s="160" t="s">
        <v>5</v>
      </c>
      <c r="F32" s="161">
        <f> 8 + 3*(D6+E6) + 2*(D5+E5) + D7+E7 + 2*L4</f>
        <v>33</v>
      </c>
      <c r="H32" s="162" t="str">
        <f>IF(L24 = 0, "Skill / Perk / Feat", "Habilidade / Perícia")</f>
        <v>Skill / Perk / Feat</v>
      </c>
      <c r="I32" s="163" t="str">
        <f>IF(L24 = 0, "Description", "Descrição")</f>
        <v>Description</v>
      </c>
      <c r="J32" s="163" t="str">
        <f>IF(L24 = 0, "Attribute", "Atributo")</f>
        <v>Attribute</v>
      </c>
      <c r="K32" s="163" t="str">
        <f>IF(L24 = 0,"Cost","Custo")</f>
        <v>Cost</v>
      </c>
      <c r="P32" s="164" t="str">
        <f>IF(L24 = 0,"Name","Nome")</f>
        <v>Name</v>
      </c>
      <c r="Q32" s="164" t="s">
        <v>9</v>
      </c>
      <c r="R32" s="164" t="str">
        <f>IF(L24=0,"Effect","Efeito")</f>
        <v>Effect</v>
      </c>
      <c r="S32" s="164" t="str">
        <f>IF(L24=0,"Defense","Defesa")</f>
        <v>Defense</v>
      </c>
      <c r="T32" s="165" t="s">
        <v>10</v>
      </c>
      <c r="U32" s="165" t="s">
        <v>11</v>
      </c>
    </row>
    <row r="33" ht="58.5" customHeight="1">
      <c r="H33" s="166" t="s">
        <v>12</v>
      </c>
      <c r="I33" s="166" t="s">
        <v>13</v>
      </c>
      <c r="J33" s="44"/>
      <c r="K33" s="166" t="s">
        <v>14</v>
      </c>
      <c r="P33" s="44"/>
      <c r="Q33" s="44"/>
      <c r="R33" s="167"/>
      <c r="S33" s="167"/>
      <c r="T33" s="168"/>
      <c r="U33" s="167"/>
    </row>
    <row r="34" ht="15.75" customHeight="1">
      <c r="B34" s="169" t="str">
        <f>IF(L24 = 0, "HP Dice", "Dado de HP")</f>
        <v>HP Dice</v>
      </c>
      <c r="C34" s="105"/>
      <c r="D34" s="170" t="str">
        <f>IF(L24 = 0,"Fortitude","Fortitude")</f>
        <v>Fortitude</v>
      </c>
      <c r="E34" s="10"/>
      <c r="F34" s="11"/>
      <c r="H34" s="171" t="s">
        <v>15</v>
      </c>
      <c r="I34" s="172" t="s">
        <v>16</v>
      </c>
      <c r="J34" s="44"/>
      <c r="K34" s="171" t="s">
        <v>17</v>
      </c>
      <c r="P34" s="167"/>
      <c r="Q34" s="44"/>
      <c r="R34" s="173"/>
      <c r="S34" s="167"/>
      <c r="T34" s="44"/>
      <c r="U34" s="167"/>
    </row>
    <row r="35" ht="15.75" customHeight="1">
      <c r="B35" s="174"/>
      <c r="C35" s="29"/>
      <c r="D35" s="27"/>
      <c r="E35" s="28"/>
      <c r="F35" s="132"/>
      <c r="H35" s="171" t="s">
        <v>15</v>
      </c>
      <c r="I35" s="172" t="s">
        <v>18</v>
      </c>
      <c r="J35" s="44"/>
      <c r="K35" s="171" t="s">
        <v>19</v>
      </c>
      <c r="P35" s="167"/>
      <c r="Q35" s="44"/>
      <c r="R35" s="173"/>
      <c r="S35" s="167"/>
      <c r="T35" s="44"/>
      <c r="U35" s="167"/>
    </row>
    <row r="36" ht="70.5" customHeight="1">
      <c r="B36" s="175" t="str">
        <f>IF(L24 = 0, "MP Dice", "Dado de MP")</f>
        <v>MP Dice</v>
      </c>
      <c r="C36" s="105"/>
      <c r="D36" s="176" t="str">
        <f>IF(L24 = 0,"Learning","Aprendizado")</f>
        <v>Learning</v>
      </c>
      <c r="E36" s="10"/>
      <c r="F36" s="11"/>
      <c r="H36" s="171" t="s">
        <v>15</v>
      </c>
      <c r="I36" s="172" t="s">
        <v>20</v>
      </c>
      <c r="J36" s="44"/>
      <c r="K36" s="171" t="s">
        <v>17</v>
      </c>
      <c r="P36" s="167"/>
      <c r="Q36" s="44"/>
      <c r="R36" s="173"/>
      <c r="S36" s="167"/>
      <c r="T36" s="44"/>
      <c r="U36" s="167"/>
    </row>
    <row r="37" ht="45.0" customHeight="1">
      <c r="B37" s="123"/>
      <c r="C37" s="124"/>
      <c r="D37" s="23"/>
      <c r="E37" s="24"/>
      <c r="F37" s="25"/>
      <c r="H37" s="166" t="s">
        <v>12</v>
      </c>
      <c r="I37" s="166" t="s">
        <v>21</v>
      </c>
      <c r="J37" s="44"/>
      <c r="K37" s="166" t="s">
        <v>22</v>
      </c>
      <c r="P37" s="177"/>
      <c r="Q37" s="64"/>
      <c r="R37" s="178"/>
      <c r="S37" s="177"/>
      <c r="T37" s="64"/>
      <c r="U37" s="177"/>
    </row>
    <row r="38" ht="15.75" customHeight="1">
      <c r="H38" s="171"/>
      <c r="I38" s="172"/>
      <c r="J38" s="44"/>
      <c r="K38" s="171"/>
    </row>
    <row r="39" ht="15.75" customHeight="1">
      <c r="H39" s="171"/>
      <c r="I39" s="172"/>
      <c r="J39" s="44"/>
      <c r="K39" s="171"/>
    </row>
    <row r="40" ht="15.75" customHeight="1">
      <c r="H40" s="171"/>
      <c r="I40" s="172"/>
      <c r="J40" s="44"/>
      <c r="K40" s="17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L9:L10"/>
    <mergeCell ref="M9:M10"/>
    <mergeCell ref="K19:M20"/>
    <mergeCell ref="K21:M22"/>
    <mergeCell ref="N14:N15"/>
    <mergeCell ref="L7:L8"/>
    <mergeCell ref="M14:M15"/>
    <mergeCell ref="N21:N22"/>
    <mergeCell ref="N19:N20"/>
    <mergeCell ref="K9:K10"/>
    <mergeCell ref="K14:K15"/>
    <mergeCell ref="B29:C30"/>
    <mergeCell ref="B28:C28"/>
    <mergeCell ref="B34:C35"/>
    <mergeCell ref="C32:D32"/>
    <mergeCell ref="K17:M18"/>
    <mergeCell ref="B17:F17"/>
    <mergeCell ref="D29:F30"/>
    <mergeCell ref="D34:F35"/>
    <mergeCell ref="B36:C37"/>
    <mergeCell ref="D36:F37"/>
    <mergeCell ref="K24:K25"/>
    <mergeCell ref="D28:F28"/>
    <mergeCell ref="B27:F27"/>
    <mergeCell ref="L14:L15"/>
    <mergeCell ref="L12:L13"/>
    <mergeCell ref="N7:N8"/>
    <mergeCell ref="N9:N10"/>
    <mergeCell ref="T2:V2"/>
    <mergeCell ref="P2:R3"/>
    <mergeCell ref="T6:T7"/>
    <mergeCell ref="U6:U7"/>
    <mergeCell ref="K2:K3"/>
    <mergeCell ref="L2:N3"/>
    <mergeCell ref="B4:F4"/>
    <mergeCell ref="B2:F2"/>
    <mergeCell ref="M12:M13"/>
    <mergeCell ref="N12:N13"/>
    <mergeCell ref="B13:F13"/>
    <mergeCell ref="K12:K13"/>
    <mergeCell ref="K7:K8"/>
    <mergeCell ref="K4:K5"/>
    <mergeCell ref="B8:F8"/>
    <mergeCell ref="M7:M8"/>
    <mergeCell ref="L4:N5"/>
    <mergeCell ref="N17:N18"/>
    <mergeCell ref="L24:N25"/>
    <mergeCell ref="L26:N26"/>
    <mergeCell ref="L27:N27"/>
    <mergeCell ref="P31:U31"/>
    <mergeCell ref="L29:N29"/>
  </mergeCells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