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Dropbox\#work\Projeto carteira de pre natal\"/>
    </mc:Choice>
  </mc:AlternateContent>
  <xr:revisionPtr revIDLastSave="0" documentId="13_ncr:1_{1A6C0C46-5DE4-4D4E-9ABC-7012B71109BD}" xr6:coauthVersionLast="47" xr6:coauthVersionMax="47" xr10:uidLastSave="{00000000-0000-0000-0000-000000000000}"/>
  <bookViews>
    <workbookView xWindow="18765" yWindow="1950" windowWidth="34935" windowHeight="21330" activeTab="1" xr2:uid="{F9612038-04B4-4728-BCE5-7E2C207DFE61}"/>
  </bookViews>
  <sheets>
    <sheet name="Planilha1" sheetId="8" r:id="rId1"/>
    <sheet name="Start" sheetId="1" r:id="rId2"/>
    <sheet name="Edit" sheetId="2" r:id="rId3"/>
    <sheet name="Sheet2" sheetId="10" r:id="rId4"/>
    <sheet name="peso" sheetId="3" r:id="rId5"/>
    <sheet name="Cart velha" sheetId="4" r:id="rId6"/>
    <sheet name="peso estimado" sheetId="5" r:id="rId7"/>
    <sheet name="Slide" sheetId="6" r:id="rId8"/>
    <sheet name="Planilha5" sheetId="7" r:id="rId9"/>
    <sheet name="Sheet1" sheetId="9" r:id="rId10"/>
    <sheet name="Pressao" sheetId="11" r:id="rId11"/>
    <sheet name="Sheet4" sheetId="12" r:id="rId12"/>
    <sheet name="LAB" sheetId="13" r:id="rId13"/>
  </sheets>
  <functionGroups builtInGroupCount="19"/>
  <definedNames>
    <definedName name="imc">peso!$N$9:$P$21</definedName>
    <definedName name="Obesidade_e_gestacao" localSheetId="4">peso!$D$7:$H$53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2" l="1"/>
  <c r="E23" i="12"/>
  <c r="F22" i="12"/>
  <c r="E22" i="12"/>
  <c r="F21" i="12"/>
  <c r="E21" i="12"/>
  <c r="F20" i="12"/>
  <c r="E20" i="12"/>
  <c r="F19" i="12"/>
  <c r="E19" i="12"/>
  <c r="F18" i="12"/>
  <c r="E18" i="12"/>
  <c r="F17" i="12"/>
  <c r="E17" i="12"/>
  <c r="F16" i="12"/>
  <c r="E16" i="12"/>
  <c r="F15" i="12"/>
  <c r="E15" i="12"/>
  <c r="F14" i="12"/>
  <c r="E14" i="12"/>
  <c r="F13" i="12"/>
  <c r="E13" i="12"/>
  <c r="F12" i="12"/>
  <c r="E12" i="12"/>
  <c r="F11" i="12"/>
  <c r="E11" i="12"/>
  <c r="F10" i="12"/>
  <c r="E10" i="12"/>
  <c r="F9" i="12"/>
  <c r="E9" i="12"/>
  <c r="F8" i="12"/>
  <c r="E8" i="12"/>
  <c r="F7" i="12"/>
  <c r="E7" i="12"/>
  <c r="F6" i="12"/>
  <c r="E6" i="12"/>
  <c r="F5" i="12"/>
  <c r="E5" i="12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H80" i="10" l="1"/>
  <c r="AC80" i="10" s="1"/>
  <c r="P79" i="10"/>
  <c r="O79" i="10"/>
  <c r="H79" i="10"/>
  <c r="AC79" i="10" s="1"/>
  <c r="D79" i="10"/>
  <c r="P78" i="10"/>
  <c r="O78" i="10"/>
  <c r="H78" i="10"/>
  <c r="AC78" i="10" s="1"/>
  <c r="D78" i="10"/>
  <c r="P77" i="10"/>
  <c r="O77" i="10"/>
  <c r="H77" i="10"/>
  <c r="AC77" i="10" s="1"/>
  <c r="D77" i="10"/>
  <c r="P76" i="10"/>
  <c r="O76" i="10"/>
  <c r="H76" i="10"/>
  <c r="I76" i="10" s="1" a="1"/>
  <c r="I76" i="10" s="1"/>
  <c r="D76" i="10"/>
  <c r="P75" i="10"/>
  <c r="O75" i="10"/>
  <c r="H75" i="10"/>
  <c r="X75" i="10" s="1"/>
  <c r="D75" i="10"/>
  <c r="X74" i="10"/>
  <c r="P74" i="10"/>
  <c r="O74" i="10"/>
  <c r="H74" i="10"/>
  <c r="AC74" i="10" s="1"/>
  <c r="D74" i="10"/>
  <c r="P73" i="10"/>
  <c r="O73" i="10"/>
  <c r="H73" i="10"/>
  <c r="I73" i="10" s="1" a="1"/>
  <c r="I73" i="10" s="1"/>
  <c r="D73" i="10"/>
  <c r="P72" i="10"/>
  <c r="O72" i="10"/>
  <c r="H72" i="10"/>
  <c r="AC72" i="10" s="1"/>
  <c r="D72" i="10"/>
  <c r="X71" i="10"/>
  <c r="P71" i="10"/>
  <c r="O71" i="10"/>
  <c r="H71" i="10"/>
  <c r="AC71" i="10" s="1"/>
  <c r="D71" i="10"/>
  <c r="P70" i="10"/>
  <c r="O70" i="10"/>
  <c r="H70" i="10"/>
  <c r="AC70" i="10" s="1"/>
  <c r="D70" i="10"/>
  <c r="P69" i="10"/>
  <c r="O69" i="10"/>
  <c r="H69" i="10"/>
  <c r="I69" i="10" s="1" a="1"/>
  <c r="I69" i="10" s="1"/>
  <c r="D69" i="10"/>
  <c r="AC68" i="10"/>
  <c r="P68" i="10"/>
  <c r="O68" i="10"/>
  <c r="H68" i="10"/>
  <c r="I68" i="10" s="1" a="1"/>
  <c r="I68" i="10" s="1"/>
  <c r="D68" i="10"/>
  <c r="P67" i="10"/>
  <c r="O67" i="10"/>
  <c r="H67" i="10"/>
  <c r="X67" i="10" s="1"/>
  <c r="D67" i="10"/>
  <c r="P66" i="10"/>
  <c r="O66" i="10"/>
  <c r="H66" i="10"/>
  <c r="AC66" i="10" s="1"/>
  <c r="D66" i="10"/>
  <c r="AC65" i="10"/>
  <c r="X65" i="10"/>
  <c r="P65" i="10"/>
  <c r="O65" i="10"/>
  <c r="H65" i="10"/>
  <c r="I65" i="10" s="1" a="1"/>
  <c r="I65" i="10" s="1"/>
  <c r="D65" i="10"/>
  <c r="P64" i="10"/>
  <c r="O64" i="10"/>
  <c r="H64" i="10"/>
  <c r="AC64" i="10" s="1"/>
  <c r="D64" i="10"/>
  <c r="X63" i="10"/>
  <c r="P63" i="10"/>
  <c r="O63" i="10"/>
  <c r="H63" i="10"/>
  <c r="AC63" i="10" s="1"/>
  <c r="D63" i="10"/>
  <c r="AC62" i="10"/>
  <c r="X62" i="10"/>
  <c r="P62" i="10"/>
  <c r="O62" i="10"/>
  <c r="H62" i="10"/>
  <c r="I62" i="10" s="1" a="1"/>
  <c r="I62" i="10" s="1"/>
  <c r="D62" i="10"/>
  <c r="P61" i="10"/>
  <c r="H61" i="10"/>
  <c r="AC61" i="10" s="1"/>
  <c r="D61" i="10"/>
  <c r="AC60" i="10"/>
  <c r="P60" i="10"/>
  <c r="H60" i="10"/>
  <c r="D60" i="10"/>
  <c r="H56" i="10" a="1"/>
  <c r="H56" i="10" s="1"/>
  <c r="F56" i="10"/>
  <c r="H55" i="10" a="1"/>
  <c r="H55" i="10" s="1"/>
  <c r="F55" i="10"/>
  <c r="H54" i="10" a="1"/>
  <c r="H54" i="10" s="1"/>
  <c r="F54" i="10"/>
  <c r="H53" i="10" a="1"/>
  <c r="H53" i="10" s="1"/>
  <c r="F53" i="10"/>
  <c r="H52" i="10" a="1"/>
  <c r="H52" i="10" s="1"/>
  <c r="F52" i="10"/>
  <c r="H51" i="10" a="1"/>
  <c r="H51" i="10" s="1"/>
  <c r="F51" i="10"/>
  <c r="H50" i="10" a="1"/>
  <c r="H50" i="10" s="1"/>
  <c r="F50" i="10"/>
  <c r="H49" i="10" a="1"/>
  <c r="H49" i="10" s="1"/>
  <c r="F49" i="10"/>
  <c r="H48" i="10" a="1"/>
  <c r="H48" i="10" s="1"/>
  <c r="F48" i="10"/>
  <c r="H47" i="10" a="1"/>
  <c r="H47" i="10" s="1"/>
  <c r="A17" i="10"/>
  <c r="C16" i="10"/>
  <c r="C7" i="10"/>
  <c r="O7" i="10" s="1"/>
  <c r="P6" i="10"/>
  <c r="B6" i="10"/>
  <c r="AK26" i="9"/>
  <c r="B1" i="2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34" i="2" a="1"/>
  <c r="H34" i="2" s="1"/>
  <c r="F35" i="2"/>
  <c r="F36" i="2"/>
  <c r="F37" i="2"/>
  <c r="F38" i="2"/>
  <c r="F39" i="2"/>
  <c r="F40" i="2"/>
  <c r="F41" i="2"/>
  <c r="F42" i="2"/>
  <c r="F43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47" i="2"/>
  <c r="D48" i="2"/>
  <c r="D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H50" i="2"/>
  <c r="I50" i="2" s="1" a="1"/>
  <c r="I50" i="2" s="1"/>
  <c r="H51" i="2"/>
  <c r="I51" i="2" s="1" a="1"/>
  <c r="I51" i="2" s="1"/>
  <c r="H52" i="2"/>
  <c r="I52" i="2" s="1" a="1"/>
  <c r="I52" i="2" s="1"/>
  <c r="H53" i="2"/>
  <c r="AF53" i="2" s="1"/>
  <c r="H54" i="2"/>
  <c r="I54" i="2" s="1" a="1"/>
  <c r="I54" i="2" s="1"/>
  <c r="H55" i="2"/>
  <c r="I55" i="2" s="1" a="1"/>
  <c r="I55" i="2" s="1"/>
  <c r="H56" i="2"/>
  <c r="L14" i="7" s="1"/>
  <c r="F14" i="7" s="1"/>
  <c r="H57" i="2"/>
  <c r="I57" i="2" s="1" a="1"/>
  <c r="I57" i="2" s="1"/>
  <c r="H58" i="2"/>
  <c r="L16" i="7" s="1"/>
  <c r="F16" i="7" s="1"/>
  <c r="H59" i="2"/>
  <c r="L17" i="7" s="1"/>
  <c r="F17" i="7" s="1"/>
  <c r="H60" i="2"/>
  <c r="I60" i="2" s="1" a="1"/>
  <c r="I60" i="2" s="1"/>
  <c r="H61" i="2"/>
  <c r="AF61" i="2" s="1"/>
  <c r="H62" i="2"/>
  <c r="L20" i="7" s="1"/>
  <c r="F20" i="7" s="1"/>
  <c r="H63" i="2"/>
  <c r="I63" i="2" s="1" a="1"/>
  <c r="I63" i="2" s="1"/>
  <c r="H64" i="2"/>
  <c r="I64" i="2" s="1" a="1"/>
  <c r="I64" i="2" s="1"/>
  <c r="H65" i="2"/>
  <c r="I65" i="2" s="1" a="1"/>
  <c r="I65" i="2" s="1"/>
  <c r="H66" i="2"/>
  <c r="I66" i="2" s="1" a="1"/>
  <c r="I66" i="2" s="1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50" i="2"/>
  <c r="D47" i="2"/>
  <c r="H67" i="2"/>
  <c r="AF67" i="2" s="1"/>
  <c r="G21" i="7"/>
  <c r="G22" i="7"/>
  <c r="G23" i="7"/>
  <c r="G24" i="7"/>
  <c r="F21" i="7"/>
  <c r="F22" i="7"/>
  <c r="F23" i="7"/>
  <c r="F24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L3" i="7"/>
  <c r="M5" i="7"/>
  <c r="O49" i="2"/>
  <c r="Y69" i="10" a="1"/>
  <c r="O48" i="2"/>
  <c r="AB51" i="2" a="1"/>
  <c r="Y78" i="10" a="1"/>
  <c r="Y68" i="10" a="1"/>
  <c r="Y63" i="10" a="1"/>
  <c r="F47" i="10" a="1"/>
  <c r="Y76" i="10" a="1"/>
  <c r="Y70" i="10" a="1"/>
  <c r="AB56" i="2" a="1"/>
  <c r="Y80" i="10" a="1"/>
  <c r="AB59" i="2" a="1"/>
  <c r="Y61" i="10" a="1"/>
  <c r="AB55" i="2" a="1"/>
  <c r="AB48" i="2" a="1"/>
  <c r="O47" i="2"/>
  <c r="Y64" i="10" a="1"/>
  <c r="AB64" i="2" a="1"/>
  <c r="AB62" i="2" a="1"/>
  <c r="AB65" i="2" a="1"/>
  <c r="O61" i="10"/>
  <c r="I60" i="10" a="1"/>
  <c r="AB50" i="2" a="1"/>
  <c r="Y75" i="10" a="1"/>
  <c r="Y73" i="10" a="1"/>
  <c r="Y74" i="10" a="1"/>
  <c r="AB53" i="2" a="1"/>
  <c r="Y72" i="10" a="1"/>
  <c r="Y67" i="10" a="1"/>
  <c r="Y71" i="10" a="1"/>
  <c r="Y66" i="10" a="1"/>
  <c r="O60" i="10"/>
  <c r="Y65" i="10" a="1"/>
  <c r="Y79" i="10" a="1"/>
  <c r="AB47" i="2" a="1"/>
  <c r="AB60" i="2" a="1"/>
  <c r="AB67" i="2" a="1"/>
  <c r="AB61" i="2" a="1"/>
  <c r="Y77" i="10" a="1"/>
  <c r="Y62" i="10" a="1"/>
  <c r="AB54" i="2" a="1"/>
  <c r="Y60" i="10" a="1"/>
  <c r="AB58" i="2" a="1"/>
  <c r="AB52" i="2" a="1"/>
  <c r="AB63" i="2" a="1"/>
  <c r="AB66" i="2" a="1"/>
  <c r="AB49" i="2" a="1"/>
  <c r="AB57" i="2" a="1"/>
  <c r="I78" i="10" l="1" a="1"/>
  <c r="I78" i="10" s="1"/>
  <c r="I66" i="10" a="1"/>
  <c r="I66" i="10" s="1"/>
  <c r="X69" i="10"/>
  <c r="X78" i="10"/>
  <c r="X66" i="10"/>
  <c r="I70" i="10" a="1"/>
  <c r="I70" i="10" s="1"/>
  <c r="I79" i="10" a="1"/>
  <c r="I79" i="10" s="1"/>
  <c r="X73" i="10"/>
  <c r="AC76" i="10"/>
  <c r="X61" i="10"/>
  <c r="X70" i="10"/>
  <c r="AC73" i="10"/>
  <c r="X79" i="10"/>
  <c r="I74" i="10" a="1"/>
  <c r="I74" i="10" s="1"/>
  <c r="X80" i="10"/>
  <c r="X77" i="10"/>
  <c r="I60" i="10"/>
  <c r="F47" i="10"/>
  <c r="Y65" i="10"/>
  <c r="Z65" i="10" s="1"/>
  <c r="AA65" i="10" s="1"/>
  <c r="Q65" i="10" s="1"/>
  <c r="Y67" i="10"/>
  <c r="Y75" i="10"/>
  <c r="Y64" i="10"/>
  <c r="Z64" i="10" s="1"/>
  <c r="AA64" i="10" s="1"/>
  <c r="Q64" i="10" s="1"/>
  <c r="Y61" i="10"/>
  <c r="Z61" i="10" s="1"/>
  <c r="AA61" i="10" s="1"/>
  <c r="Q61" i="10" s="1"/>
  <c r="Y69" i="10"/>
  <c r="Y77" i="10"/>
  <c r="Z77" i="10" s="1"/>
  <c r="AA77" i="10" s="1"/>
  <c r="Q77" i="10" s="1"/>
  <c r="Y72" i="10"/>
  <c r="Z72" i="10" s="1"/>
  <c r="AA72" i="10" s="1"/>
  <c r="Q72" i="10" s="1"/>
  <c r="Y66" i="10"/>
  <c r="Z66" i="10" s="1"/>
  <c r="AA66" i="10" s="1"/>
  <c r="Q66" i="10" s="1"/>
  <c r="Y74" i="10"/>
  <c r="Z74" i="10" s="1"/>
  <c r="AA74" i="10" s="1"/>
  <c r="Q74" i="10" s="1"/>
  <c r="Y80" i="10"/>
  <c r="Z80" i="10" s="1"/>
  <c r="AA80" i="10" s="1"/>
  <c r="Y63" i="10"/>
  <c r="Z63" i="10" s="1"/>
  <c r="AA63" i="10" s="1"/>
  <c r="Q63" i="10" s="1"/>
  <c r="Y71" i="10"/>
  <c r="Z71" i="10" s="1"/>
  <c r="AA71" i="10" s="1"/>
  <c r="Q71" i="10" s="1"/>
  <c r="Y79" i="10"/>
  <c r="Z79" i="10" s="1"/>
  <c r="AA79" i="10" s="1"/>
  <c r="Q79" i="10" s="1"/>
  <c r="Y60" i="10"/>
  <c r="Z60" i="10" s="1"/>
  <c r="AA60" i="10" s="1"/>
  <c r="Q60" i="10" s="1"/>
  <c r="Y68" i="10"/>
  <c r="Z68" i="10" s="1"/>
  <c r="AA68" i="10" s="1"/>
  <c r="Q68" i="10" s="1"/>
  <c r="Y76" i="10"/>
  <c r="Y73" i="10"/>
  <c r="Y62" i="10"/>
  <c r="Z62" i="10" s="1"/>
  <c r="AA62" i="10" s="1"/>
  <c r="Q62" i="10" s="1"/>
  <c r="Y70" i="10"/>
  <c r="Z70" i="10" s="1"/>
  <c r="AA70" i="10" s="1"/>
  <c r="Q70" i="10" s="1"/>
  <c r="Y78" i="10"/>
  <c r="Z78" i="10" s="1"/>
  <c r="AA78" i="10" s="1"/>
  <c r="Q78" i="10" s="1"/>
  <c r="I63" i="10" a="1"/>
  <c r="I63" i="10" s="1"/>
  <c r="AC69" i="10"/>
  <c r="I71" i="10" a="1"/>
  <c r="I71" i="10" s="1"/>
  <c r="X64" i="10"/>
  <c r="X72" i="10"/>
  <c r="I67" i="10" a="1"/>
  <c r="I67" i="10" s="1"/>
  <c r="I75" i="10" a="1"/>
  <c r="I75" i="10" s="1"/>
  <c r="I64" i="10" a="1"/>
  <c r="I64" i="10" s="1"/>
  <c r="I72" i="10" a="1"/>
  <c r="I72" i="10" s="1"/>
  <c r="X60" i="10"/>
  <c r="AC67" i="10"/>
  <c r="X68" i="10"/>
  <c r="AC75" i="10"/>
  <c r="X76" i="10"/>
  <c r="I77" i="10" a="1"/>
  <c r="I77" i="10" s="1"/>
  <c r="L11" i="7"/>
  <c r="F11" i="7" s="1"/>
  <c r="AF60" i="2"/>
  <c r="AF52" i="2"/>
  <c r="AA65" i="2"/>
  <c r="AA66" i="2"/>
  <c r="AA57" i="2"/>
  <c r="AA50" i="2"/>
  <c r="AA54" i="2"/>
  <c r="AA64" i="2"/>
  <c r="I53" i="2" a="1"/>
  <c r="I53" i="2" s="1"/>
  <c r="AA62" i="2"/>
  <c r="AA53" i="2"/>
  <c r="AA61" i="2"/>
  <c r="AF64" i="2"/>
  <c r="AA56" i="2"/>
  <c r="AF56" i="2"/>
  <c r="I61" i="2" a="1"/>
  <c r="I61" i="2" s="1"/>
  <c r="L19" i="7"/>
  <c r="F19" i="7" s="1"/>
  <c r="AA58" i="2"/>
  <c r="AF63" i="2"/>
  <c r="AF55" i="2"/>
  <c r="AA60" i="2"/>
  <c r="AA52" i="2"/>
  <c r="AF62" i="2"/>
  <c r="AF54" i="2"/>
  <c r="AA67" i="2"/>
  <c r="AA59" i="2"/>
  <c r="AA51" i="2"/>
  <c r="AF59" i="2"/>
  <c r="AF51" i="2"/>
  <c r="AF66" i="2"/>
  <c r="AF58" i="2"/>
  <c r="AF50" i="2"/>
  <c r="AA63" i="2"/>
  <c r="AA55" i="2"/>
  <c r="AF65" i="2"/>
  <c r="AF57" i="2"/>
  <c r="AB58" i="2"/>
  <c r="AB50" i="2"/>
  <c r="AB61" i="2"/>
  <c r="AC61" i="2" s="1"/>
  <c r="AD61" i="2" s="1"/>
  <c r="Q61" i="2" s="1"/>
  <c r="AB53" i="2"/>
  <c r="AC53" i="2" s="1"/>
  <c r="AD53" i="2" s="1"/>
  <c r="Q53" i="2" s="1"/>
  <c r="AB63" i="2"/>
  <c r="AB55" i="2"/>
  <c r="AB66" i="2"/>
  <c r="AB64" i="2"/>
  <c r="AB56" i="2"/>
  <c r="AB67" i="2"/>
  <c r="AC67" i="2" s="1"/>
  <c r="AD67" i="2" s="1"/>
  <c r="AB59" i="2"/>
  <c r="AB51" i="2"/>
  <c r="AB60" i="2"/>
  <c r="AB52" i="2"/>
  <c r="AB62" i="2"/>
  <c r="AB54" i="2"/>
  <c r="AB65" i="2"/>
  <c r="AB57" i="2"/>
  <c r="AB49" i="2"/>
  <c r="AB48" i="2"/>
  <c r="AB47" i="2"/>
  <c r="I62" i="2" a="1"/>
  <c r="I62" i="2" s="1"/>
  <c r="L10" i="7"/>
  <c r="F10" i="7" s="1"/>
  <c r="I59" i="2" a="1"/>
  <c r="I59" i="2" s="1"/>
  <c r="I56" i="2" a="1"/>
  <c r="I56" i="2" s="1"/>
  <c r="L9" i="7"/>
  <c r="F9" i="7" s="1"/>
  <c r="L15" i="7"/>
  <c r="F15" i="7" s="1"/>
  <c r="I58" i="2" a="1"/>
  <c r="I58" i="2" s="1"/>
  <c r="L8" i="7"/>
  <c r="F8" i="7" s="1"/>
  <c r="L18" i="7"/>
  <c r="F18" i="7" s="1"/>
  <c r="L13" i="7"/>
  <c r="F13" i="7" s="1"/>
  <c r="L12" i="7"/>
  <c r="F12" i="7" s="1"/>
  <c r="Q1" i="4"/>
  <c r="N1" i="4"/>
  <c r="C4" i="4"/>
  <c r="B1" i="4"/>
  <c r="N19" i="7"/>
  <c r="G19" i="7" s="1"/>
  <c r="N18" i="7"/>
  <c r="G18" i="7" s="1"/>
  <c r="N16" i="7"/>
  <c r="G16" i="7" s="1"/>
  <c r="N15" i="7"/>
  <c r="G15" i="7" s="1"/>
  <c r="N14" i="7"/>
  <c r="G14" i="7" s="1"/>
  <c r="N13" i="7"/>
  <c r="G13" i="7" s="1"/>
  <c r="N12" i="7"/>
  <c r="G12" i="7" s="1"/>
  <c r="N11" i="7"/>
  <c r="G11" i="7" s="1"/>
  <c r="N9" i="7"/>
  <c r="G9" i="7" s="1"/>
  <c r="N8" i="7"/>
  <c r="G8" i="7" s="1"/>
  <c r="N7" i="7"/>
  <c r="G7" i="7" s="1"/>
  <c r="N6" i="7"/>
  <c r="G6" i="7" s="1"/>
  <c r="N5" i="7"/>
  <c r="G5" i="7" s="1"/>
  <c r="I61" i="10" a="1"/>
  <c r="Z69" i="10" l="1"/>
  <c r="AA69" i="10" s="1"/>
  <c r="Q69" i="10" s="1"/>
  <c r="Z73" i="10"/>
  <c r="AA73" i="10" s="1"/>
  <c r="Q73" i="10" s="1"/>
  <c r="Z67" i="10"/>
  <c r="AA67" i="10" s="1"/>
  <c r="Q67" i="10" s="1"/>
  <c r="Z76" i="10"/>
  <c r="AA76" i="10" s="1"/>
  <c r="Q76" i="10" s="1"/>
  <c r="I61" i="10"/>
  <c r="Z75" i="10"/>
  <c r="AA75" i="10" s="1"/>
  <c r="Q75" i="10" s="1"/>
  <c r="AC52" i="2"/>
  <c r="AD52" i="2" s="1"/>
  <c r="Q52" i="2" s="1"/>
  <c r="AC60" i="2"/>
  <c r="AD60" i="2" s="1"/>
  <c r="Q60" i="2" s="1"/>
  <c r="AC64" i="2"/>
  <c r="AD64" i="2" s="1"/>
  <c r="Q64" i="2" s="1"/>
  <c r="AC65" i="2"/>
  <c r="AD65" i="2" s="1"/>
  <c r="Q65" i="2" s="1"/>
  <c r="AC63" i="2"/>
  <c r="AD63" i="2" s="1"/>
  <c r="Q63" i="2" s="1"/>
  <c r="AC51" i="2"/>
  <c r="AD51" i="2" s="1"/>
  <c r="Q51" i="2" s="1"/>
  <c r="AC66" i="2"/>
  <c r="AD66" i="2" s="1"/>
  <c r="Q66" i="2" s="1"/>
  <c r="AC56" i="2"/>
  <c r="AD56" i="2" s="1"/>
  <c r="Q56" i="2" s="1"/>
  <c r="AC59" i="2"/>
  <c r="AD59" i="2" s="1"/>
  <c r="Q59" i="2" s="1"/>
  <c r="AC57" i="2"/>
  <c r="AD57" i="2" s="1"/>
  <c r="Q57" i="2" s="1"/>
  <c r="AC50" i="2"/>
  <c r="AD50" i="2" s="1"/>
  <c r="Q50" i="2" s="1"/>
  <c r="AC58" i="2"/>
  <c r="AD58" i="2" s="1"/>
  <c r="Q58" i="2" s="1"/>
  <c r="AC54" i="2"/>
  <c r="AD54" i="2" s="1"/>
  <c r="Q54" i="2" s="1"/>
  <c r="AC62" i="2"/>
  <c r="AD62" i="2" s="1"/>
  <c r="Q62" i="2" s="1"/>
  <c r="AC55" i="2"/>
  <c r="AD55" i="2" s="1"/>
  <c r="Q55" i="2" s="1"/>
  <c r="N20" i="7"/>
  <c r="G20" i="7" s="1"/>
  <c r="N10" i="7"/>
  <c r="G10" i="7" s="1"/>
  <c r="N17" i="7"/>
  <c r="G17" i="7" s="1"/>
  <c r="AK37" i="6"/>
  <c r="O37" i="6"/>
  <c r="K37" i="6"/>
  <c r="J37" i="6"/>
  <c r="G37" i="6"/>
  <c r="D37" i="6" s="1"/>
  <c r="E37" i="6"/>
  <c r="A37" i="6"/>
  <c r="M37" i="6" s="1"/>
  <c r="U37" i="6" s="1"/>
  <c r="O36" i="6"/>
  <c r="K36" i="6"/>
  <c r="G36" i="6"/>
  <c r="E36" i="6" s="1"/>
  <c r="O35" i="6"/>
  <c r="K35" i="6"/>
  <c r="I35" i="6"/>
  <c r="G35" i="6"/>
  <c r="F35" i="6" s="1"/>
  <c r="E35" i="6"/>
  <c r="O34" i="6"/>
  <c r="K34" i="6"/>
  <c r="I34" i="6" s="1"/>
  <c r="G34" i="6"/>
  <c r="A34" i="6"/>
  <c r="O33" i="6"/>
  <c r="K33" i="6"/>
  <c r="J33" i="6" s="1"/>
  <c r="G33" i="6"/>
  <c r="A33" i="6"/>
  <c r="AM32" i="6"/>
  <c r="W32" i="6"/>
  <c r="AV32" i="6" s="1"/>
  <c r="O32" i="6"/>
  <c r="K32" i="6"/>
  <c r="G32" i="6"/>
  <c r="D32" i="6" s="1"/>
  <c r="E32" i="6"/>
  <c r="A32" i="6"/>
  <c r="M32" i="6" s="1"/>
  <c r="O31" i="6"/>
  <c r="K31" i="6"/>
  <c r="I31" i="6"/>
  <c r="G31" i="6"/>
  <c r="F31" i="6"/>
  <c r="AD30" i="6"/>
  <c r="AZ30" i="6" s="1"/>
  <c r="AA30" i="6"/>
  <c r="O30" i="6"/>
  <c r="K30" i="6"/>
  <c r="I30" i="6"/>
  <c r="G30" i="6"/>
  <c r="A30" i="6"/>
  <c r="M30" i="6" s="1"/>
  <c r="AI30" i="6" s="1"/>
  <c r="BB30" i="6" s="1"/>
  <c r="O29" i="6"/>
  <c r="K29" i="6"/>
  <c r="J29" i="6"/>
  <c r="I29" i="6"/>
  <c r="G29" i="6"/>
  <c r="D29" i="6" s="1"/>
  <c r="E29" i="6"/>
  <c r="A29" i="6"/>
  <c r="M29" i="6" s="1"/>
  <c r="O28" i="6"/>
  <c r="K28" i="6"/>
  <c r="G28" i="6"/>
  <c r="O27" i="6"/>
  <c r="K27" i="6"/>
  <c r="G27" i="6"/>
  <c r="O26" i="6"/>
  <c r="K26" i="6"/>
  <c r="G26" i="6"/>
  <c r="A26" i="6"/>
  <c r="O25" i="6"/>
  <c r="K25" i="6"/>
  <c r="I25" i="6" s="1"/>
  <c r="G25" i="6"/>
  <c r="A25" i="6"/>
  <c r="AM24" i="6"/>
  <c r="AJ24" i="6"/>
  <c r="BC24" i="6" s="1"/>
  <c r="AE24" i="6"/>
  <c r="Z24" i="6"/>
  <c r="W24" i="6"/>
  <c r="AV24" i="6" s="1"/>
  <c r="P24" i="6"/>
  <c r="O24" i="6"/>
  <c r="M24" i="6"/>
  <c r="K24" i="6"/>
  <c r="J24" i="6"/>
  <c r="G24" i="6"/>
  <c r="E24" i="6"/>
  <c r="D24" i="6"/>
  <c r="A24" i="6"/>
  <c r="AR23" i="6"/>
  <c r="Z23" i="6"/>
  <c r="O23" i="6"/>
  <c r="M23" i="6"/>
  <c r="AD23" i="6" s="1"/>
  <c r="AZ23" i="6" s="1"/>
  <c r="K23" i="6"/>
  <c r="D23" i="6" s="1"/>
  <c r="I23" i="6"/>
  <c r="G23" i="6"/>
  <c r="A23" i="6"/>
  <c r="O22" i="6"/>
  <c r="K22" i="6"/>
  <c r="G22" i="6"/>
  <c r="A22" i="6"/>
  <c r="O21" i="6"/>
  <c r="K21" i="6"/>
  <c r="F21" i="6" s="1"/>
  <c r="H21" i="6"/>
  <c r="N21" i="6" s="1"/>
  <c r="G21" i="6"/>
  <c r="E21" i="6"/>
  <c r="O20" i="6"/>
  <c r="K20" i="6"/>
  <c r="G20" i="6"/>
  <c r="I20" i="6" s="1"/>
  <c r="O19" i="6"/>
  <c r="M19" i="6"/>
  <c r="X19" i="6" s="1"/>
  <c r="AW19" i="6" s="1"/>
  <c r="K19" i="6"/>
  <c r="G19" i="6"/>
  <c r="J19" i="6" s="1"/>
  <c r="D19" i="6"/>
  <c r="BA18" i="6"/>
  <c r="AY18" i="6"/>
  <c r="AV18" i="6"/>
  <c r="AR18" i="6"/>
  <c r="AO18" i="6"/>
  <c r="BE18" i="6" s="1"/>
  <c r="AN18" i="6"/>
  <c r="BD18" i="6" s="1"/>
  <c r="AM18" i="6"/>
  <c r="AK18" i="6" s="1"/>
  <c r="AL18" i="6"/>
  <c r="AJ18" i="6"/>
  <c r="BC18" i="6" s="1"/>
  <c r="AI18" i="6"/>
  <c r="BB18" i="6" s="1"/>
  <c r="AH18" i="6"/>
  <c r="AG18" i="6"/>
  <c r="AF18" i="6"/>
  <c r="AE18" i="6"/>
  <c r="AD18" i="6"/>
  <c r="AZ18" i="6" s="1"/>
  <c r="AC18" i="6"/>
  <c r="AB18" i="6"/>
  <c r="AX18" i="6" s="1"/>
  <c r="AA18" i="6"/>
  <c r="Z18" i="6"/>
  <c r="Y18" i="6"/>
  <c r="X18" i="6"/>
  <c r="AW18" i="6" s="1"/>
  <c r="W18" i="6"/>
  <c r="V18" i="6"/>
  <c r="AU18" i="6" s="1"/>
  <c r="U18" i="6"/>
  <c r="T18" i="6"/>
  <c r="S18" i="6"/>
  <c r="Q18" i="6"/>
  <c r="AS18" i="6" s="1"/>
  <c r="P18" i="6"/>
  <c r="O18" i="6"/>
  <c r="K18" i="6"/>
  <c r="I18" i="6"/>
  <c r="G18" i="6"/>
  <c r="F18" i="6"/>
  <c r="D18" i="6"/>
  <c r="AM17" i="6"/>
  <c r="AB17" i="6"/>
  <c r="O17" i="6"/>
  <c r="K17" i="6"/>
  <c r="M17" i="6" s="1"/>
  <c r="I17" i="6"/>
  <c r="G17" i="6"/>
  <c r="F17" i="6"/>
  <c r="E17" i="6"/>
  <c r="D17" i="6"/>
  <c r="O16" i="6"/>
  <c r="K16" i="6"/>
  <c r="H16" i="6"/>
  <c r="G16" i="6"/>
  <c r="E16" i="6" s="1"/>
  <c r="F16" i="6"/>
  <c r="O15" i="6"/>
  <c r="K15" i="6"/>
  <c r="G15" i="6"/>
  <c r="E15" i="6" s="1"/>
  <c r="D15" i="6"/>
  <c r="O14" i="6"/>
  <c r="K14" i="6"/>
  <c r="J14" i="6"/>
  <c r="G14" i="6"/>
  <c r="I14" i="6" s="1"/>
  <c r="F14" i="6"/>
  <c r="E14" i="6"/>
  <c r="D14" i="6"/>
  <c r="O13" i="6"/>
  <c r="K13" i="6"/>
  <c r="I13" i="6"/>
  <c r="G13" i="6"/>
  <c r="J13" i="6" s="1"/>
  <c r="E13" i="6"/>
  <c r="O12" i="6"/>
  <c r="K12" i="6"/>
  <c r="G12" i="6"/>
  <c r="O11" i="6"/>
  <c r="K11" i="6"/>
  <c r="H11" i="6" s="1"/>
  <c r="I11" i="6"/>
  <c r="G11" i="6"/>
  <c r="O10" i="6"/>
  <c r="K10" i="6"/>
  <c r="M10" i="6" s="1"/>
  <c r="J10" i="6"/>
  <c r="I10" i="6"/>
  <c r="H10" i="6"/>
  <c r="G10" i="6"/>
  <c r="D10" i="6"/>
  <c r="BE9" i="6"/>
  <c r="BC9" i="6"/>
  <c r="BB9" i="6"/>
  <c r="AZ9" i="6"/>
  <c r="AX9" i="6"/>
  <c r="AV9" i="6"/>
  <c r="AR9" i="6"/>
  <c r="AO9" i="6"/>
  <c r="AN9" i="6"/>
  <c r="BD9" i="6" s="1"/>
  <c r="AM9" i="6"/>
  <c r="AL9" i="6"/>
  <c r="AK9" i="6"/>
  <c r="AJ9" i="6"/>
  <c r="AI9" i="6"/>
  <c r="AH9" i="6"/>
  <c r="BA9" i="6" s="1"/>
  <c r="AG9" i="6"/>
  <c r="AF9" i="6"/>
  <c r="AE9" i="6"/>
  <c r="AD9" i="6"/>
  <c r="AC9" i="6"/>
  <c r="AY9" i="6" s="1"/>
  <c r="AB9" i="6"/>
  <c r="AA9" i="6"/>
  <c r="Z9" i="6"/>
  <c r="Y9" i="6"/>
  <c r="X9" i="6"/>
  <c r="AW9" i="6" s="1"/>
  <c r="W9" i="6"/>
  <c r="V9" i="6"/>
  <c r="AU9" i="6" s="1"/>
  <c r="U9" i="6"/>
  <c r="T9" i="6"/>
  <c r="S9" i="6"/>
  <c r="R9" i="6"/>
  <c r="AT9" i="6" s="1"/>
  <c r="Q9" i="6"/>
  <c r="AS9" i="6" s="1"/>
  <c r="P9" i="6"/>
  <c r="O9" i="6"/>
  <c r="K9" i="6"/>
  <c r="J9" i="6" s="1"/>
  <c r="G9" i="6"/>
  <c r="I9" i="6" s="1"/>
  <c r="F9" i="6"/>
  <c r="E9" i="6"/>
  <c r="BE8" i="6"/>
  <c r="BD8" i="6"/>
  <c r="BB8" i="6"/>
  <c r="AY8" i="6"/>
  <c r="AX8" i="6"/>
  <c r="AW8" i="6"/>
  <c r="AR8" i="6"/>
  <c r="AO8" i="6"/>
  <c r="AN8" i="6"/>
  <c r="AM8" i="6"/>
  <c r="AL8" i="6"/>
  <c r="AK8" i="6"/>
  <c r="AJ8" i="6"/>
  <c r="BC8" i="6" s="1"/>
  <c r="AI8" i="6"/>
  <c r="AH8" i="6"/>
  <c r="BA8" i="6" s="1"/>
  <c r="AG8" i="6"/>
  <c r="AF8" i="6"/>
  <c r="AE8" i="6"/>
  <c r="AD8" i="6"/>
  <c r="AZ8" i="6" s="1"/>
  <c r="AC8" i="6"/>
  <c r="AB8" i="6"/>
  <c r="AA8" i="6"/>
  <c r="Z8" i="6"/>
  <c r="Y8" i="6"/>
  <c r="X8" i="6"/>
  <c r="W8" i="6"/>
  <c r="AV8" i="6" s="1"/>
  <c r="V8" i="6"/>
  <c r="AU8" i="6" s="1"/>
  <c r="U8" i="6"/>
  <c r="T8" i="6"/>
  <c r="S8" i="6"/>
  <c r="R8" i="6"/>
  <c r="AT8" i="6" s="1"/>
  <c r="Q8" i="6"/>
  <c r="AS8" i="6" s="1"/>
  <c r="O8" i="6"/>
  <c r="P8" i="6" s="1"/>
  <c r="K8" i="6"/>
  <c r="G8" i="6"/>
  <c r="I8" i="6" s="1"/>
  <c r="D8" i="6"/>
  <c r="BB7" i="6"/>
  <c r="AZ7" i="6"/>
  <c r="AY7" i="6"/>
  <c r="AV7" i="6"/>
  <c r="AR7" i="6"/>
  <c r="AO7" i="6"/>
  <c r="BE7" i="6" s="1"/>
  <c r="AM7" i="6"/>
  <c r="AL7" i="6"/>
  <c r="AK7" i="6"/>
  <c r="AJ7" i="6"/>
  <c r="BC7" i="6" s="1"/>
  <c r="AI7" i="6"/>
  <c r="AH7" i="6"/>
  <c r="BA7" i="6" s="1"/>
  <c r="AG7" i="6"/>
  <c r="AF7" i="6"/>
  <c r="AE7" i="6"/>
  <c r="AD7" i="6"/>
  <c r="AC7" i="6"/>
  <c r="AB7" i="6"/>
  <c r="AX7" i="6" s="1"/>
  <c r="AA7" i="6"/>
  <c r="Z7" i="6"/>
  <c r="Y7" i="6"/>
  <c r="X7" i="6"/>
  <c r="AW7" i="6" s="1"/>
  <c r="W7" i="6"/>
  <c r="V7" i="6"/>
  <c r="AU7" i="6" s="1"/>
  <c r="T7" i="6"/>
  <c r="S7" i="6"/>
  <c r="U7" i="6" s="1"/>
  <c r="Q7" i="6"/>
  <c r="P7" i="6"/>
  <c r="O7" i="6"/>
  <c r="K7" i="6"/>
  <c r="G7" i="6"/>
  <c r="O6" i="6"/>
  <c r="K6" i="6"/>
  <c r="G6" i="6"/>
  <c r="E6" i="6" s="1"/>
  <c r="B22" i="5"/>
  <c r="B23" i="5" s="1"/>
  <c r="B25" i="5" s="1"/>
  <c r="B26" i="5" s="1"/>
  <c r="B29" i="5" s="1"/>
  <c r="B28" i="5" s="1"/>
  <c r="B11" i="5"/>
  <c r="B12" i="5" s="1"/>
  <c r="B13" i="5" s="1"/>
  <c r="B17" i="5" s="1"/>
  <c r="B16" i="5" s="1"/>
  <c r="AD46" i="4"/>
  <c r="Z32" i="4"/>
  <c r="Z31" i="4"/>
  <c r="Z30" i="4"/>
  <c r="Z29" i="4"/>
  <c r="P27" i="4"/>
  <c r="Q22" i="4"/>
  <c r="P22" i="4"/>
  <c r="H22" i="4"/>
  <c r="Q21" i="4"/>
  <c r="P21" i="4"/>
  <c r="H21" i="4"/>
  <c r="Q20" i="4"/>
  <c r="P20" i="4"/>
  <c r="H20" i="4"/>
  <c r="Q19" i="4"/>
  <c r="P19" i="4"/>
  <c r="H19" i="4"/>
  <c r="Q18" i="4"/>
  <c r="P18" i="4"/>
  <c r="H18" i="4"/>
  <c r="Q17" i="4"/>
  <c r="P17" i="4"/>
  <c r="H17" i="4"/>
  <c r="Q16" i="4"/>
  <c r="P16" i="4"/>
  <c r="H16" i="4"/>
  <c r="Q15" i="4"/>
  <c r="P15" i="4"/>
  <c r="H15" i="4"/>
  <c r="Q14" i="4"/>
  <c r="P14" i="4"/>
  <c r="H14" i="4"/>
  <c r="Q13" i="4"/>
  <c r="P13" i="4"/>
  <c r="H13" i="4"/>
  <c r="Q12" i="4"/>
  <c r="P12" i="4"/>
  <c r="H12" i="4"/>
  <c r="Q11" i="4"/>
  <c r="P11" i="4"/>
  <c r="H11" i="4"/>
  <c r="H5" i="4"/>
  <c r="N5" i="3"/>
  <c r="N7" i="3" s="1"/>
  <c r="I3" i="2"/>
  <c r="C3" i="2"/>
  <c r="H49" i="2" s="1"/>
  <c r="T1" i="2"/>
  <c r="P1" i="2"/>
  <c r="S18" i="1" a="1"/>
  <c r="AB11" i="4"/>
  <c r="S22" i="1" a="1"/>
  <c r="I49" i="2" a="1"/>
  <c r="AA11" i="4"/>
  <c r="F34" i="2" a="1"/>
  <c r="I49" i="2" l="1"/>
  <c r="AA49" i="2"/>
  <c r="L7" i="7"/>
  <c r="F7" i="7" s="1"/>
  <c r="AF49" i="2"/>
  <c r="AC49" i="2" s="1"/>
  <c r="AD49" i="2" s="1"/>
  <c r="Q49" i="2" s="1"/>
  <c r="F34" i="2"/>
  <c r="H47" i="2"/>
  <c r="H48" i="2"/>
  <c r="P16" i="3"/>
  <c r="J53" i="3"/>
  <c r="P18" i="3"/>
  <c r="J51" i="3"/>
  <c r="P12" i="3"/>
  <c r="P20" i="3"/>
  <c r="J45" i="3"/>
  <c r="P13" i="3"/>
  <c r="J24" i="3"/>
  <c r="P14" i="3"/>
  <c r="J29" i="3"/>
  <c r="J32" i="3"/>
  <c r="J40" i="3"/>
  <c r="J49" i="3"/>
  <c r="P11" i="3"/>
  <c r="P9" i="3"/>
  <c r="AL10" i="6"/>
  <c r="AD10" i="6"/>
  <c r="AZ10" i="6" s="1"/>
  <c r="V10" i="6"/>
  <c r="AU10" i="6" s="1"/>
  <c r="AF10" i="6"/>
  <c r="X10" i="6"/>
  <c r="AW10" i="6" s="1"/>
  <c r="P10" i="6"/>
  <c r="AI10" i="6"/>
  <c r="BB10" i="6" s="1"/>
  <c r="Y10" i="6"/>
  <c r="AA10" i="6" s="1"/>
  <c r="AH10" i="6"/>
  <c r="BA10" i="6" s="1"/>
  <c r="W10" i="6"/>
  <c r="AV10" i="6" s="1"/>
  <c r="AG10" i="6"/>
  <c r="U10" i="6"/>
  <c r="AR10" i="6"/>
  <c r="AE10" i="6"/>
  <c r="T10" i="6"/>
  <c r="AM10" i="6"/>
  <c r="AB10" i="6"/>
  <c r="AX10" i="6" s="1"/>
  <c r="Z10" i="6"/>
  <c r="AK10" i="6"/>
  <c r="Q10" i="6"/>
  <c r="AS10" i="6" s="1"/>
  <c r="AJ10" i="6"/>
  <c r="BC10" i="6" s="1"/>
  <c r="S10" i="6"/>
  <c r="AC10" i="6"/>
  <c r="AY10" i="6" s="1"/>
  <c r="D22" i="6"/>
  <c r="E22" i="6"/>
  <c r="I22" i="6"/>
  <c r="F22" i="6"/>
  <c r="R7" i="6"/>
  <c r="AT7" i="6" s="1"/>
  <c r="AS7" i="6"/>
  <c r="AO17" i="6"/>
  <c r="AN17" i="6" s="1"/>
  <c r="AG17" i="6"/>
  <c r="Y17" i="6"/>
  <c r="Q17" i="6"/>
  <c r="R17" i="6" s="1"/>
  <c r="AF17" i="6"/>
  <c r="X17" i="6"/>
  <c r="P17" i="6"/>
  <c r="AI17" i="6"/>
  <c r="AA17" i="6"/>
  <c r="S17" i="6"/>
  <c r="AH17" i="6"/>
  <c r="U17" i="6"/>
  <c r="AE17" i="6"/>
  <c r="T17" i="6"/>
  <c r="AD17" i="6"/>
  <c r="AC17" i="6"/>
  <c r="AL17" i="6"/>
  <c r="Z17" i="6"/>
  <c r="V17" i="6"/>
  <c r="AK17" i="6"/>
  <c r="W17" i="6"/>
  <c r="AJ17" i="6"/>
  <c r="F6" i="6"/>
  <c r="H6" i="6"/>
  <c r="J6" i="6"/>
  <c r="D6" i="6"/>
  <c r="I6" i="6"/>
  <c r="M6" i="6"/>
  <c r="F12" i="6"/>
  <c r="E12" i="6"/>
  <c r="D12" i="6"/>
  <c r="M12" i="6"/>
  <c r="J12" i="6"/>
  <c r="H12" i="6"/>
  <c r="AR19" i="6"/>
  <c r="AH19" i="6"/>
  <c r="BA19" i="6" s="1"/>
  <c r="Z19" i="6"/>
  <c r="AO19" i="6"/>
  <c r="BE19" i="6" s="1"/>
  <c r="AG19" i="6"/>
  <c r="Y19" i="6"/>
  <c r="Q19" i="6"/>
  <c r="AS19" i="6" s="1"/>
  <c r="AJ19" i="6"/>
  <c r="BC19" i="6" s="1"/>
  <c r="AB19" i="6"/>
  <c r="AX19" i="6" s="1"/>
  <c r="T19" i="6"/>
  <c r="AE19" i="6"/>
  <c r="S19" i="6"/>
  <c r="AD19" i="6"/>
  <c r="AZ19" i="6" s="1"/>
  <c r="P19" i="6"/>
  <c r="AN19" i="6"/>
  <c r="BD19" i="6" s="1"/>
  <c r="AC19" i="6"/>
  <c r="AY19" i="6" s="1"/>
  <c r="AM19" i="6"/>
  <c r="AA19" i="6"/>
  <c r="AK19" i="6"/>
  <c r="W19" i="6"/>
  <c r="AV19" i="6" s="1"/>
  <c r="AF19" i="6"/>
  <c r="AI19" i="6"/>
  <c r="BB19" i="6" s="1"/>
  <c r="V19" i="6"/>
  <c r="AU19" i="6" s="1"/>
  <c r="U19" i="6"/>
  <c r="E7" i="6"/>
  <c r="J7" i="6"/>
  <c r="I7" i="6"/>
  <c r="F7" i="6"/>
  <c r="D7" i="6"/>
  <c r="H7" i="6"/>
  <c r="N7" i="6" s="1"/>
  <c r="AL19" i="6"/>
  <c r="AO10" i="6"/>
  <c r="BE10" i="6" s="1"/>
  <c r="F11" i="6"/>
  <c r="N11" i="6" s="1"/>
  <c r="AJ23" i="6"/>
  <c r="BC23" i="6" s="1"/>
  <c r="E26" i="6"/>
  <c r="I26" i="6"/>
  <c r="H27" i="6"/>
  <c r="D27" i="6"/>
  <c r="J27" i="6"/>
  <c r="F27" i="6"/>
  <c r="E27" i="6"/>
  <c r="A27" i="6"/>
  <c r="M27" i="6" s="1"/>
  <c r="I27" i="6"/>
  <c r="F28" i="6"/>
  <c r="J28" i="6"/>
  <c r="I28" i="6"/>
  <c r="H28" i="6"/>
  <c r="N28" i="6" s="1"/>
  <c r="A28" i="6"/>
  <c r="M28" i="6" s="1"/>
  <c r="E28" i="6"/>
  <c r="AM29" i="6"/>
  <c r="AE29" i="6"/>
  <c r="W29" i="6"/>
  <c r="AV29" i="6" s="1"/>
  <c r="AI29" i="6"/>
  <c r="BB29" i="6" s="1"/>
  <c r="AA29" i="6"/>
  <c r="Q29" i="6"/>
  <c r="AR29" i="6"/>
  <c r="AH29" i="6"/>
  <c r="BA29" i="6" s="1"/>
  <c r="Z29" i="6"/>
  <c r="P29" i="6"/>
  <c r="AO29" i="6"/>
  <c r="AG29" i="6"/>
  <c r="Y29" i="6"/>
  <c r="AC29" i="6"/>
  <c r="AY29" i="6" s="1"/>
  <c r="AB29" i="6"/>
  <c r="AX29" i="6" s="1"/>
  <c r="X29" i="6"/>
  <c r="AW29" i="6" s="1"/>
  <c r="AL29" i="6"/>
  <c r="V29" i="6"/>
  <c r="AU29" i="6" s="1"/>
  <c r="AK29" i="6"/>
  <c r="U29" i="6"/>
  <c r="AF29" i="6"/>
  <c r="AN7" i="6"/>
  <c r="BD7" i="6" s="1"/>
  <c r="H8" i="6"/>
  <c r="F10" i="6"/>
  <c r="N10" i="6" s="1"/>
  <c r="J11" i="6"/>
  <c r="M11" i="6"/>
  <c r="D11" i="6"/>
  <c r="M15" i="6"/>
  <c r="M16" i="6"/>
  <c r="H22" i="6"/>
  <c r="V23" i="6"/>
  <c r="AU23" i="6" s="1"/>
  <c r="AL23" i="6"/>
  <c r="AD29" i="6"/>
  <c r="AZ29" i="6" s="1"/>
  <c r="I12" i="6"/>
  <c r="I19" i="6"/>
  <c r="H19" i="6"/>
  <c r="F20" i="6"/>
  <c r="E20" i="6"/>
  <c r="H20" i="6"/>
  <c r="J8" i="6"/>
  <c r="D9" i="6"/>
  <c r="E10" i="6"/>
  <c r="M14" i="6"/>
  <c r="D16" i="6"/>
  <c r="J20" i="6"/>
  <c r="J21" i="6"/>
  <c r="I21" i="6"/>
  <c r="D21" i="6"/>
  <c r="F23" i="6"/>
  <c r="E23" i="6"/>
  <c r="J23" i="6"/>
  <c r="H23" i="6"/>
  <c r="W23" i="6"/>
  <c r="AV23" i="6" s="1"/>
  <c r="AM23" i="6"/>
  <c r="M25" i="6"/>
  <c r="AJ29" i="6"/>
  <c r="BC29" i="6" s="1"/>
  <c r="M20" i="6"/>
  <c r="AB23" i="6"/>
  <c r="AX23" i="6" s="1"/>
  <c r="E25" i="6"/>
  <c r="J25" i="6"/>
  <c r="E8" i="6"/>
  <c r="F15" i="6"/>
  <c r="H15" i="6"/>
  <c r="N15" i="6" s="1"/>
  <c r="N16" i="6"/>
  <c r="AO23" i="6"/>
  <c r="AG23" i="6"/>
  <c r="Y23" i="6"/>
  <c r="AF23" i="6"/>
  <c r="X23" i="6"/>
  <c r="AW23" i="6" s="1"/>
  <c r="AK23" i="6"/>
  <c r="AC23" i="6"/>
  <c r="AY23" i="6" s="1"/>
  <c r="U23" i="6"/>
  <c r="AI23" i="6"/>
  <c r="BB23" i="6" s="1"/>
  <c r="AA23" i="6"/>
  <c r="Q23" i="6"/>
  <c r="H9" i="6"/>
  <c r="N9" i="6" s="1"/>
  <c r="M13" i="6"/>
  <c r="D13" i="6"/>
  <c r="F13" i="6"/>
  <c r="I15" i="6"/>
  <c r="I16" i="6"/>
  <c r="J18" i="6"/>
  <c r="E18" i="6"/>
  <c r="R18" i="6"/>
  <c r="AT18" i="6" s="1"/>
  <c r="E19" i="6"/>
  <c r="M22" i="6"/>
  <c r="AE23" i="6"/>
  <c r="F8" i="6"/>
  <c r="E11" i="6"/>
  <c r="H13" i="6"/>
  <c r="H14" i="6"/>
  <c r="N14" i="6" s="1"/>
  <c r="J15" i="6"/>
  <c r="J16" i="6"/>
  <c r="H17" i="6"/>
  <c r="N17" i="6" s="1"/>
  <c r="H18" i="6"/>
  <c r="N18" i="6" s="1"/>
  <c r="F19" i="6"/>
  <c r="D20" i="6"/>
  <c r="A21" i="6"/>
  <c r="M21" i="6" s="1"/>
  <c r="P23" i="6"/>
  <c r="AH23" i="6"/>
  <c r="BA23" i="6" s="1"/>
  <c r="AO24" i="6"/>
  <c r="AG24" i="6"/>
  <c r="Y24" i="6"/>
  <c r="AK24" i="6"/>
  <c r="AC24" i="6"/>
  <c r="AY24" i="6" s="1"/>
  <c r="U24" i="6"/>
  <c r="AI24" i="6"/>
  <c r="BB24" i="6" s="1"/>
  <c r="AA24" i="6"/>
  <c r="Q24" i="6"/>
  <c r="AH24" i="6"/>
  <c r="BA24" i="6" s="1"/>
  <c r="V24" i="6"/>
  <c r="AU24" i="6" s="1"/>
  <c r="AF24" i="6"/>
  <c r="AR24" i="6"/>
  <c r="AD24" i="6"/>
  <c r="AZ24" i="6" s="1"/>
  <c r="AB24" i="6"/>
  <c r="AX24" i="6" s="1"/>
  <c r="AL24" i="6"/>
  <c r="X24" i="6"/>
  <c r="AW24" i="6" s="1"/>
  <c r="H26" i="6"/>
  <c r="D28" i="6"/>
  <c r="AO32" i="6"/>
  <c r="AG32" i="6"/>
  <c r="Y32" i="6"/>
  <c r="AK32" i="6"/>
  <c r="AC32" i="6"/>
  <c r="AY32" i="6" s="1"/>
  <c r="U32" i="6"/>
  <c r="AJ32" i="6"/>
  <c r="BC32" i="6" s="1"/>
  <c r="AB32" i="6"/>
  <c r="AX32" i="6" s="1"/>
  <c r="AI32" i="6"/>
  <c r="BB32" i="6" s="1"/>
  <c r="AA32" i="6"/>
  <c r="Q32" i="6"/>
  <c r="AF32" i="6"/>
  <c r="AE32" i="6"/>
  <c r="AD32" i="6"/>
  <c r="AZ32" i="6" s="1"/>
  <c r="AR32" i="6"/>
  <c r="Z32" i="6"/>
  <c r="X32" i="6"/>
  <c r="AW32" i="6" s="1"/>
  <c r="AL32" i="6"/>
  <c r="V32" i="6"/>
  <c r="AU32" i="6" s="1"/>
  <c r="AH32" i="6"/>
  <c r="BA32" i="6" s="1"/>
  <c r="P32" i="6"/>
  <c r="H34" i="6"/>
  <c r="J17" i="6"/>
  <c r="J22" i="6"/>
  <c r="AB30" i="6"/>
  <c r="AX30" i="6" s="1"/>
  <c r="H31" i="6"/>
  <c r="N31" i="6" s="1"/>
  <c r="D31" i="6"/>
  <c r="A31" i="6"/>
  <c r="M31" i="6" s="1"/>
  <c r="J31" i="6"/>
  <c r="A36" i="6"/>
  <c r="M36" i="6" s="1"/>
  <c r="AL37" i="6"/>
  <c r="H35" i="6"/>
  <c r="N35" i="6" s="1"/>
  <c r="D35" i="6"/>
  <c r="A35" i="6"/>
  <c r="M35" i="6" s="1"/>
  <c r="J35" i="6"/>
  <c r="D36" i="6"/>
  <c r="P30" i="6"/>
  <c r="AH30" i="6"/>
  <c r="BA30" i="6" s="1"/>
  <c r="F32" i="6"/>
  <c r="J32" i="6"/>
  <c r="I32" i="6"/>
  <c r="H32" i="6"/>
  <c r="N32" i="6" s="1"/>
  <c r="M33" i="6"/>
  <c r="AM37" i="6"/>
  <c r="AE37" i="6"/>
  <c r="W37" i="6"/>
  <c r="AV37" i="6" s="1"/>
  <c r="AJ37" i="6"/>
  <c r="BC37" i="6" s="1"/>
  <c r="AB37" i="6"/>
  <c r="AX37" i="6" s="1"/>
  <c r="AI37" i="6"/>
  <c r="BB37" i="6" s="1"/>
  <c r="AA37" i="6"/>
  <c r="Q37" i="6"/>
  <c r="AR37" i="6"/>
  <c r="AH37" i="6"/>
  <c r="BA37" i="6" s="1"/>
  <c r="Z37" i="6"/>
  <c r="P37" i="6"/>
  <c r="AO37" i="6"/>
  <c r="AG37" i="6"/>
  <c r="Y37" i="6"/>
  <c r="V37" i="6"/>
  <c r="AU37" i="6" s="1"/>
  <c r="Q30" i="6"/>
  <c r="E33" i="6"/>
  <c r="F36" i="6"/>
  <c r="J36" i="6"/>
  <c r="I36" i="6"/>
  <c r="H36" i="6"/>
  <c r="N36" i="6" s="1"/>
  <c r="X37" i="6"/>
  <c r="AW37" i="6" s="1"/>
  <c r="M26" i="6"/>
  <c r="AK30" i="6"/>
  <c r="AC30" i="6"/>
  <c r="AY30" i="6" s="1"/>
  <c r="U30" i="6"/>
  <c r="AO30" i="6"/>
  <c r="AG30" i="6"/>
  <c r="Y30" i="6"/>
  <c r="AF30" i="6"/>
  <c r="X30" i="6"/>
  <c r="AW30" i="6" s="1"/>
  <c r="AM30" i="6"/>
  <c r="AE30" i="6"/>
  <c r="W30" i="6"/>
  <c r="AV30" i="6" s="1"/>
  <c r="AJ30" i="6"/>
  <c r="BC30" i="6" s="1"/>
  <c r="D33" i="6"/>
  <c r="AC37" i="6"/>
  <c r="AY37" i="6" s="1"/>
  <c r="F24" i="6"/>
  <c r="H24" i="6"/>
  <c r="J30" i="6"/>
  <c r="F30" i="6"/>
  <c r="E30" i="6"/>
  <c r="D30" i="6"/>
  <c r="V30" i="6"/>
  <c r="AU30" i="6" s="1"/>
  <c r="AL30" i="6"/>
  <c r="I33" i="6"/>
  <c r="M34" i="6"/>
  <c r="AD37" i="6"/>
  <c r="AZ37" i="6" s="1"/>
  <c r="I24" i="6"/>
  <c r="D25" i="6"/>
  <c r="H25" i="6"/>
  <c r="F25" i="6"/>
  <c r="J26" i="6"/>
  <c r="F26" i="6"/>
  <c r="D26" i="6"/>
  <c r="H30" i="6"/>
  <c r="Z30" i="6"/>
  <c r="AR30" i="6"/>
  <c r="E31" i="6"/>
  <c r="J34" i="6"/>
  <c r="F34" i="6"/>
  <c r="E34" i="6"/>
  <c r="D34" i="6"/>
  <c r="I37" i="6"/>
  <c r="H37" i="6"/>
  <c r="AF37" i="6"/>
  <c r="F29" i="6"/>
  <c r="F33" i="6"/>
  <c r="F37" i="6"/>
  <c r="H29" i="6"/>
  <c r="N29" i="6" s="1"/>
  <c r="H33" i="6"/>
  <c r="AE45" i="4"/>
  <c r="P21" i="3"/>
  <c r="P10" i="3"/>
  <c r="P15" i="3"/>
  <c r="P17" i="3"/>
  <c r="P19" i="3"/>
  <c r="J37" i="3"/>
  <c r="J16" i="3"/>
  <c r="J18" i="3"/>
  <c r="J20" i="3"/>
  <c r="J22" i="3"/>
  <c r="J30" i="3"/>
  <c r="J38" i="3"/>
  <c r="J46" i="3"/>
  <c r="J23" i="3"/>
  <c r="J31" i="3"/>
  <c r="J39" i="3"/>
  <c r="J48" i="3"/>
  <c r="J25" i="3"/>
  <c r="J33" i="3"/>
  <c r="J41" i="3"/>
  <c r="J50" i="3"/>
  <c r="J19" i="3"/>
  <c r="J42" i="3"/>
  <c r="J27" i="3"/>
  <c r="J35" i="3"/>
  <c r="J43" i="3"/>
  <c r="J52" i="3"/>
  <c r="J15" i="3"/>
  <c r="J17" i="3"/>
  <c r="J21" i="3"/>
  <c r="J26" i="3"/>
  <c r="J34" i="3"/>
  <c r="J28" i="3"/>
  <c r="J36" i="3"/>
  <c r="J44" i="3"/>
  <c r="L1" i="2"/>
  <c r="S22" i="1"/>
  <c r="S18" i="1"/>
  <c r="I48" i="2" a="1"/>
  <c r="I47" i="2" a="1"/>
  <c r="L5" i="7" l="1"/>
  <c r="F5" i="7" s="1"/>
  <c r="AF47" i="2"/>
  <c r="I48" i="2"/>
  <c r="I47" i="2"/>
  <c r="AF48" i="2"/>
  <c r="AC48" i="2" s="1"/>
  <c r="AD48" i="2" s="1"/>
  <c r="Q48" i="2" s="1"/>
  <c r="L6" i="7"/>
  <c r="F6" i="7" s="1"/>
  <c r="AA48" i="2"/>
  <c r="AA47" i="2"/>
  <c r="AC47" i="2"/>
  <c r="AD47" i="2" s="1"/>
  <c r="Q47" i="2" s="1"/>
  <c r="AN32" i="6"/>
  <c r="BD32" i="6" s="1"/>
  <c r="BE32" i="6"/>
  <c r="BE37" i="6"/>
  <c r="AN37" i="6"/>
  <c r="BD37" i="6" s="1"/>
  <c r="AM25" i="6"/>
  <c r="AE25" i="6"/>
  <c r="W25" i="6"/>
  <c r="AV25" i="6" s="1"/>
  <c r="AI25" i="6"/>
  <c r="BB25" i="6" s="1"/>
  <c r="AA25" i="6"/>
  <c r="Q25" i="6"/>
  <c r="AO25" i="6"/>
  <c r="AG25" i="6"/>
  <c r="Y25" i="6"/>
  <c r="AH25" i="6"/>
  <c r="BA25" i="6" s="1"/>
  <c r="U25" i="6"/>
  <c r="AF25" i="6"/>
  <c r="AD25" i="6"/>
  <c r="AZ25" i="6" s="1"/>
  <c r="P25" i="6"/>
  <c r="AR25" i="6"/>
  <c r="AC25" i="6"/>
  <c r="AY25" i="6" s="1"/>
  <c r="AB25" i="6"/>
  <c r="AX25" i="6" s="1"/>
  <c r="AK25" i="6"/>
  <c r="X25" i="6"/>
  <c r="AW25" i="6" s="1"/>
  <c r="V25" i="6"/>
  <c r="AU25" i="6" s="1"/>
  <c r="AL25" i="6"/>
  <c r="AJ25" i="6"/>
  <c r="BC25" i="6" s="1"/>
  <c r="Z25" i="6"/>
  <c r="N20" i="6"/>
  <c r="N8" i="6"/>
  <c r="AO28" i="6"/>
  <c r="AG28" i="6"/>
  <c r="Y28" i="6"/>
  <c r="AK28" i="6"/>
  <c r="AC28" i="6"/>
  <c r="AY28" i="6" s="1"/>
  <c r="U28" i="6"/>
  <c r="AJ28" i="6"/>
  <c r="BC28" i="6" s="1"/>
  <c r="AB28" i="6"/>
  <c r="AX28" i="6" s="1"/>
  <c r="AI28" i="6"/>
  <c r="BB28" i="6" s="1"/>
  <c r="AA28" i="6"/>
  <c r="Q28" i="6"/>
  <c r="AH28" i="6"/>
  <c r="BA28" i="6" s="1"/>
  <c r="P28" i="6"/>
  <c r="AF28" i="6"/>
  <c r="AE28" i="6"/>
  <c r="AD28" i="6"/>
  <c r="AZ28" i="6" s="1"/>
  <c r="AR28" i="6"/>
  <c r="Z28" i="6"/>
  <c r="AM28" i="6"/>
  <c r="W28" i="6"/>
  <c r="AV28" i="6" s="1"/>
  <c r="AL28" i="6"/>
  <c r="X28" i="6"/>
  <c r="AW28" i="6" s="1"/>
  <c r="V28" i="6"/>
  <c r="AU28" i="6" s="1"/>
  <c r="AM6" i="6"/>
  <c r="AE6" i="6"/>
  <c r="W6" i="6"/>
  <c r="AV6" i="6" s="1"/>
  <c r="AO6" i="6"/>
  <c r="BE6" i="6" s="1"/>
  <c r="AG6" i="6"/>
  <c r="Y6" i="6"/>
  <c r="Q6" i="6"/>
  <c r="AS6" i="6" s="1"/>
  <c r="AF6" i="6"/>
  <c r="U6" i="6"/>
  <c r="AD6" i="6"/>
  <c r="AZ6" i="6" s="1"/>
  <c r="AR6" i="6"/>
  <c r="T6" i="6"/>
  <c r="AC6" i="6"/>
  <c r="AY6" i="6" s="1"/>
  <c r="AJ6" i="6"/>
  <c r="BC6" i="6" s="1"/>
  <c r="Z6" i="6"/>
  <c r="AI6" i="6"/>
  <c r="BB6" i="6" s="1"/>
  <c r="X6" i="6"/>
  <c r="AW6" i="6" s="1"/>
  <c r="AH6" i="6"/>
  <c r="BA6" i="6" s="1"/>
  <c r="V6" i="6"/>
  <c r="AU6" i="6" s="1"/>
  <c r="S6" i="6"/>
  <c r="AA6" i="6"/>
  <c r="R6" i="6"/>
  <c r="AT6" i="6" s="1"/>
  <c r="AL6" i="6"/>
  <c r="AK6" i="6"/>
  <c r="AB6" i="6"/>
  <c r="AX6" i="6" s="1"/>
  <c r="P6" i="6"/>
  <c r="N25" i="6"/>
  <c r="AN30" i="6"/>
  <c r="BD30" i="6" s="1"/>
  <c r="BE30" i="6"/>
  <c r="N26" i="6"/>
  <c r="AI22" i="6"/>
  <c r="BB22" i="6" s="1"/>
  <c r="AA22" i="6"/>
  <c r="Q22" i="6"/>
  <c r="AR22" i="6"/>
  <c r="AH22" i="6"/>
  <c r="BA22" i="6" s="1"/>
  <c r="Z22" i="6"/>
  <c r="P22" i="6"/>
  <c r="AM22" i="6"/>
  <c r="AE22" i="6"/>
  <c r="W22" i="6"/>
  <c r="AV22" i="6" s="1"/>
  <c r="AK22" i="6"/>
  <c r="AC22" i="6"/>
  <c r="AY22" i="6" s="1"/>
  <c r="U22" i="6"/>
  <c r="AL22" i="6"/>
  <c r="V22" i="6"/>
  <c r="AU22" i="6" s="1"/>
  <c r="AJ22" i="6"/>
  <c r="BC22" i="6" s="1"/>
  <c r="AG22" i="6"/>
  <c r="AF22" i="6"/>
  <c r="AB22" i="6"/>
  <c r="AX22" i="6" s="1"/>
  <c r="AO22" i="6"/>
  <c r="Y22" i="6"/>
  <c r="X22" i="6"/>
  <c r="AW22" i="6" s="1"/>
  <c r="AD22" i="6"/>
  <c r="AZ22" i="6" s="1"/>
  <c r="N22" i="6"/>
  <c r="AS29" i="6"/>
  <c r="R29" i="6"/>
  <c r="AT29" i="6" s="1"/>
  <c r="N34" i="6"/>
  <c r="AK13" i="6"/>
  <c r="AC13" i="6"/>
  <c r="AY13" i="6" s="1"/>
  <c r="U13" i="6"/>
  <c r="AM13" i="6"/>
  <c r="AE13" i="6"/>
  <c r="W13" i="6"/>
  <c r="AV13" i="6" s="1"/>
  <c r="AN13" i="6"/>
  <c r="BD13" i="6" s="1"/>
  <c r="AB13" i="6"/>
  <c r="AX13" i="6" s="1"/>
  <c r="AL13" i="6"/>
  <c r="AA13" i="6"/>
  <c r="Q13" i="6"/>
  <c r="AS13" i="6" s="1"/>
  <c r="AJ13" i="6"/>
  <c r="BC13" i="6" s="1"/>
  <c r="Z13" i="6"/>
  <c r="P13" i="6"/>
  <c r="AI13" i="6"/>
  <c r="BB13" i="6" s="1"/>
  <c r="Y13" i="6"/>
  <c r="AG13" i="6"/>
  <c r="V13" i="6"/>
  <c r="AU13" i="6" s="1"/>
  <c r="AD13" i="6"/>
  <c r="AZ13" i="6" s="1"/>
  <c r="AR13" i="6"/>
  <c r="AF13" i="6"/>
  <c r="T13" i="6"/>
  <c r="AO13" i="6"/>
  <c r="BE13" i="6" s="1"/>
  <c r="S13" i="6"/>
  <c r="AH13" i="6"/>
  <c r="BA13" i="6" s="1"/>
  <c r="X13" i="6"/>
  <c r="AW13" i="6" s="1"/>
  <c r="AJ16" i="6"/>
  <c r="BC16" i="6" s="1"/>
  <c r="AB16" i="6"/>
  <c r="AX16" i="6" s="1"/>
  <c r="T16" i="6"/>
  <c r="AI16" i="6"/>
  <c r="BB16" i="6" s="1"/>
  <c r="AA16" i="6"/>
  <c r="S16" i="6"/>
  <c r="AL16" i="6"/>
  <c r="AD16" i="6"/>
  <c r="AZ16" i="6" s="1"/>
  <c r="V16" i="6"/>
  <c r="AU16" i="6" s="1"/>
  <c r="AH16" i="6"/>
  <c r="BA16" i="6" s="1"/>
  <c r="W16" i="6"/>
  <c r="AV16" i="6" s="1"/>
  <c r="AG16" i="6"/>
  <c r="AE16" i="6" s="1"/>
  <c r="U16" i="6"/>
  <c r="AF16" i="6"/>
  <c r="R16" i="6"/>
  <c r="AT16" i="6" s="1"/>
  <c r="AR16" i="6"/>
  <c r="Q16" i="6"/>
  <c r="AS16" i="6" s="1"/>
  <c r="Z16" i="6"/>
  <c r="AK16" i="6"/>
  <c r="AM16" i="6"/>
  <c r="Y16" i="6"/>
  <c r="X16" i="6"/>
  <c r="AW16" i="6" s="1"/>
  <c r="AO16" i="6"/>
  <c r="BE16" i="6" s="1"/>
  <c r="AC16" i="6"/>
  <c r="AY16" i="6" s="1"/>
  <c r="P16" i="6"/>
  <c r="N12" i="6"/>
  <c r="AM15" i="6"/>
  <c r="AE15" i="6"/>
  <c r="W15" i="6"/>
  <c r="AV15" i="6" s="1"/>
  <c r="AO15" i="6"/>
  <c r="BE15" i="6" s="1"/>
  <c r="AG15" i="6"/>
  <c r="Y15" i="6"/>
  <c r="Q15" i="6"/>
  <c r="AS15" i="6" s="1"/>
  <c r="AR15" i="6"/>
  <c r="T15" i="6"/>
  <c r="AN15" i="6"/>
  <c r="BD15" i="6" s="1"/>
  <c r="AC15" i="6"/>
  <c r="AY15" i="6" s="1"/>
  <c r="S15" i="6"/>
  <c r="AL15" i="6"/>
  <c r="AB15" i="6"/>
  <c r="AX15" i="6" s="1"/>
  <c r="R15" i="6"/>
  <c r="AT15" i="6" s="1"/>
  <c r="AK15" i="6"/>
  <c r="AA15" i="6"/>
  <c r="P15" i="6"/>
  <c r="AI15" i="6"/>
  <c r="BB15" i="6" s="1"/>
  <c r="X15" i="6"/>
  <c r="AW15" i="6" s="1"/>
  <c r="U15" i="6"/>
  <c r="AH15" i="6"/>
  <c r="BA15" i="6" s="1"/>
  <c r="V15" i="6"/>
  <c r="AU15" i="6" s="1"/>
  <c r="AF15" i="6"/>
  <c r="AJ15" i="6"/>
  <c r="BC15" i="6" s="1"/>
  <c r="Z15" i="6"/>
  <c r="AN10" i="6"/>
  <c r="BD10" i="6" s="1"/>
  <c r="AO36" i="6"/>
  <c r="AG36" i="6"/>
  <c r="Y36" i="6"/>
  <c r="AK36" i="6"/>
  <c r="AC36" i="6"/>
  <c r="AY36" i="6" s="1"/>
  <c r="U36" i="6"/>
  <c r="AJ36" i="6"/>
  <c r="BC36" i="6" s="1"/>
  <c r="AB36" i="6"/>
  <c r="AX36" i="6" s="1"/>
  <c r="AI36" i="6"/>
  <c r="BB36" i="6" s="1"/>
  <c r="AA36" i="6"/>
  <c r="Q36" i="6"/>
  <c r="AE36" i="6"/>
  <c r="AD36" i="6"/>
  <c r="AZ36" i="6" s="1"/>
  <c r="AR36" i="6"/>
  <c r="Z36" i="6"/>
  <c r="X36" i="6"/>
  <c r="AW36" i="6" s="1"/>
  <c r="AM36" i="6"/>
  <c r="W36" i="6"/>
  <c r="AV36" i="6" s="1"/>
  <c r="AL36" i="6"/>
  <c r="V36" i="6"/>
  <c r="AU36" i="6" s="1"/>
  <c r="AH36" i="6"/>
  <c r="BA36" i="6" s="1"/>
  <c r="P36" i="6"/>
  <c r="AF36" i="6"/>
  <c r="AS24" i="6"/>
  <c r="R24" i="6"/>
  <c r="AT24" i="6" s="1"/>
  <c r="BE24" i="6"/>
  <c r="AN24" i="6"/>
  <c r="BD24" i="6" s="1"/>
  <c r="N37" i="6"/>
  <c r="N23" i="6"/>
  <c r="N19" i="6"/>
  <c r="N27" i="6"/>
  <c r="N30" i="6"/>
  <c r="R30" i="6"/>
  <c r="AT30" i="6" s="1"/>
  <c r="AS30" i="6"/>
  <c r="AI31" i="6"/>
  <c r="BB31" i="6" s="1"/>
  <c r="AA31" i="6"/>
  <c r="Q31" i="6"/>
  <c r="AM31" i="6"/>
  <c r="AE31" i="6"/>
  <c r="W31" i="6"/>
  <c r="AV31" i="6" s="1"/>
  <c r="AL31" i="6"/>
  <c r="AD31" i="6"/>
  <c r="AZ31" i="6" s="1"/>
  <c r="V31" i="6"/>
  <c r="AU31" i="6" s="1"/>
  <c r="AK31" i="6"/>
  <c r="AC31" i="6"/>
  <c r="AY31" i="6" s="1"/>
  <c r="U31" i="6"/>
  <c r="AJ31" i="6"/>
  <c r="BC31" i="6" s="1"/>
  <c r="AH31" i="6"/>
  <c r="BA31" i="6" s="1"/>
  <c r="P31" i="6"/>
  <c r="AG31" i="6"/>
  <c r="AF31" i="6"/>
  <c r="AB31" i="6"/>
  <c r="AX31" i="6" s="1"/>
  <c r="AO31" i="6"/>
  <c r="Y31" i="6"/>
  <c r="AR31" i="6"/>
  <c r="Z31" i="6"/>
  <c r="X31" i="6"/>
  <c r="AW31" i="6" s="1"/>
  <c r="AS23" i="6"/>
  <c r="R23" i="6"/>
  <c r="AT23" i="6" s="1"/>
  <c r="AR14" i="6"/>
  <c r="AH14" i="6"/>
  <c r="BA14" i="6" s="1"/>
  <c r="Z14" i="6"/>
  <c r="R14" i="6"/>
  <c r="AT14" i="6" s="1"/>
  <c r="AJ14" i="6"/>
  <c r="BC14" i="6" s="1"/>
  <c r="AB14" i="6"/>
  <c r="AX14" i="6" s="1"/>
  <c r="T14" i="6"/>
  <c r="AD14" i="6"/>
  <c r="AZ14" i="6" s="1"/>
  <c r="S14" i="6"/>
  <c r="AM14" i="6"/>
  <c r="AC14" i="6"/>
  <c r="AY14" i="6" s="1"/>
  <c r="Q14" i="6"/>
  <c r="AS14" i="6" s="1"/>
  <c r="AA14" i="6"/>
  <c r="P14" i="6"/>
  <c r="AL14" i="6"/>
  <c r="AK14" i="6"/>
  <c r="Y14" i="6"/>
  <c r="AG14" i="6"/>
  <c r="W14" i="6"/>
  <c r="AV14" i="6" s="1"/>
  <c r="AF14" i="6"/>
  <c r="V14" i="6"/>
  <c r="AU14" i="6" s="1"/>
  <c r="AO14" i="6"/>
  <c r="BE14" i="6" s="1"/>
  <c r="AE14" i="6"/>
  <c r="U14" i="6"/>
  <c r="AI14" i="6"/>
  <c r="BB14" i="6" s="1"/>
  <c r="X14" i="6"/>
  <c r="AW14" i="6" s="1"/>
  <c r="BE29" i="6"/>
  <c r="AN29" i="6"/>
  <c r="BD29" i="6" s="1"/>
  <c r="AN12" i="6"/>
  <c r="BD12" i="6" s="1"/>
  <c r="AF12" i="6"/>
  <c r="X12" i="6"/>
  <c r="AW12" i="6" s="1"/>
  <c r="P12" i="6"/>
  <c r="AR12" i="6"/>
  <c r="AH12" i="6"/>
  <c r="BA12" i="6" s="1"/>
  <c r="Z12" i="6"/>
  <c r="R12" i="6"/>
  <c r="AT12" i="6" s="1"/>
  <c r="AL12" i="6"/>
  <c r="AB12" i="6"/>
  <c r="AX12" i="6" s="1"/>
  <c r="Q12" i="6"/>
  <c r="AS12" i="6" s="1"/>
  <c r="AK12" i="6"/>
  <c r="AA12" i="6"/>
  <c r="Y12" i="6"/>
  <c r="AI12" i="6"/>
  <c r="BB12" i="6" s="1"/>
  <c r="W12" i="6"/>
  <c r="AV12" i="6" s="1"/>
  <c r="AE12" i="6"/>
  <c r="U12" i="6"/>
  <c r="AO12" i="6"/>
  <c r="BE12" i="6" s="1"/>
  <c r="AD12" i="6"/>
  <c r="AZ12" i="6" s="1"/>
  <c r="T12" i="6"/>
  <c r="AM12" i="6"/>
  <c r="AC12" i="6"/>
  <c r="AY12" i="6" s="1"/>
  <c r="S12" i="6"/>
  <c r="AJ12" i="6"/>
  <c r="BC12" i="6" s="1"/>
  <c r="AG12" i="6"/>
  <c r="V12" i="6"/>
  <c r="AU12" i="6" s="1"/>
  <c r="N6" i="6"/>
  <c r="R10" i="6"/>
  <c r="AT10" i="6" s="1"/>
  <c r="N33" i="6"/>
  <c r="AK34" i="6"/>
  <c r="AC34" i="6"/>
  <c r="AY34" i="6" s="1"/>
  <c r="U34" i="6"/>
  <c r="AO34" i="6"/>
  <c r="AG34" i="6"/>
  <c r="Y34" i="6"/>
  <c r="AF34" i="6"/>
  <c r="X34" i="6"/>
  <c r="AW34" i="6" s="1"/>
  <c r="AM34" i="6"/>
  <c r="AE34" i="6"/>
  <c r="W34" i="6"/>
  <c r="AV34" i="6" s="1"/>
  <c r="AL34" i="6"/>
  <c r="V34" i="6"/>
  <c r="AU34" i="6" s="1"/>
  <c r="AJ34" i="6"/>
  <c r="BC34" i="6" s="1"/>
  <c r="AI34" i="6"/>
  <c r="BB34" i="6" s="1"/>
  <c r="Q34" i="6"/>
  <c r="AH34" i="6"/>
  <c r="BA34" i="6" s="1"/>
  <c r="P34" i="6"/>
  <c r="AD34" i="6"/>
  <c r="AZ34" i="6" s="1"/>
  <c r="AB34" i="6"/>
  <c r="AX34" i="6" s="1"/>
  <c r="AA34" i="6"/>
  <c r="AR34" i="6"/>
  <c r="Z34" i="6"/>
  <c r="N24" i="6"/>
  <c r="AK26" i="6"/>
  <c r="AC26" i="6"/>
  <c r="AY26" i="6" s="1"/>
  <c r="U26" i="6"/>
  <c r="AO26" i="6"/>
  <c r="AG26" i="6"/>
  <c r="Y26" i="6"/>
  <c r="AM26" i="6"/>
  <c r="AE26" i="6"/>
  <c r="W26" i="6"/>
  <c r="AV26" i="6" s="1"/>
  <c r="AH26" i="6"/>
  <c r="BA26" i="6" s="1"/>
  <c r="AF26" i="6"/>
  <c r="Q26" i="6"/>
  <c r="AD26" i="6"/>
  <c r="AZ26" i="6" s="1"/>
  <c r="P26" i="6"/>
  <c r="AR26" i="6"/>
  <c r="AB26" i="6"/>
  <c r="AX26" i="6" s="1"/>
  <c r="AA26" i="6"/>
  <c r="AJ26" i="6"/>
  <c r="BC26" i="6" s="1"/>
  <c r="X26" i="6"/>
  <c r="AW26" i="6" s="1"/>
  <c r="AL26" i="6"/>
  <c r="AI26" i="6"/>
  <c r="BB26" i="6" s="1"/>
  <c r="V26" i="6"/>
  <c r="AU26" i="6" s="1"/>
  <c r="Z26" i="6"/>
  <c r="R37" i="6"/>
  <c r="AT37" i="6" s="1"/>
  <c r="AS37" i="6"/>
  <c r="AM33" i="6"/>
  <c r="AE33" i="6"/>
  <c r="W33" i="6"/>
  <c r="AV33" i="6" s="1"/>
  <c r="AI33" i="6"/>
  <c r="BB33" i="6" s="1"/>
  <c r="AA33" i="6"/>
  <c r="Q33" i="6"/>
  <c r="AR33" i="6"/>
  <c r="AH33" i="6"/>
  <c r="BA33" i="6" s="1"/>
  <c r="Z33" i="6"/>
  <c r="P33" i="6"/>
  <c r="AO33" i="6"/>
  <c r="AG33" i="6"/>
  <c r="Y33" i="6"/>
  <c r="AB33" i="6"/>
  <c r="AX33" i="6" s="1"/>
  <c r="X33" i="6"/>
  <c r="AW33" i="6" s="1"/>
  <c r="AL33" i="6"/>
  <c r="V33" i="6"/>
  <c r="AU33" i="6" s="1"/>
  <c r="AK33" i="6"/>
  <c r="U33" i="6"/>
  <c r="AJ33" i="6"/>
  <c r="BC33" i="6" s="1"/>
  <c r="AD33" i="6"/>
  <c r="AZ33" i="6" s="1"/>
  <c r="AC33" i="6"/>
  <c r="AY33" i="6" s="1"/>
  <c r="AF33" i="6"/>
  <c r="R32" i="6"/>
  <c r="AT32" i="6" s="1"/>
  <c r="AS32" i="6"/>
  <c r="AK21" i="6"/>
  <c r="AC21" i="6"/>
  <c r="AY21" i="6" s="1"/>
  <c r="U21" i="6"/>
  <c r="AJ21" i="6"/>
  <c r="BC21" i="6" s="1"/>
  <c r="AB21" i="6"/>
  <c r="AX21" i="6" s="1"/>
  <c r="AM21" i="6"/>
  <c r="AE21" i="6"/>
  <c r="W21" i="6"/>
  <c r="AV21" i="6" s="1"/>
  <c r="AF21" i="6"/>
  <c r="P21" i="6"/>
  <c r="AR21" i="6"/>
  <c r="AD21" i="6"/>
  <c r="AZ21" i="6" s="1"/>
  <c r="AO21" i="6"/>
  <c r="AA21" i="6"/>
  <c r="Z21" i="6"/>
  <c r="AI21" i="6"/>
  <c r="BB21" i="6" s="1"/>
  <c r="X21" i="6"/>
  <c r="AW21" i="6" s="1"/>
  <c r="AH21" i="6"/>
  <c r="BA21" i="6" s="1"/>
  <c r="V21" i="6"/>
  <c r="AU21" i="6" s="1"/>
  <c r="AG21" i="6"/>
  <c r="Q21" i="6"/>
  <c r="Y21" i="6"/>
  <c r="AL21" i="6"/>
  <c r="N13" i="6"/>
  <c r="AI11" i="6"/>
  <c r="BB11" i="6" s="1"/>
  <c r="AA11" i="6"/>
  <c r="S11" i="6"/>
  <c r="AK11" i="6"/>
  <c r="AC11" i="6"/>
  <c r="AY11" i="6" s="1"/>
  <c r="U11" i="6"/>
  <c r="AL11" i="6"/>
  <c r="Z11" i="6"/>
  <c r="P11" i="6"/>
  <c r="AJ11" i="6"/>
  <c r="BC11" i="6" s="1"/>
  <c r="Y11" i="6"/>
  <c r="AH11" i="6"/>
  <c r="BA11" i="6" s="1"/>
  <c r="X11" i="6"/>
  <c r="AW11" i="6" s="1"/>
  <c r="AG11" i="6"/>
  <c r="W11" i="6"/>
  <c r="AV11" i="6" s="1"/>
  <c r="AO11" i="6"/>
  <c r="BE11" i="6" s="1"/>
  <c r="AE11" i="6"/>
  <c r="T11" i="6"/>
  <c r="Q11" i="6"/>
  <c r="AS11" i="6" s="1"/>
  <c r="AN11" i="6"/>
  <c r="BD11" i="6" s="1"/>
  <c r="R11" i="6"/>
  <c r="AT11" i="6" s="1"/>
  <c r="AM11" i="6"/>
  <c r="AB11" i="6"/>
  <c r="AX11" i="6" s="1"/>
  <c r="AR11" i="6"/>
  <c r="AF11" i="6"/>
  <c r="V11" i="6"/>
  <c r="AU11" i="6" s="1"/>
  <c r="AI35" i="6"/>
  <c r="BB35" i="6" s="1"/>
  <c r="AA35" i="6"/>
  <c r="Q35" i="6"/>
  <c r="AM35" i="6"/>
  <c r="AE35" i="6"/>
  <c r="W35" i="6"/>
  <c r="AV35" i="6" s="1"/>
  <c r="AL35" i="6"/>
  <c r="AD35" i="6"/>
  <c r="AZ35" i="6" s="1"/>
  <c r="V35" i="6"/>
  <c r="AU35" i="6" s="1"/>
  <c r="AK35" i="6"/>
  <c r="AC35" i="6"/>
  <c r="AY35" i="6" s="1"/>
  <c r="U35" i="6"/>
  <c r="AH35" i="6"/>
  <c r="BA35" i="6" s="1"/>
  <c r="P35" i="6"/>
  <c r="AG35" i="6"/>
  <c r="AF35" i="6"/>
  <c r="AB35" i="6"/>
  <c r="AX35" i="6" s="1"/>
  <c r="AR35" i="6"/>
  <c r="Z35" i="6"/>
  <c r="AO35" i="6"/>
  <c r="Y35" i="6"/>
  <c r="X35" i="6"/>
  <c r="AW35" i="6" s="1"/>
  <c r="AJ35" i="6"/>
  <c r="BC35" i="6" s="1"/>
  <c r="AN23" i="6"/>
  <c r="BD23" i="6" s="1"/>
  <c r="BE23" i="6"/>
  <c r="AM20" i="6"/>
  <c r="AE20" i="6"/>
  <c r="W20" i="6"/>
  <c r="AV20" i="6" s="1"/>
  <c r="AL20" i="6"/>
  <c r="AD20" i="6"/>
  <c r="AZ20" i="6" s="1"/>
  <c r="V20" i="6"/>
  <c r="AU20" i="6" s="1"/>
  <c r="AO20" i="6"/>
  <c r="BE20" i="6" s="1"/>
  <c r="AG20" i="6"/>
  <c r="Y20" i="6"/>
  <c r="Q20" i="6"/>
  <c r="AS20" i="6" s="1"/>
  <c r="AC20" i="6"/>
  <c r="AY20" i="6" s="1"/>
  <c r="AR20" i="6"/>
  <c r="AB20" i="6"/>
  <c r="AX20" i="6" s="1"/>
  <c r="P20" i="6"/>
  <c r="AN20" i="6"/>
  <c r="BD20" i="6" s="1"/>
  <c r="AA20" i="6"/>
  <c r="AK20" i="6"/>
  <c r="Z20" i="6"/>
  <c r="AI20" i="6"/>
  <c r="BB20" i="6" s="1"/>
  <c r="U20" i="6"/>
  <c r="S20" i="6"/>
  <c r="AH20" i="6"/>
  <c r="BA20" i="6" s="1"/>
  <c r="T20" i="6"/>
  <c r="AF20" i="6"/>
  <c r="AJ20" i="6"/>
  <c r="BC20" i="6" s="1"/>
  <c r="X20" i="6"/>
  <c r="AW20" i="6" s="1"/>
  <c r="AI27" i="6"/>
  <c r="BB27" i="6" s="1"/>
  <c r="AA27" i="6"/>
  <c r="Q27" i="6"/>
  <c r="AM27" i="6"/>
  <c r="AE27" i="6"/>
  <c r="W27" i="6"/>
  <c r="AV27" i="6" s="1"/>
  <c r="AL27" i="6"/>
  <c r="AD27" i="6"/>
  <c r="AZ27" i="6" s="1"/>
  <c r="V27" i="6"/>
  <c r="AU27" i="6" s="1"/>
  <c r="AK27" i="6"/>
  <c r="AC27" i="6"/>
  <c r="AY27" i="6" s="1"/>
  <c r="U27" i="6"/>
  <c r="X27" i="6"/>
  <c r="AW27" i="6" s="1"/>
  <c r="AJ27" i="6"/>
  <c r="BC27" i="6" s="1"/>
  <c r="AH27" i="6"/>
  <c r="BA27" i="6" s="1"/>
  <c r="P27" i="6"/>
  <c r="AG27" i="6"/>
  <c r="AF27" i="6"/>
  <c r="AR27" i="6"/>
  <c r="Z27" i="6"/>
  <c r="AO27" i="6"/>
  <c r="AB27" i="6"/>
  <c r="AX27" i="6" s="1"/>
  <c r="Y27" i="6"/>
  <c r="R19" i="6"/>
  <c r="AT19" i="6" s="1"/>
  <c r="AD45" i="4"/>
  <c r="AE44" i="4"/>
  <c r="L43" i="1"/>
  <c r="AE31" i="1"/>
  <c r="AD31" i="1"/>
  <c r="AI31" i="1" s="1"/>
  <c r="AB31" i="1"/>
  <c r="AE30" i="1"/>
  <c r="AD30" i="1"/>
  <c r="AB30" i="1"/>
  <c r="AE29" i="1"/>
  <c r="AD29" i="1"/>
  <c r="AI29" i="1" s="1"/>
  <c r="AB29" i="1"/>
  <c r="AI28" i="1"/>
  <c r="AD28" i="1"/>
  <c r="AB28" i="1"/>
  <c r="AI27" i="1"/>
  <c r="AD27" i="1"/>
  <c r="AB27" i="1"/>
  <c r="AI26" i="1"/>
  <c r="AD26" i="1"/>
  <c r="AB26" i="1"/>
  <c r="AI25" i="1"/>
  <c r="AD25" i="1"/>
  <c r="AB25" i="1"/>
  <c r="AI24" i="1"/>
  <c r="AD24" i="1"/>
  <c r="AB24" i="1"/>
  <c r="AI23" i="1"/>
  <c r="AD23" i="1"/>
  <c r="AB23" i="1"/>
  <c r="AI22" i="1"/>
  <c r="AI12" i="1" s="1"/>
  <c r="AD22" i="1"/>
  <c r="AB22" i="1"/>
  <c r="AI21" i="1"/>
  <c r="AD21" i="1"/>
  <c r="AB21" i="1"/>
  <c r="AD20" i="1"/>
  <c r="AI20" i="1" s="1"/>
  <c r="AB20" i="1"/>
  <c r="I20" i="1"/>
  <c r="AF19" i="1" s="1"/>
  <c r="AI19" i="1"/>
  <c r="AE19" i="1"/>
  <c r="AD19" i="1"/>
  <c r="AB19" i="1"/>
  <c r="AI18" i="1"/>
  <c r="AD18" i="1"/>
  <c r="AB18" i="1"/>
  <c r="AD17" i="1"/>
  <c r="AI17" i="1" s="1"/>
  <c r="AB17" i="1"/>
  <c r="AD16" i="1"/>
  <c r="AI16" i="1" s="1"/>
  <c r="AB16" i="1"/>
  <c r="AD15" i="1"/>
  <c r="AI15" i="1" s="1"/>
  <c r="AB15" i="1"/>
  <c r="AD14" i="1"/>
  <c r="AI14" i="1" s="1"/>
  <c r="AB14" i="1"/>
  <c r="D8" i="1"/>
  <c r="I24" i="1" s="1"/>
  <c r="AF30" i="1" s="1"/>
  <c r="K20" i="1" a="1"/>
  <c r="S16" i="1" a="1"/>
  <c r="S15" i="1" a="1"/>
  <c r="S17" i="1" a="1"/>
  <c r="S20" i="1" a="1"/>
  <c r="S19" i="1" a="1"/>
  <c r="S21" i="1" a="1"/>
  <c r="S23" i="1" a="1"/>
  <c r="I25" i="1" l="1"/>
  <c r="L25" i="1" s="1"/>
  <c r="R28" i="6"/>
  <c r="AT28" i="6" s="1"/>
  <c r="AS28" i="6"/>
  <c r="R34" i="6"/>
  <c r="AT34" i="6" s="1"/>
  <c r="AS34" i="6"/>
  <c r="AS35" i="6"/>
  <c r="R35" i="6"/>
  <c r="AT35" i="6" s="1"/>
  <c r="R13" i="6"/>
  <c r="AT13" i="6" s="1"/>
  <c r="BE22" i="6"/>
  <c r="AN22" i="6"/>
  <c r="BD22" i="6" s="1"/>
  <c r="AD11" i="6"/>
  <c r="AZ11" i="6" s="1"/>
  <c r="R21" i="6"/>
  <c r="AT21" i="6" s="1"/>
  <c r="AS21" i="6"/>
  <c r="BE21" i="6"/>
  <c r="AN21" i="6"/>
  <c r="BD21" i="6" s="1"/>
  <c r="AS33" i="6"/>
  <c r="R33" i="6"/>
  <c r="AT33" i="6" s="1"/>
  <c r="BE31" i="6"/>
  <c r="AN31" i="6"/>
  <c r="BD31" i="6" s="1"/>
  <c r="AS31" i="6"/>
  <c r="R31" i="6"/>
  <c r="AT31" i="6" s="1"/>
  <c r="AD15" i="6"/>
  <c r="AZ15" i="6" s="1"/>
  <c r="AS22" i="6"/>
  <c r="R22" i="6"/>
  <c r="AT22" i="6" s="1"/>
  <c r="BE28" i="6"/>
  <c r="AN28" i="6"/>
  <c r="BD28" i="6" s="1"/>
  <c r="AN14" i="6"/>
  <c r="BD14" i="6" s="1"/>
  <c r="R36" i="6"/>
  <c r="AT36" i="6" s="1"/>
  <c r="AS36" i="6"/>
  <c r="AN16" i="6"/>
  <c r="BD16" i="6" s="1"/>
  <c r="AN6" i="6"/>
  <c r="BD6" i="6" s="1"/>
  <c r="BE35" i="6"/>
  <c r="AN35" i="6"/>
  <c r="BD35" i="6" s="1"/>
  <c r="AS27" i="6"/>
  <c r="R27" i="6"/>
  <c r="AT27" i="6" s="1"/>
  <c r="BE33" i="6"/>
  <c r="AN33" i="6"/>
  <c r="BD33" i="6" s="1"/>
  <c r="R26" i="6"/>
  <c r="AT26" i="6" s="1"/>
  <c r="AS26" i="6"/>
  <c r="BE26" i="6"/>
  <c r="AN26" i="6"/>
  <c r="BD26" i="6" s="1"/>
  <c r="AN34" i="6"/>
  <c r="BD34" i="6" s="1"/>
  <c r="BE34" i="6"/>
  <c r="BE25" i="6"/>
  <c r="AN25" i="6"/>
  <c r="BD25" i="6" s="1"/>
  <c r="AS25" i="6"/>
  <c r="R25" i="6"/>
  <c r="AT25" i="6" s="1"/>
  <c r="BE27" i="6"/>
  <c r="AN27" i="6"/>
  <c r="BD27" i="6" s="1"/>
  <c r="AN36" i="6"/>
  <c r="BD36" i="6" s="1"/>
  <c r="BE36" i="6"/>
  <c r="R20" i="6"/>
  <c r="AT20" i="6" s="1"/>
  <c r="AD44" i="4"/>
  <c r="AE43" i="4"/>
  <c r="AI30" i="1"/>
  <c r="L32" i="1"/>
  <c r="L42" i="1"/>
  <c r="X40" i="1" s="1"/>
  <c r="X41" i="1"/>
  <c r="L20" i="1"/>
  <c r="L24" i="1"/>
  <c r="J24" i="1"/>
  <c r="AG30" i="1" s="1"/>
  <c r="J20" i="1"/>
  <c r="AG19" i="1" s="1"/>
  <c r="S19" i="1"/>
  <c r="V19" i="1" s="1"/>
  <c r="K20" i="1"/>
  <c r="AH19" i="1" s="1"/>
  <c r="AC19" i="1" s="1"/>
  <c r="S23" i="1"/>
  <c r="V23" i="1" s="1"/>
  <c r="S17" i="1"/>
  <c r="V17" i="1" s="1"/>
  <c r="S16" i="1"/>
  <c r="V16" i="1" s="1"/>
  <c r="S20" i="1"/>
  <c r="T20" i="1" s="1"/>
  <c r="AG25" i="1" s="1"/>
  <c r="S15" i="1"/>
  <c r="T15" i="1" s="1"/>
  <c r="AG20" i="1" s="1"/>
  <c r="S21" i="1"/>
  <c r="AF23" i="1"/>
  <c r="T22" i="1"/>
  <c r="AG27" i="1" s="1"/>
  <c r="I19" i="1"/>
  <c r="L19" i="1" s="1"/>
  <c r="I23" i="1"/>
  <c r="K23" i="1" s="1" a="1"/>
  <c r="I18" i="1"/>
  <c r="J18" i="1" s="1"/>
  <c r="AG17" i="1" s="1"/>
  <c r="I17" i="1"/>
  <c r="K17" i="1" s="1" a="1"/>
  <c r="I16" i="1"/>
  <c r="I15" i="1"/>
  <c r="U16" i="1" a="1"/>
  <c r="U18" i="1" a="1"/>
  <c r="U17" i="1" a="1"/>
  <c r="U15" i="1" a="1"/>
  <c r="U20" i="1" a="1"/>
  <c r="U19" i="1" a="1"/>
  <c r="K24" i="1" a="1"/>
  <c r="U21" i="1" a="1"/>
  <c r="U22" i="1" a="1"/>
  <c r="J25" i="1" l="1"/>
  <c r="AG31" i="1" s="1"/>
  <c r="AF31" i="1"/>
  <c r="K24" i="1"/>
  <c r="AH30" i="1" s="1"/>
  <c r="AC30" i="1" s="1"/>
  <c r="M35" i="1"/>
  <c r="M37" i="1"/>
  <c r="M36" i="1"/>
  <c r="L38" i="1"/>
  <c r="X36" i="1" s="1"/>
  <c r="T19" i="1"/>
  <c r="AG24" i="1" s="1"/>
  <c r="L37" i="1"/>
  <c r="X35" i="1" s="1"/>
  <c r="L35" i="1"/>
  <c r="X33" i="1" s="1"/>
  <c r="L33" i="1"/>
  <c r="X31" i="1" s="1"/>
  <c r="L39" i="1"/>
  <c r="X37" i="1" s="1"/>
  <c r="AD43" i="4"/>
  <c r="AE42" i="4"/>
  <c r="AF24" i="1"/>
  <c r="M41" i="1"/>
  <c r="L34" i="1"/>
  <c r="X32" i="1" s="1"/>
  <c r="M39" i="1"/>
  <c r="L40" i="1"/>
  <c r="X38" i="1" s="1"/>
  <c r="L36" i="1"/>
  <c r="X34" i="1" s="1"/>
  <c r="L41" i="1"/>
  <c r="X39" i="1" s="1"/>
  <c r="X30" i="1"/>
  <c r="T23" i="1"/>
  <c r="AG28" i="1" s="1"/>
  <c r="V18" i="1"/>
  <c r="T18" i="1"/>
  <c r="AG23" i="1" s="1"/>
  <c r="V20" i="1"/>
  <c r="AF20" i="1"/>
  <c r="V22" i="1"/>
  <c r="AF25" i="1"/>
  <c r="AF27" i="1"/>
  <c r="T16" i="1"/>
  <c r="AG21" i="1" s="1"/>
  <c r="AF21" i="1"/>
  <c r="U17" i="1"/>
  <c r="AH22" i="1" s="1"/>
  <c r="AC22" i="1" s="1"/>
  <c r="K17" i="1"/>
  <c r="AH16" i="1" s="1"/>
  <c r="AC16" i="1" s="1"/>
  <c r="U21" i="1"/>
  <c r="AH26" i="1" s="1"/>
  <c r="AC26" i="1" s="1"/>
  <c r="U16" i="1"/>
  <c r="AH21" i="1" s="1"/>
  <c r="AC21" i="1" s="1"/>
  <c r="U15" i="1"/>
  <c r="AH20" i="1" s="1"/>
  <c r="AC20" i="1" s="1"/>
  <c r="K23" i="1"/>
  <c r="AH29" i="1" s="1"/>
  <c r="AC29" i="1" s="1"/>
  <c r="U20" i="1"/>
  <c r="AH25" i="1" s="1"/>
  <c r="AC25" i="1" s="1"/>
  <c r="U22" i="1"/>
  <c r="AH27" i="1" s="1"/>
  <c r="AC27" i="1" s="1"/>
  <c r="U18" i="1"/>
  <c r="AH23" i="1" s="1"/>
  <c r="AC23" i="1" s="1"/>
  <c r="U19" i="1"/>
  <c r="AH24" i="1" s="1"/>
  <c r="AC24" i="1" s="1"/>
  <c r="T21" i="1"/>
  <c r="AG26" i="1" s="1"/>
  <c r="V15" i="1"/>
  <c r="V21" i="1"/>
  <c r="AF26" i="1"/>
  <c r="AF22" i="1"/>
  <c r="AF28" i="1"/>
  <c r="T17" i="1"/>
  <c r="AG22" i="1" s="1"/>
  <c r="J19" i="1"/>
  <c r="AG18" i="1" s="1"/>
  <c r="AF29" i="1"/>
  <c r="J17" i="1"/>
  <c r="AG16" i="1" s="1"/>
  <c r="L17" i="1"/>
  <c r="L18" i="1"/>
  <c r="AF17" i="1"/>
  <c r="AF16" i="1"/>
  <c r="L23" i="1"/>
  <c r="AF18" i="1"/>
  <c r="J23" i="1"/>
  <c r="AG29" i="1" s="1"/>
  <c r="AF14" i="1"/>
  <c r="L15" i="1"/>
  <c r="J15" i="1"/>
  <c r="AG14" i="1" s="1"/>
  <c r="L16" i="1"/>
  <c r="AF15" i="1"/>
  <c r="J16" i="1"/>
  <c r="AG15" i="1" s="1"/>
  <c r="K15" i="1" a="1"/>
  <c r="K25" i="1" a="1"/>
  <c r="K19" i="1" a="1"/>
  <c r="K18" i="1" a="1"/>
  <c r="K16" i="1" a="1"/>
  <c r="U23" i="1" a="1"/>
  <c r="K25" i="1" l="1"/>
  <c r="AH31" i="1" s="1"/>
  <c r="AC31" i="1" s="1"/>
  <c r="AD42" i="4"/>
  <c r="AE41" i="4"/>
  <c r="U23" i="1"/>
  <c r="AH28" i="1" s="1"/>
  <c r="AC28" i="1" s="1"/>
  <c r="K19" i="1"/>
  <c r="AH18" i="1" s="1"/>
  <c r="AC18" i="1" s="1"/>
  <c r="K16" i="1"/>
  <c r="AH15" i="1" s="1"/>
  <c r="AC15" i="1" s="1"/>
  <c r="K15" i="1"/>
  <c r="AH14" i="1" s="1"/>
  <c r="AC14" i="1" s="1"/>
  <c r="K18" i="1"/>
  <c r="AH17" i="1" s="1"/>
  <c r="AC17" i="1" s="1"/>
  <c r="AB12" i="1"/>
  <c r="P9" i="1" s="1"/>
  <c r="AD41" i="4" l="1"/>
  <c r="AE40" i="4"/>
  <c r="P8" i="1"/>
  <c r="AC12" i="1"/>
  <c r="U8" i="1"/>
  <c r="M25" i="1" s="1"/>
  <c r="M8" i="1" a="1"/>
  <c r="M16" i="1" l="1"/>
  <c r="M24" i="1"/>
  <c r="AD40" i="4"/>
  <c r="AE39" i="4"/>
  <c r="M8" i="1"/>
  <c r="AD12" i="1" s="1"/>
  <c r="M15" i="1"/>
  <c r="M18" i="1"/>
  <c r="M17" i="1"/>
  <c r="M20" i="1"/>
  <c r="M23" i="1"/>
  <c r="M19" i="1"/>
  <c r="AD39" i="4" l="1"/>
  <c r="AE38" i="4"/>
  <c r="AD38" i="4" l="1"/>
  <c r="AE37" i="4"/>
  <c r="AD37" i="4" l="1"/>
  <c r="AE36" i="4"/>
  <c r="AD36" i="4" l="1"/>
  <c r="AE35" i="4"/>
  <c r="AE34" i="4" l="1"/>
  <c r="AD35" i="4"/>
  <c r="AD34" i="4" l="1"/>
  <c r="AE33" i="4"/>
  <c r="AD33" i="4" l="1"/>
  <c r="AE32" i="4"/>
  <c r="AD32" i="4" l="1"/>
  <c r="AE31" i="4"/>
  <c r="AE30" i="4" l="1"/>
  <c r="AD31" i="4"/>
  <c r="AD30" i="4" l="1"/>
  <c r="AE29" i="4"/>
  <c r="AD29" i="4" l="1"/>
  <c r="AE28" i="4"/>
  <c r="AD28" i="4" l="1"/>
  <c r="AE27" i="4"/>
  <c r="AD27" i="4" l="1"/>
  <c r="AE22" i="4" l="1"/>
  <c r="AD22" i="4" l="1"/>
  <c r="AE21" i="4"/>
  <c r="AD21" i="4" l="1"/>
  <c r="AE20" i="4"/>
  <c r="AE19" i="4" l="1"/>
  <c r="AD20" i="4"/>
  <c r="AD19" i="4" l="1"/>
  <c r="AE18" i="4"/>
  <c r="AD18" i="4" l="1"/>
  <c r="AE17" i="4"/>
  <c r="AE16" i="4" l="1"/>
  <c r="AD17" i="4"/>
  <c r="AE15" i="4" l="1"/>
  <c r="AD16" i="4"/>
  <c r="AD15" i="4" l="1"/>
  <c r="AE14" i="4"/>
  <c r="AD14" i="4" l="1"/>
  <c r="AE13" i="4"/>
  <c r="AD13" i="4" l="1"/>
  <c r="AE12" i="4"/>
  <c r="AE11" i="4" l="1"/>
  <c r="AD12" i="4"/>
  <c r="AD11" i="4" l="1"/>
  <c r="AE10" i="4"/>
  <c r="AD10" i="4" l="1"/>
  <c r="AE9" i="4"/>
  <c r="AE8" i="4" l="1"/>
  <c r="AD9" i="4"/>
  <c r="AE7" i="4" l="1"/>
  <c r="AD8" i="4"/>
  <c r="AD7" i="4" l="1"/>
  <c r="AE6" i="4"/>
  <c r="AD6" i="4" l="1"/>
  <c r="AE5" i="4"/>
  <c r="AD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besidade e gestacao" type="6" refreshedVersion="5" background="1" saveData="1">
    <textPr codePage="65001" sourceFile="\\cadi-server\usuario$\rafael\DESKTOP\Obesidade e gestacao.txt" delimited="0" decimal="," thousands=".">
      <textFields count="8">
        <textField/>
        <textField position="7"/>
        <textField position="16"/>
        <textField position="36"/>
        <textField position="60"/>
        <textField position="71"/>
        <textField position="101"/>
        <textField position="114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<sst xmlns="http://schemas.openxmlformats.org/spreadsheetml/2006/main" count="705" uniqueCount="351">
  <si>
    <t>ID Astraia:</t>
  </si>
  <si>
    <t>ID VP:</t>
  </si>
  <si>
    <t>Nome:</t>
  </si>
  <si>
    <t>DN:</t>
  </si>
  <si>
    <t>Data Hoje</t>
  </si>
  <si>
    <t>IG Definida</t>
  </si>
  <si>
    <t>DPP</t>
  </si>
  <si>
    <t>Cálculo IG</t>
  </si>
  <si>
    <t>Datas</t>
  </si>
  <si>
    <t>IG estimada</t>
  </si>
  <si>
    <t>Diferença</t>
  </si>
  <si>
    <t>Biometria</t>
  </si>
  <si>
    <t>IG Estimada</t>
  </si>
  <si>
    <t>uso</t>
  </si>
  <si>
    <t>parametro</t>
  </si>
  <si>
    <t>A</t>
  </si>
  <si>
    <t>valor1</t>
  </si>
  <si>
    <t>valor2</t>
  </si>
  <si>
    <t>dias</t>
  </si>
  <si>
    <t>sem</t>
  </si>
  <si>
    <t>S+D</t>
  </si>
  <si>
    <t>Retorno</t>
  </si>
  <si>
    <t>s+d</t>
  </si>
  <si>
    <t>DUM</t>
  </si>
  <si>
    <t>DSG</t>
  </si>
  <si>
    <t>mm</t>
  </si>
  <si>
    <t>Ovulação</t>
  </si>
  <si>
    <t>CCN rob</t>
  </si>
  <si>
    <t>FIV (3 dias)</t>
  </si>
  <si>
    <t>CCN I</t>
  </si>
  <si>
    <t>FIV (5 dias)</t>
  </si>
  <si>
    <t>CCN Had</t>
  </si>
  <si>
    <t>TCD</t>
  </si>
  <si>
    <t>IG (S- D)</t>
  </si>
  <si>
    <t>DBP</t>
  </si>
  <si>
    <t>IG</t>
  </si>
  <si>
    <t>CC</t>
  </si>
  <si>
    <t>S</t>
  </si>
  <si>
    <t>D</t>
  </si>
  <si>
    <t>CF</t>
  </si>
  <si>
    <t>US Anterior 1</t>
  </si>
  <si>
    <t>CC/CF</t>
  </si>
  <si>
    <t>US Anterior 2</t>
  </si>
  <si>
    <t>US Anterior 3</t>
  </si>
  <si>
    <t>Descrição</t>
  </si>
  <si>
    <t>Idade</t>
  </si>
  <si>
    <t>0s</t>
  </si>
  <si>
    <t>2s</t>
  </si>
  <si>
    <t>Ver US</t>
  </si>
  <si>
    <t>5s</t>
  </si>
  <si>
    <t>Inicial</t>
  </si>
  <si>
    <t>8-10s</t>
  </si>
  <si>
    <t>Sexo</t>
  </si>
  <si>
    <t>16s</t>
  </si>
  <si>
    <t>Morfo 2T</t>
  </si>
  <si>
    <t>20-24s</t>
  </si>
  <si>
    <t>Ecocardio</t>
  </si>
  <si>
    <t>28-32s</t>
  </si>
  <si>
    <t>3D/ Doppler</t>
  </si>
  <si>
    <t>Maturidade</t>
  </si>
  <si>
    <t>37s</t>
  </si>
  <si>
    <t>40s</t>
  </si>
  <si>
    <t>IG REDEFINIDA!</t>
  </si>
  <si>
    <t>Morfo 1T Lim</t>
  </si>
  <si>
    <t>11-14s</t>
  </si>
  <si>
    <t>12-13s</t>
  </si>
  <si>
    <t xml:space="preserve">Morfo 1T </t>
  </si>
  <si>
    <t>Data:</t>
  </si>
  <si>
    <t>DPP:</t>
  </si>
  <si>
    <t>Pai</t>
  </si>
  <si>
    <t>Gesta</t>
  </si>
  <si>
    <t>Para</t>
  </si>
  <si>
    <t>Cesária</t>
  </si>
  <si>
    <t>Aborto</t>
  </si>
  <si>
    <t>Data</t>
  </si>
  <si>
    <t>Nome</t>
  </si>
  <si>
    <t>Desfecho</t>
  </si>
  <si>
    <t>Peso</t>
  </si>
  <si>
    <t>Obs:</t>
  </si>
  <si>
    <t>N</t>
  </si>
  <si>
    <t xml:space="preserve">Medicações </t>
  </si>
  <si>
    <t>nome</t>
  </si>
  <si>
    <t>data final</t>
  </si>
  <si>
    <t>Risco</t>
  </si>
  <si>
    <t>Trombose</t>
  </si>
  <si>
    <t>PE</t>
  </si>
  <si>
    <t>Ca mama</t>
  </si>
  <si>
    <t>Ofolato</t>
  </si>
  <si>
    <t>Vit D</t>
  </si>
  <si>
    <t>Exercicios</t>
  </si>
  <si>
    <t>Alimentação</t>
  </si>
  <si>
    <t>Exames</t>
  </si>
  <si>
    <t>Hb</t>
  </si>
  <si>
    <t>L</t>
  </si>
  <si>
    <t>Ferritina</t>
  </si>
  <si>
    <t>Plaquetas</t>
  </si>
  <si>
    <t>Glicemia</t>
  </si>
  <si>
    <t>EQU</t>
  </si>
  <si>
    <t>Urocultura</t>
  </si>
  <si>
    <t>VDRL</t>
  </si>
  <si>
    <t>Toxo IgG</t>
  </si>
  <si>
    <t>Toxo IgM</t>
  </si>
  <si>
    <t>HbsAg</t>
  </si>
  <si>
    <t>TSH</t>
  </si>
  <si>
    <t>Vitamina B12</t>
  </si>
  <si>
    <t>Vitamina D</t>
  </si>
  <si>
    <t>Glic 60'</t>
  </si>
  <si>
    <t>Glic 120'</t>
  </si>
  <si>
    <t>Creatinina</t>
  </si>
  <si>
    <t>Uréia</t>
  </si>
  <si>
    <t>Ácido úrico</t>
  </si>
  <si>
    <t>Ferro sérico</t>
  </si>
  <si>
    <t>Cálcio</t>
  </si>
  <si>
    <t>Proteinúria 24 h</t>
  </si>
  <si>
    <t>Creatininúria 24h</t>
  </si>
  <si>
    <t>Rel P/C</t>
  </si>
  <si>
    <t>Relação sFlt-1/PlGF</t>
  </si>
  <si>
    <t>Rubéola IgG</t>
  </si>
  <si>
    <t>Rubéola IgM</t>
  </si>
  <si>
    <t>CMV IgG</t>
  </si>
  <si>
    <t>CMV IgM</t>
  </si>
  <si>
    <t>HIV</t>
  </si>
  <si>
    <t>HCV</t>
  </si>
  <si>
    <t>Anti Hbs</t>
  </si>
  <si>
    <t>Strepto</t>
  </si>
  <si>
    <t>Anti TPO</t>
  </si>
  <si>
    <t>Coombs Indireto</t>
  </si>
  <si>
    <t>Sódio</t>
  </si>
  <si>
    <t>Potássio</t>
  </si>
  <si>
    <t>PAAP-A</t>
  </si>
  <si>
    <t>BHCG livre</t>
  </si>
  <si>
    <t>NIPT</t>
  </si>
  <si>
    <t>Sexagem</t>
  </si>
  <si>
    <t>Amnio</t>
  </si>
  <si>
    <t>Proteina S funcional</t>
  </si>
  <si>
    <t>Mutação do gene G20210A da protrombina - Fator II</t>
  </si>
  <si>
    <t>Mutação do gene Arg 596 Trp da protrombina - Pádua II</t>
  </si>
  <si>
    <t>Mutação do gene 1298 e 677 - MTHFR</t>
  </si>
  <si>
    <t>Mutação do gene do fator V (Leiden)</t>
  </si>
  <si>
    <t>Homocisteína</t>
  </si>
  <si>
    <t>Anticorpo anticardiolipina - IgG</t>
  </si>
  <si>
    <t xml:space="preserve">Anticorpo anticardiolipina - IgM </t>
  </si>
  <si>
    <t>Anticorpo anticardiolipina - IgA</t>
  </si>
  <si>
    <t>Anticorpo antifosfatidilglicerol - IgG</t>
  </si>
  <si>
    <t>Anticorpo antifosfatidilglicerol - IgM</t>
  </si>
  <si>
    <t>Anticorpo antifosfatidilglicerol - IgA</t>
  </si>
  <si>
    <t>Anticorpo antiácido fosfatídicol - IgG, IgM e IgA</t>
  </si>
  <si>
    <t>Anticorpo antifosfatidilinositol - IgG, IgM e IgA</t>
  </si>
  <si>
    <t>Anticorpo antifosfatidilserina - IgG, IgM e IgA</t>
  </si>
  <si>
    <t>Anticorpo antifosfatidiletanolamina - IgG, IgM e IgA</t>
  </si>
  <si>
    <t>Anticorpo anti beta2 glicoproteína - IgG, IgM</t>
  </si>
  <si>
    <t>Anticorpo anticoagulante lúpico</t>
  </si>
  <si>
    <t>Vacinas</t>
  </si>
  <si>
    <t>Tipagem</t>
  </si>
  <si>
    <t>hoje</t>
  </si>
  <si>
    <t>Idade:</t>
  </si>
  <si>
    <t>altura</t>
  </si>
  <si>
    <t>IMC</t>
  </si>
  <si>
    <t>peso</t>
  </si>
  <si>
    <t>Peso adequado</t>
  </si>
  <si>
    <t>Sobrepeso</t>
  </si>
  <si>
    <t>Obesidade</t>
  </si>
  <si>
    <t>teto</t>
  </si>
  <si>
    <t>Paciente x</t>
  </si>
  <si>
    <t>Paciente y</t>
  </si>
  <si>
    <t>x</t>
  </si>
  <si>
    <t>y</t>
  </si>
  <si>
    <t>anos</t>
  </si>
  <si>
    <t>HISTÓRIA</t>
  </si>
  <si>
    <t>Peso/Obs</t>
  </si>
  <si>
    <t>VACINAS</t>
  </si>
  <si>
    <t>dTpa</t>
  </si>
  <si>
    <t>kg</t>
  </si>
  <si>
    <t>DUM:</t>
  </si>
  <si>
    <t>PN</t>
  </si>
  <si>
    <t>Hepatite</t>
  </si>
  <si>
    <t>Altura</t>
  </si>
  <si>
    <t>cm</t>
  </si>
  <si>
    <t>Ovulac:</t>
  </si>
  <si>
    <t>Cesaria</t>
  </si>
  <si>
    <t>H1N1</t>
  </si>
  <si>
    <t>TS:</t>
  </si>
  <si>
    <t>COVID</t>
  </si>
  <si>
    <t>Mãe</t>
  </si>
  <si>
    <t>FETO</t>
  </si>
  <si>
    <t>DATA</t>
  </si>
  <si>
    <t>PESO</t>
  </si>
  <si>
    <t>PA</t>
  </si>
  <si>
    <t>COLO</t>
  </si>
  <si>
    <t>BCF</t>
  </si>
  <si>
    <t>CA</t>
  </si>
  <si>
    <t>Compr</t>
  </si>
  <si>
    <t>Obs</t>
  </si>
  <si>
    <t>peso ig</t>
  </si>
  <si>
    <t>1'Trimestre</t>
  </si>
  <si>
    <t>Morfologia de primeiro trimestre</t>
  </si>
  <si>
    <t>S. Down (T21)</t>
  </si>
  <si>
    <t>1:</t>
  </si>
  <si>
    <t>Leuco</t>
  </si>
  <si>
    <t>PAPP A</t>
  </si>
  <si>
    <t>PE &lt;34 s</t>
  </si>
  <si>
    <t>E.Q.U.</t>
  </si>
  <si>
    <t>Free BHCG</t>
  </si>
  <si>
    <t>Parto prematuro</t>
  </si>
  <si>
    <t>Anti HCV</t>
  </si>
  <si>
    <t>Restriçao crescimento</t>
  </si>
  <si>
    <t xml:space="preserve">Glicemia </t>
  </si>
  <si>
    <t>CMV</t>
  </si>
  <si>
    <t>TSS</t>
  </si>
  <si>
    <t>Rubéola</t>
  </si>
  <si>
    <t>Toxo</t>
  </si>
  <si>
    <t>CP</t>
  </si>
  <si>
    <t>Coombs</t>
  </si>
  <si>
    <t>Vit. B12</t>
  </si>
  <si>
    <t>Prot. 24h</t>
  </si>
  <si>
    <t xml:space="preserve">Strepto B </t>
  </si>
  <si>
    <t>Calendário da gestação</t>
  </si>
  <si>
    <t>Semanas</t>
  </si>
  <si>
    <t>Meses</t>
  </si>
  <si>
    <t>ECO</t>
  </si>
  <si>
    <t>Observações</t>
  </si>
  <si>
    <t>Ovulação/ concepção</t>
  </si>
  <si>
    <t>Atraso</t>
  </si>
  <si>
    <t>INI</t>
  </si>
  <si>
    <t>Consulta + Exames</t>
  </si>
  <si>
    <t>TN</t>
  </si>
  <si>
    <t>Consulta</t>
  </si>
  <si>
    <t>Definição do sexo</t>
  </si>
  <si>
    <t xml:space="preserve">Consulta </t>
  </si>
  <si>
    <t>Doppler e 3D</t>
  </si>
  <si>
    <t>Rua Edundo Lauffer 299 sala 601 - Igrejinha - RS</t>
  </si>
  <si>
    <r>
      <rPr>
        <sz val="10"/>
        <color theme="9" tint="-0.499984740745262"/>
        <rFont val="Wingdings"/>
        <charset val="2"/>
      </rPr>
      <t>)</t>
    </r>
    <r>
      <rPr>
        <sz val="10"/>
        <color theme="9" tint="-0.499984740745262"/>
        <rFont val="Arial"/>
        <family val="2"/>
      </rPr>
      <t>: 3545 1203 / 98175 4919</t>
    </r>
  </si>
  <si>
    <t>www.cadius.com.br            cadius4d@hotmail.com</t>
  </si>
  <si>
    <t>Dr. Rafael Peters</t>
  </si>
  <si>
    <t>Bebê</t>
  </si>
  <si>
    <t>Maturidade / Consulta</t>
  </si>
  <si>
    <t>CREMERS 19676</t>
  </si>
  <si>
    <t>Data estimada do Parto</t>
  </si>
  <si>
    <r>
      <t xml:space="preserve">) </t>
    </r>
    <r>
      <rPr>
        <sz val="11"/>
        <color theme="9" tint="-0.499984740745262"/>
        <rFont val="Calibri"/>
        <family val="2"/>
        <scheme val="minor"/>
      </rPr>
      <t>984998888</t>
    </r>
  </si>
  <si>
    <t>Calculo de percentil do peso conforme a IG</t>
  </si>
  <si>
    <t>IG  (sem)</t>
  </si>
  <si>
    <t xml:space="preserve"> entrar com a IG em semanas</t>
  </si>
  <si>
    <t>peso (g)</t>
  </si>
  <si>
    <t>entrar com o peso em gramas</t>
  </si>
  <si>
    <t>Baseado em :</t>
  </si>
  <si>
    <t>Hadlock FP, Harrist RB, Martinez-Poyer J. In utero analysis of fetal growth: a sonographic weight standard. /Radiology/ 1991;181(1):129-33.</t>
  </si>
  <si>
    <t>peso no percentil 50</t>
  </si>
  <si>
    <t>peso estimado = EXP(0,578+0,332*(GA)-0,00354*(GA)^2));0)</t>
  </si>
  <si>
    <t>Zscore</t>
  </si>
  <si>
    <t xml:space="preserve">percentil </t>
  </si>
  <si>
    <t>Quanto pesaria um feto neste percentil com 40 semanas</t>
  </si>
  <si>
    <t>projeção  40 semanas</t>
  </si>
  <si>
    <t>Kipros</t>
  </si>
  <si>
    <t xml:space="preserve">Fetal Diagn Ther 2012;32:156–165 </t>
  </si>
  <si>
    <t>peso %50</t>
  </si>
  <si>
    <t>Estimated mean birthweight = 3,459.382 + 156.069 × (GA – 40) – 11.784 × (GA – 40)2 – 0.674 × (GA – 40)3; R2 = 0.350, p &lt; 0.0001.</t>
  </si>
  <si>
    <t>fitted SD</t>
  </si>
  <si>
    <t>Fitted SD = √(π/2) × [–22.903 + 0.151 × (estimated mean birthweight) – 1.393e-05 × (estimated mean birthweight)2].</t>
  </si>
  <si>
    <t>percentil</t>
  </si>
  <si>
    <t>Projeção 40 semanas</t>
  </si>
  <si>
    <t>F:\CADI Dropbox\Rafael Peters\!CADI\4dview_Archive\IMAGE\Y2022M05\D26\E0000001\I0000001.dcm</t>
  </si>
  <si>
    <t>TABELA DE DBP - INTERGROWTH</t>
  </si>
  <si>
    <t>PERCENTIS</t>
  </si>
  <si>
    <t>TABELA GRAFICO</t>
  </si>
  <si>
    <t>c</t>
  </si>
  <si>
    <t>e</t>
  </si>
  <si>
    <t>Percentil</t>
  </si>
  <si>
    <t>num</t>
  </si>
  <si>
    <t>SD</t>
  </si>
  <si>
    <t>EX</t>
  </si>
  <si>
    <t>IG (perc)</t>
  </si>
  <si>
    <t>B</t>
  </si>
  <si>
    <t>Ultrassonografias</t>
  </si>
  <si>
    <t>CCN</t>
  </si>
  <si>
    <t>Lista de problemas / Cirurgias</t>
  </si>
  <si>
    <t>ATOPIAS</t>
  </si>
  <si>
    <t>Covid</t>
  </si>
  <si>
    <t>HbA1c</t>
  </si>
  <si>
    <t>1 trimestre</t>
  </si>
  <si>
    <t>2 trimestre</t>
  </si>
  <si>
    <t>Doppler</t>
  </si>
  <si>
    <t>PCR US</t>
  </si>
  <si>
    <t>menor 1</t>
  </si>
  <si>
    <t>sp</t>
  </si>
  <si>
    <t>&lt;6</t>
  </si>
  <si>
    <t>&lt;1</t>
  </si>
  <si>
    <t>&gt;10</t>
  </si>
  <si>
    <t>&gt;1</t>
  </si>
  <si>
    <t>&gt;1,6</t>
  </si>
  <si>
    <t>&gt;3</t>
  </si>
  <si>
    <t>&gt;0,6</t>
  </si>
  <si>
    <t>NR</t>
  </si>
  <si>
    <t>BCHG</t>
  </si>
  <si>
    <t>&gt;2,5</t>
  </si>
  <si>
    <t>&gt;300</t>
  </si>
  <si>
    <t>&gt;30</t>
  </si>
  <si>
    <t>Ana Carolina Silveira e Silva Streit</t>
  </si>
  <si>
    <t>teste</t>
  </si>
  <si>
    <t>exames 1T</t>
  </si>
  <si>
    <t>US morfo 1T</t>
  </si>
  <si>
    <t>morfo 2T</t>
  </si>
  <si>
    <t>ecocardio</t>
  </si>
  <si>
    <t>exames 3T</t>
  </si>
  <si>
    <t>US3T</t>
  </si>
  <si>
    <t>FTA-ABS</t>
  </si>
  <si>
    <t>Saturação da Transferrina</t>
  </si>
  <si>
    <t>Exames iniciais</t>
  </si>
  <si>
    <t>receita inicial</t>
  </si>
  <si>
    <t>Morfo 1T</t>
  </si>
  <si>
    <t>Exames 2T</t>
  </si>
  <si>
    <t>receita AAS e Cálcio</t>
  </si>
  <si>
    <t>Corticoide</t>
  </si>
  <si>
    <t>Nutricionista</t>
  </si>
  <si>
    <t>Orientações gerais</t>
  </si>
  <si>
    <t>Exames 3T</t>
  </si>
  <si>
    <t>NÃO</t>
  </si>
  <si>
    <t>Normais</t>
  </si>
  <si>
    <t>&lt;95</t>
  </si>
  <si>
    <t>&lt;5,7</t>
  </si>
  <si>
    <t>nr</t>
  </si>
  <si>
    <t>2col</t>
  </si>
  <si>
    <t>ig.</t>
  </si>
  <si>
    <t>Feto</t>
  </si>
  <si>
    <t>Inicio pré natal</t>
  </si>
  <si>
    <t>Z</t>
  </si>
  <si>
    <t>%</t>
  </si>
  <si>
    <t>OBS</t>
  </si>
  <si>
    <t>Marido</t>
  </si>
  <si>
    <t>bhcg</t>
  </si>
  <si>
    <t>Dozemast</t>
  </si>
  <si>
    <t>Doss</t>
  </si>
  <si>
    <t>Dexfer</t>
  </si>
  <si>
    <t>Data início</t>
  </si>
  <si>
    <t>DTPA (20 - 26 sem)</t>
  </si>
  <si>
    <t>Anti hbs</t>
  </si>
  <si>
    <t>OK</t>
  </si>
  <si>
    <t>História familiar e fateres de risco</t>
  </si>
  <si>
    <t/>
  </si>
  <si>
    <t>Especialista em Ginecologia e Obstetricia RQE 1041</t>
  </si>
  <si>
    <t>Pós graduação em Medicina Fetal pela UNIFESP - RQE 38073</t>
  </si>
  <si>
    <t>Rafael da silva junior</t>
  </si>
  <si>
    <t>BebÊ da MÃE Dinà</t>
  </si>
  <si>
    <t>SIS</t>
  </si>
  <si>
    <t>DI&gt;</t>
  </si>
  <si>
    <t>Di&lt;</t>
  </si>
  <si>
    <t>SI&lt;</t>
  </si>
  <si>
    <t>SI&gt;</t>
  </si>
  <si>
    <t>LAB</t>
  </si>
  <si>
    <t>Jejum</t>
  </si>
  <si>
    <t>baseado em exame anterior realizado dia 10-12-24 com 14+6</t>
  </si>
  <si>
    <t>IG definida em 24 sem e 2 dias no dia 14-02-25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</si>
</sst>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"/>
    <numFmt numFmtId="166" formatCode="dd/mm/yy;@"/>
    <numFmt numFmtId="167" formatCode="d/m/yy;@"/>
  </numFmts>
  <fonts count="73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4"/>
      <color rgb="FFFFFF00"/>
      <name val="Arial"/>
      <family val="2"/>
    </font>
    <font>
      <b/>
      <sz val="20"/>
      <name val="Arial"/>
      <family val="2"/>
    </font>
    <font>
      <b/>
      <sz val="18"/>
      <color theme="9" tint="-0.249977111117893"/>
      <name val="Arial"/>
      <family val="2"/>
    </font>
    <font>
      <b/>
      <sz val="20"/>
      <color theme="8" tint="0.39997558519241921"/>
      <name val="Arial"/>
      <family val="2"/>
    </font>
    <font>
      <b/>
      <sz val="11"/>
      <color theme="8" tint="0.79998168889431442"/>
      <name val="Arial"/>
      <family val="2"/>
    </font>
    <font>
      <b/>
      <sz val="16"/>
      <name val="Arial"/>
      <family val="2"/>
    </font>
    <font>
      <b/>
      <sz val="20"/>
      <color theme="6" tint="-0.249977111117893"/>
      <name val="Arial"/>
      <family val="2"/>
    </font>
    <font>
      <b/>
      <sz val="20"/>
      <color theme="7" tint="0.39997558519241921"/>
      <name val="Arial"/>
      <family val="2"/>
    </font>
    <font>
      <b/>
      <sz val="20"/>
      <color theme="9" tint="-0.249977111117893"/>
      <name val="Arial"/>
      <family val="2"/>
    </font>
    <font>
      <sz val="18"/>
      <color rgb="FFFFC000"/>
      <name val="Arial"/>
      <family val="2"/>
    </font>
    <font>
      <b/>
      <sz val="12"/>
      <name val="Arial"/>
      <family val="2"/>
    </font>
    <font>
      <b/>
      <sz val="12"/>
      <color theme="8" tint="0.39997558519241921"/>
      <name val="Arial"/>
      <family val="2"/>
    </font>
    <font>
      <sz val="10"/>
      <name val="Arial"/>
      <family val="2"/>
    </font>
    <font>
      <b/>
      <sz val="12"/>
      <color theme="9" tint="-0.249977111117893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b/>
      <sz val="12"/>
      <color rgb="FF00B0F0"/>
      <name val="Arial"/>
      <family val="2"/>
    </font>
    <font>
      <sz val="12"/>
      <color theme="0" tint="-0.249977111117893"/>
      <name val="Arial"/>
      <family val="2"/>
    </font>
    <font>
      <sz val="11"/>
      <color theme="0" tint="-0.249977111117893"/>
      <name val="Calibri"/>
      <family val="2"/>
      <scheme val="minor"/>
    </font>
    <font>
      <b/>
      <sz val="12"/>
      <color theme="1"/>
      <name val="Arial"/>
      <family val="2"/>
    </font>
    <font>
      <b/>
      <sz val="18"/>
      <color theme="5" tint="-0.249977111117893"/>
      <name val="Arial"/>
      <family val="2"/>
    </font>
    <font>
      <b/>
      <sz val="18"/>
      <color rgb="FFFF9933"/>
      <name val="Arial"/>
      <family val="2"/>
    </font>
    <font>
      <b/>
      <sz val="12"/>
      <color rgb="FFFF9933"/>
      <name val="Arial"/>
      <family val="2"/>
    </font>
    <font>
      <b/>
      <sz val="12"/>
      <color rgb="FFB17ED8"/>
      <name val="Arial"/>
      <family val="2"/>
    </font>
    <font>
      <b/>
      <sz val="12"/>
      <color theme="7" tint="-0.249977111117893"/>
      <name val="Arial"/>
      <family val="2"/>
    </font>
    <font>
      <sz val="12"/>
      <color theme="7" tint="-0.249977111117893"/>
      <name val="Arial"/>
      <family val="2"/>
    </font>
    <font>
      <sz val="12"/>
      <color rgb="FFFFFF00"/>
      <name val="Arial"/>
      <family val="2"/>
    </font>
    <font>
      <b/>
      <sz val="12"/>
      <color rgb="FFFFFF00"/>
      <name val="Arial"/>
      <family val="2"/>
    </font>
    <font>
      <sz val="11"/>
      <color theme="1"/>
      <name val="Arial"/>
      <family val="2"/>
    </font>
    <font>
      <sz val="11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6666"/>
      <name val="Calibri"/>
      <family val="2"/>
      <scheme val="minor"/>
    </font>
    <font>
      <sz val="11"/>
      <color rgb="FF00666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9" tint="-0.499984740745262"/>
      <name val="Arial"/>
      <family val="2"/>
    </font>
    <font>
      <b/>
      <sz val="11"/>
      <color theme="9" tint="-0.499984740745262"/>
      <name val="Calibri"/>
      <family val="2"/>
      <scheme val="minor"/>
    </font>
    <font>
      <sz val="10"/>
      <color theme="9" tint="-0.499984740745262"/>
      <name val="Arial"/>
      <family val="2"/>
    </font>
    <font>
      <sz val="10"/>
      <color theme="9" tint="-0.499984740745262"/>
      <name val="Arial"/>
      <family val="2"/>
      <charset val="2"/>
    </font>
    <font>
      <sz val="10"/>
      <color theme="9" tint="-0.499984740745262"/>
      <name val="Wingdings"/>
      <charset val="2"/>
    </font>
    <font>
      <b/>
      <sz val="11"/>
      <color theme="9" tint="-0.499984740745262"/>
      <name val="Arial"/>
      <family val="2"/>
    </font>
    <font>
      <sz val="11"/>
      <color theme="9" tint="-0.499984740745262"/>
      <name val="Wingdings"/>
      <charset val="2"/>
    </font>
    <font>
      <b/>
      <sz val="11"/>
      <color theme="5" tint="0.5999938962981048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249977111117893"/>
      <name val="Arial"/>
      <family val="2"/>
    </font>
    <font>
      <sz val="12"/>
      <color theme="8" tint="-0.249977111117893"/>
      <name val="Arial"/>
      <family val="2"/>
    </font>
    <font>
      <sz val="10"/>
      <color theme="1"/>
      <name val="Arial"/>
      <family val="2"/>
    </font>
    <font>
      <sz val="10"/>
      <color theme="1"/>
      <name val="Arial Nova Cond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 Nova Cond"/>
      <family val="2"/>
    </font>
    <font>
      <sz val="8"/>
      <name val="Arial Nova Cond"/>
      <family val="2"/>
    </font>
    <font>
      <sz val="8"/>
      <color theme="0" tint="-0.34998626667073579"/>
      <name val="Arial Nova Cond"/>
      <family val="2"/>
    </font>
    <font>
      <sz val="8"/>
      <color theme="0" tint="-0.34998626667073579"/>
      <name val="Arial"/>
      <family val="2"/>
    </font>
    <font>
      <sz val="10"/>
      <color theme="8" tint="-0.249977111117893"/>
      <name val="Arial Nova Cond"/>
      <family val="2"/>
    </font>
    <font>
      <b/>
      <sz val="10"/>
      <color theme="8" tint="-0.249977111117893"/>
      <name val="Arial Nova Cond"/>
      <family val="2"/>
    </font>
    <font>
      <sz val="8"/>
      <color theme="8" tint="-0.249977111117893"/>
      <name val="Arial Nova Cond"/>
      <family val="2"/>
    </font>
    <font>
      <b/>
      <sz val="8"/>
      <color theme="8" tint="-0.249977111117893"/>
      <name val="Arial Nova Cond"/>
      <family val="2"/>
    </font>
    <font>
      <b/>
      <sz val="10"/>
      <color theme="8" tint="-0.249977111117893"/>
      <name val="Arial Rounded MT Bold"/>
      <family val="2"/>
    </font>
    <font>
      <b/>
      <sz val="11"/>
      <color theme="8" tint="-0.249977111117893"/>
      <name val="Arial"/>
      <family val="2"/>
    </font>
    <font>
      <sz val="9"/>
      <color theme="0" tint="-0.249977111117893"/>
      <name val="Arial"/>
      <family val="2"/>
    </font>
    <font>
      <sz val="24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6600"/>
      </left>
      <right/>
      <top style="medium">
        <color rgb="FF006600"/>
      </top>
      <bottom style="thin">
        <color indexed="64"/>
      </bottom>
      <diagonal/>
    </border>
    <border>
      <left/>
      <right/>
      <top style="medium">
        <color rgb="FF006600"/>
      </top>
      <bottom style="thin">
        <color indexed="64"/>
      </bottom>
      <diagonal/>
    </border>
    <border>
      <left/>
      <right/>
      <top style="medium">
        <color rgb="FF006600"/>
      </top>
      <bottom/>
      <diagonal/>
    </border>
    <border>
      <left/>
      <right style="medium">
        <color rgb="FF006600"/>
      </right>
      <top style="medium">
        <color rgb="FF006600"/>
      </top>
      <bottom style="thin">
        <color indexed="64"/>
      </bottom>
      <diagonal/>
    </border>
    <border>
      <left style="medium">
        <color rgb="FF0066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6600"/>
      </right>
      <top style="thin">
        <color indexed="64"/>
      </top>
      <bottom style="thin">
        <color indexed="64"/>
      </bottom>
      <diagonal/>
    </border>
    <border>
      <left style="medium">
        <color rgb="FF006600"/>
      </left>
      <right/>
      <top/>
      <bottom/>
      <diagonal/>
    </border>
    <border>
      <left/>
      <right style="medium">
        <color rgb="FF006600"/>
      </right>
      <top/>
      <bottom/>
      <diagonal/>
    </border>
    <border>
      <left/>
      <right style="medium">
        <color rgb="FF006600"/>
      </right>
      <top style="thin">
        <color indexed="64"/>
      </top>
      <bottom style="thin">
        <color indexed="64"/>
      </bottom>
      <diagonal/>
    </border>
    <border>
      <left style="medium">
        <color rgb="FF0066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6600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6600"/>
      </left>
      <right style="thin">
        <color indexed="64"/>
      </right>
      <top style="thin">
        <color indexed="64"/>
      </top>
      <bottom/>
      <diagonal/>
    </border>
    <border>
      <left style="medium">
        <color rgb="FF006600"/>
      </left>
      <right style="thin">
        <color indexed="64"/>
      </right>
      <top style="thin">
        <color indexed="64"/>
      </top>
      <bottom style="medium">
        <color rgb="FF0066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6600"/>
      </bottom>
      <diagonal/>
    </border>
    <border>
      <left style="thin">
        <color indexed="64"/>
      </left>
      <right/>
      <top style="thin">
        <color indexed="64"/>
      </top>
      <bottom style="medium">
        <color rgb="FF006600"/>
      </bottom>
      <diagonal/>
    </border>
    <border>
      <left/>
      <right style="thin">
        <color indexed="64"/>
      </right>
      <top style="thin">
        <color indexed="64"/>
      </top>
      <bottom style="medium">
        <color rgb="FF006600"/>
      </bottom>
      <diagonal/>
    </border>
    <border>
      <left/>
      <right/>
      <top style="thin">
        <color indexed="64"/>
      </top>
      <bottom style="medium">
        <color rgb="FF00660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9" tint="-0.499984740745262"/>
      </right>
      <top style="thin">
        <color theme="9" tint="-0.499984740745262"/>
      </top>
      <bottom style="thin">
        <color indexed="64"/>
      </bottom>
      <diagonal/>
    </border>
    <border>
      <left style="thin">
        <color theme="9" tint="-0.499984740745262"/>
      </left>
      <right style="thin">
        <color indexed="64"/>
      </right>
      <top style="thin">
        <color indexed="64"/>
      </top>
      <bottom style="thin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9" tint="-0.499984740745262"/>
      </bottom>
      <diagonal/>
    </border>
    <border>
      <left style="thin">
        <color indexed="64"/>
      </left>
      <right style="thin">
        <color theme="9" tint="-0.499984740745262"/>
      </right>
      <top style="thin">
        <color indexed="64"/>
      </top>
      <bottom style="thin">
        <color theme="9" tint="-0.499984740745262"/>
      </bottom>
      <diagonal/>
    </border>
    <border>
      <left/>
      <right style="thin">
        <color theme="9" tint="-0.499984740745262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6600"/>
      </left>
      <right/>
      <top/>
      <bottom style="thin">
        <color indexed="64"/>
      </bottom>
      <diagonal/>
    </border>
    <border>
      <left/>
      <right style="medium">
        <color rgb="FF006600"/>
      </right>
      <top/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4">
    <xf numFmtId="0" fontId="0" fillId="0" borderId="0"/>
    <xf numFmtId="0" fontId="32" fillId="0" borderId="0"/>
    <xf numFmtId="9" fontId="32" fillId="0" borderId="0" applyFont="0" applyFill="0" applyBorder="0" applyAlignment="0" applyProtection="0"/>
    <xf numFmtId="0" fontId="39" fillId="0" borderId="0" applyNumberFormat="0" applyFill="0" applyBorder="0" applyAlignment="0" applyProtection="0"/>
  </cellStyleXfs>
  <cellXfs count="39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" fillId="3" borderId="7" xfId="0" applyFont="1" applyFill="1" applyBorder="1"/>
    <xf numFmtId="14" fontId="11" fillId="3" borderId="7" xfId="0" applyNumberFormat="1" applyFont="1" applyFill="1" applyBorder="1" applyAlignment="1">
      <alignment horizontal="center" vertical="center"/>
    </xf>
    <xf numFmtId="14" fontId="11" fillId="3" borderId="8" xfId="0" applyNumberFormat="1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4" fillId="3" borderId="0" xfId="0" applyFont="1" applyFill="1"/>
    <xf numFmtId="0" fontId="15" fillId="3" borderId="1" xfId="0" applyFont="1" applyFill="1" applyBorder="1"/>
    <xf numFmtId="0" fontId="15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left"/>
    </xf>
    <xf numFmtId="14" fontId="13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0" fontId="14" fillId="3" borderId="1" xfId="0" applyFont="1" applyFill="1" applyBorder="1"/>
    <xf numFmtId="14" fontId="13" fillId="3" borderId="1" xfId="0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/>
    <xf numFmtId="0" fontId="19" fillId="3" borderId="0" xfId="0" applyFont="1" applyFill="1"/>
    <xf numFmtId="0" fontId="19" fillId="3" borderId="0" xfId="0" applyFont="1" applyFill="1" applyAlignment="1">
      <alignment horizontal="center"/>
    </xf>
    <xf numFmtId="0" fontId="20" fillId="3" borderId="0" xfId="0" applyFont="1" applyFill="1" applyAlignment="1">
      <alignment horizontal="center"/>
    </xf>
    <xf numFmtId="0" fontId="21" fillId="3" borderId="1" xfId="0" applyFont="1" applyFill="1" applyBorder="1" applyAlignment="1">
      <alignment horizontal="left"/>
    </xf>
    <xf numFmtId="0" fontId="16" fillId="3" borderId="1" xfId="0" applyFont="1" applyFill="1" applyBorder="1" applyAlignment="1">
      <alignment horizontal="center"/>
    </xf>
    <xf numFmtId="14" fontId="17" fillId="3" borderId="1" xfId="0" applyNumberFormat="1" applyFont="1" applyFill="1" applyBorder="1"/>
    <xf numFmtId="17" fontId="16" fillId="3" borderId="1" xfId="0" quotePrefix="1" applyNumberFormat="1" applyFont="1" applyFill="1" applyBorder="1" applyAlignment="1">
      <alignment horizontal="center"/>
    </xf>
    <xf numFmtId="0" fontId="24" fillId="3" borderId="1" xfId="0" applyFont="1" applyFill="1" applyBorder="1"/>
    <xf numFmtId="0" fontId="24" fillId="3" borderId="1" xfId="0" applyFont="1" applyFill="1" applyBorder="1" applyAlignment="1">
      <alignment horizontal="center"/>
    </xf>
    <xf numFmtId="0" fontId="25" fillId="3" borderId="1" xfId="0" applyFont="1" applyFill="1" applyBorder="1"/>
    <xf numFmtId="0" fontId="25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30" fillId="0" borderId="0" xfId="0" applyFont="1"/>
    <xf numFmtId="0" fontId="14" fillId="0" borderId="0" xfId="0" applyFont="1"/>
    <xf numFmtId="0" fontId="32" fillId="0" borderId="0" xfId="1"/>
    <xf numFmtId="14" fontId="32" fillId="0" borderId="0" xfId="1" applyNumberFormat="1"/>
    <xf numFmtId="0" fontId="36" fillId="0" borderId="18" xfId="1" applyFont="1" applyBorder="1"/>
    <xf numFmtId="0" fontId="32" fillId="0" borderId="19" xfId="1" applyBorder="1"/>
    <xf numFmtId="0" fontId="35" fillId="0" borderId="19" xfId="1" applyFont="1" applyBorder="1"/>
    <xf numFmtId="0" fontId="35" fillId="0" borderId="20" xfId="1" applyFont="1" applyBorder="1"/>
    <xf numFmtId="0" fontId="32" fillId="0" borderId="20" xfId="1" applyBorder="1"/>
    <xf numFmtId="0" fontId="32" fillId="0" borderId="21" xfId="1" applyBorder="1"/>
    <xf numFmtId="0" fontId="37" fillId="4" borderId="22" xfId="1" applyFont="1" applyFill="1" applyBorder="1"/>
    <xf numFmtId="14" fontId="32" fillId="0" borderId="1" xfId="1" applyNumberFormat="1" applyBorder="1" applyAlignment="1">
      <alignment horizontal="center"/>
    </xf>
    <xf numFmtId="0" fontId="37" fillId="4" borderId="1" xfId="1" applyFont="1" applyFill="1" applyBorder="1"/>
    <xf numFmtId="0" fontId="32" fillId="0" borderId="11" xfId="1" applyBorder="1"/>
    <xf numFmtId="0" fontId="37" fillId="4" borderId="12" xfId="1" applyFont="1" applyFill="1" applyBorder="1"/>
    <xf numFmtId="0" fontId="37" fillId="4" borderId="13" xfId="1" applyFont="1" applyFill="1" applyBorder="1"/>
    <xf numFmtId="0" fontId="37" fillId="4" borderId="2" xfId="1" applyFont="1" applyFill="1" applyBorder="1"/>
    <xf numFmtId="0" fontId="38" fillId="4" borderId="9" xfId="1" applyFont="1" applyFill="1" applyBorder="1"/>
    <xf numFmtId="0" fontId="32" fillId="0" borderId="1" xfId="1" applyBorder="1"/>
    <xf numFmtId="0" fontId="32" fillId="0" borderId="16" xfId="1" applyBorder="1" applyAlignment="1">
      <alignment horizontal="center"/>
    </xf>
    <xf numFmtId="0" fontId="32" fillId="0" borderId="24" xfId="1" applyBorder="1"/>
    <xf numFmtId="0" fontId="32" fillId="0" borderId="16" xfId="1" applyBorder="1" applyAlignment="1">
      <alignment horizontal="right"/>
    </xf>
    <xf numFmtId="0" fontId="32" fillId="0" borderId="17" xfId="1" applyBorder="1" applyAlignment="1">
      <alignment horizontal="left"/>
    </xf>
    <xf numFmtId="0" fontId="32" fillId="0" borderId="17" xfId="1" applyBorder="1"/>
    <xf numFmtId="0" fontId="37" fillId="4" borderId="16" xfId="1" applyFont="1" applyFill="1" applyBorder="1"/>
    <xf numFmtId="0" fontId="32" fillId="0" borderId="16" xfId="1" applyBorder="1"/>
    <xf numFmtId="0" fontId="32" fillId="0" borderId="23" xfId="1" applyBorder="1"/>
    <xf numFmtId="0" fontId="37" fillId="5" borderId="23" xfId="1" applyFont="1" applyFill="1" applyBorder="1" applyAlignment="1">
      <alignment vertical="center" textRotation="90"/>
    </xf>
    <xf numFmtId="0" fontId="37" fillId="5" borderId="23" xfId="1" applyFont="1" applyFill="1" applyBorder="1"/>
    <xf numFmtId="20" fontId="32" fillId="5" borderId="23" xfId="1" quotePrefix="1" applyNumberFormat="1" applyFill="1" applyBorder="1"/>
    <xf numFmtId="0" fontId="32" fillId="5" borderId="17" xfId="1" applyFill="1" applyBorder="1" applyAlignment="1">
      <alignment horizontal="left"/>
    </xf>
    <xf numFmtId="0" fontId="20" fillId="0" borderId="1" xfId="1" applyFont="1" applyBorder="1"/>
    <xf numFmtId="16" fontId="32" fillId="0" borderId="1" xfId="1" applyNumberFormat="1" applyBorder="1"/>
    <xf numFmtId="0" fontId="35" fillId="0" borderId="1" xfId="1" applyFont="1" applyBorder="1" applyAlignment="1">
      <alignment horizontal="right"/>
    </xf>
    <xf numFmtId="0" fontId="35" fillId="0" borderId="1" xfId="1" quotePrefix="1" applyFont="1" applyBorder="1"/>
    <xf numFmtId="0" fontId="32" fillId="0" borderId="1" xfId="1" applyBorder="1" applyAlignment="1">
      <alignment horizontal="center"/>
    </xf>
    <xf numFmtId="0" fontId="32" fillId="5" borderId="23" xfId="1" quotePrefix="1" applyFill="1" applyBorder="1"/>
    <xf numFmtId="0" fontId="32" fillId="0" borderId="25" xfId="1" applyBorder="1"/>
    <xf numFmtId="0" fontId="32" fillId="0" borderId="26" xfId="1" applyBorder="1"/>
    <xf numFmtId="0" fontId="37" fillId="4" borderId="16" xfId="1" applyFont="1" applyFill="1" applyBorder="1" applyAlignment="1">
      <alignment horizontal="center"/>
    </xf>
    <xf numFmtId="0" fontId="37" fillId="4" borderId="17" xfId="1" applyFont="1" applyFill="1" applyBorder="1" applyAlignment="1">
      <alignment horizontal="center"/>
    </xf>
    <xf numFmtId="0" fontId="37" fillId="4" borderId="22" xfId="1" applyFont="1" applyFill="1" applyBorder="1" applyAlignment="1">
      <alignment horizontal="center"/>
    </xf>
    <xf numFmtId="0" fontId="37" fillId="4" borderId="1" xfId="1" applyFont="1" applyFill="1" applyBorder="1" applyAlignment="1">
      <alignment horizontal="center"/>
    </xf>
    <xf numFmtId="0" fontId="38" fillId="4" borderId="16" xfId="1" applyFont="1" applyFill="1" applyBorder="1"/>
    <xf numFmtId="0" fontId="38" fillId="4" borderId="23" xfId="1" applyFont="1" applyFill="1" applyBorder="1"/>
    <xf numFmtId="0" fontId="37" fillId="4" borderId="23" xfId="1" applyFont="1" applyFill="1" applyBorder="1"/>
    <xf numFmtId="0" fontId="38" fillId="4" borderId="27" xfId="1" applyFont="1" applyFill="1" applyBorder="1"/>
    <xf numFmtId="16" fontId="32" fillId="0" borderId="22" xfId="1" applyNumberFormat="1" applyBorder="1" applyAlignment="1">
      <alignment horizontal="center"/>
    </xf>
    <xf numFmtId="0" fontId="35" fillId="0" borderId="1" xfId="1" applyFont="1" applyBorder="1" applyAlignment="1">
      <alignment horizontal="center"/>
    </xf>
    <xf numFmtId="0" fontId="32" fillId="0" borderId="27" xfId="1" applyBorder="1"/>
    <xf numFmtId="17" fontId="32" fillId="0" borderId="23" xfId="1" applyNumberFormat="1" applyBorder="1"/>
    <xf numFmtId="0" fontId="32" fillId="0" borderId="22" xfId="1" applyBorder="1" applyAlignment="1">
      <alignment horizontal="center"/>
    </xf>
    <xf numFmtId="0" fontId="32" fillId="0" borderId="28" xfId="1" applyBorder="1"/>
    <xf numFmtId="0" fontId="32" fillId="0" borderId="23" xfId="1" applyBorder="1" applyAlignment="1">
      <alignment horizontal="center"/>
    </xf>
    <xf numFmtId="16" fontId="32" fillId="0" borderId="1" xfId="1" applyNumberFormat="1" applyBorder="1" applyAlignment="1">
      <alignment horizontal="right"/>
    </xf>
    <xf numFmtId="0" fontId="37" fillId="5" borderId="16" xfId="1" applyFont="1" applyFill="1" applyBorder="1"/>
    <xf numFmtId="0" fontId="37" fillId="4" borderId="16" xfId="1" applyFont="1" applyFill="1" applyBorder="1" applyAlignment="1">
      <alignment horizontal="left"/>
    </xf>
    <xf numFmtId="0" fontId="37" fillId="4" borderId="23" xfId="1" applyFont="1" applyFill="1" applyBorder="1" applyAlignment="1">
      <alignment horizontal="left"/>
    </xf>
    <xf numFmtId="0" fontId="37" fillId="4" borderId="17" xfId="1" applyFont="1" applyFill="1" applyBorder="1" applyAlignment="1">
      <alignment horizontal="left"/>
    </xf>
    <xf numFmtId="0" fontId="32" fillId="0" borderId="12" xfId="1" applyBorder="1"/>
    <xf numFmtId="0" fontId="32" fillId="0" borderId="1" xfId="1" applyBorder="1" applyAlignment="1">
      <alignment horizontal="right"/>
    </xf>
    <xf numFmtId="16" fontId="32" fillId="5" borderId="16" xfId="1" applyNumberFormat="1" applyFill="1" applyBorder="1"/>
    <xf numFmtId="0" fontId="37" fillId="5" borderId="17" xfId="1" applyFont="1" applyFill="1" applyBorder="1" applyAlignment="1">
      <alignment vertical="center" textRotation="90"/>
    </xf>
    <xf numFmtId="0" fontId="32" fillId="4" borderId="23" xfId="1" applyFill="1" applyBorder="1"/>
    <xf numFmtId="20" fontId="32" fillId="0" borderId="16" xfId="1" quotePrefix="1" applyNumberFormat="1" applyBorder="1"/>
    <xf numFmtId="1" fontId="32" fillId="0" borderId="23" xfId="1" quotePrefix="1" applyNumberFormat="1" applyBorder="1"/>
    <xf numFmtId="164" fontId="0" fillId="0" borderId="27" xfId="2" applyNumberFormat="1" applyFont="1" applyBorder="1"/>
    <xf numFmtId="16" fontId="32" fillId="0" borderId="0" xfId="1" applyNumberFormat="1"/>
    <xf numFmtId="0" fontId="32" fillId="5" borderId="16" xfId="1" applyFill="1" applyBorder="1"/>
    <xf numFmtId="20" fontId="32" fillId="0" borderId="2" xfId="1" quotePrefix="1" applyNumberFormat="1" applyBorder="1"/>
    <xf numFmtId="1" fontId="32" fillId="0" borderId="3" xfId="1" quotePrefix="1" applyNumberFormat="1" applyBorder="1"/>
    <xf numFmtId="0" fontId="37" fillId="4" borderId="3" xfId="1" applyFont="1" applyFill="1" applyBorder="1"/>
    <xf numFmtId="0" fontId="32" fillId="0" borderId="16" xfId="1" quotePrefix="1" applyBorder="1"/>
    <xf numFmtId="0" fontId="32" fillId="0" borderId="2" xfId="1" applyBorder="1"/>
    <xf numFmtId="0" fontId="32" fillId="0" borderId="9" xfId="1" applyBorder="1" applyAlignment="1">
      <alignment horizontal="center"/>
    </xf>
    <xf numFmtId="0" fontId="32" fillId="0" borderId="3" xfId="1" applyBorder="1"/>
    <xf numFmtId="0" fontId="32" fillId="0" borderId="29" xfId="1" applyBorder="1"/>
    <xf numFmtId="0" fontId="32" fillId="0" borderId="30" xfId="1" applyBorder="1"/>
    <xf numFmtId="0" fontId="37" fillId="5" borderId="31" xfId="1" applyFont="1" applyFill="1" applyBorder="1"/>
    <xf numFmtId="0" fontId="32" fillId="5" borderId="31" xfId="1" applyFill="1" applyBorder="1"/>
    <xf numFmtId="0" fontId="32" fillId="5" borderId="31" xfId="1" applyFill="1" applyBorder="1" applyAlignment="1">
      <alignment horizontal="center"/>
    </xf>
    <xf numFmtId="0" fontId="32" fillId="5" borderId="32" xfId="1" applyFill="1" applyBorder="1"/>
    <xf numFmtId="0" fontId="32" fillId="5" borderId="33" xfId="1" applyFill="1" applyBorder="1"/>
    <xf numFmtId="0" fontId="32" fillId="5" borderId="23" xfId="1" applyFill="1" applyBorder="1"/>
    <xf numFmtId="0" fontId="32" fillId="5" borderId="23" xfId="1" applyFill="1" applyBorder="1" applyAlignment="1">
      <alignment horizontal="center"/>
    </xf>
    <xf numFmtId="0" fontId="32" fillId="5" borderId="34" xfId="1" applyFill="1" applyBorder="1"/>
    <xf numFmtId="0" fontId="37" fillId="4" borderId="35" xfId="1" applyFont="1" applyFill="1" applyBorder="1"/>
    <xf numFmtId="0" fontId="32" fillId="0" borderId="10" xfId="1" applyBorder="1" applyAlignment="1">
      <alignment horizontal="right"/>
    </xf>
    <xf numFmtId="0" fontId="32" fillId="0" borderId="10" xfId="1" applyBorder="1"/>
    <xf numFmtId="0" fontId="37" fillId="5" borderId="2" xfId="1" applyFont="1" applyFill="1" applyBorder="1"/>
    <xf numFmtId="0" fontId="37" fillId="5" borderId="33" xfId="1" applyFont="1" applyFill="1" applyBorder="1"/>
    <xf numFmtId="0" fontId="37" fillId="4" borderId="36" xfId="1" applyFont="1" applyFill="1" applyBorder="1"/>
    <xf numFmtId="0" fontId="32" fillId="0" borderId="37" xfId="1" applyBorder="1" applyAlignment="1">
      <alignment horizontal="right"/>
    </xf>
    <xf numFmtId="0" fontId="32" fillId="0" borderId="37" xfId="1" applyBorder="1"/>
    <xf numFmtId="0" fontId="37" fillId="5" borderId="38" xfId="1" applyFont="1" applyFill="1" applyBorder="1"/>
    <xf numFmtId="0" fontId="37" fillId="5" borderId="41" xfId="1" applyFont="1" applyFill="1" applyBorder="1"/>
    <xf numFmtId="0" fontId="37" fillId="5" borderId="42" xfId="1" applyFont="1" applyFill="1" applyBorder="1"/>
    <xf numFmtId="0" fontId="32" fillId="5" borderId="42" xfId="1" applyFill="1" applyBorder="1"/>
    <xf numFmtId="0" fontId="32" fillId="5" borderId="42" xfId="1" applyFill="1" applyBorder="1" applyAlignment="1">
      <alignment horizontal="center"/>
    </xf>
    <xf numFmtId="0" fontId="32" fillId="5" borderId="43" xfId="1" applyFill="1" applyBorder="1"/>
    <xf numFmtId="0" fontId="37" fillId="4" borderId="1" xfId="1" applyFont="1" applyFill="1" applyBorder="1" applyAlignment="1">
      <alignment horizontal="center" vertical="center"/>
    </xf>
    <xf numFmtId="0" fontId="40" fillId="0" borderId="1" xfId="1" applyFont="1" applyBorder="1" applyAlignment="1">
      <alignment horizontal="center" vertical="center"/>
    </xf>
    <xf numFmtId="165" fontId="40" fillId="0" borderId="1" xfId="1" applyNumberFormat="1" applyFont="1" applyBorder="1" applyAlignment="1">
      <alignment horizontal="center" vertical="center"/>
    </xf>
    <xf numFmtId="14" fontId="40" fillId="0" borderId="1" xfId="1" applyNumberFormat="1" applyFont="1" applyBorder="1"/>
    <xf numFmtId="0" fontId="32" fillId="0" borderId="15" xfId="1" applyBorder="1"/>
    <xf numFmtId="14" fontId="40" fillId="6" borderId="1" xfId="1" applyNumberFormat="1" applyFont="1" applyFill="1" applyBorder="1"/>
    <xf numFmtId="14" fontId="40" fillId="8" borderId="1" xfId="1" applyNumberFormat="1" applyFont="1" applyFill="1" applyBorder="1"/>
    <xf numFmtId="0" fontId="41" fillId="0" borderId="0" xfId="1" applyFont="1"/>
    <xf numFmtId="0" fontId="40" fillId="0" borderId="0" xfId="1" applyFont="1"/>
    <xf numFmtId="14" fontId="40" fillId="9" borderId="1" xfId="1" applyNumberFormat="1" applyFont="1" applyFill="1" applyBorder="1"/>
    <xf numFmtId="14" fontId="40" fillId="11" borderId="1" xfId="1" applyNumberFormat="1" applyFont="1" applyFill="1" applyBorder="1"/>
    <xf numFmtId="0" fontId="42" fillId="0" borderId="44" xfId="1" applyFont="1" applyBorder="1"/>
    <xf numFmtId="0" fontId="47" fillId="0" borderId="0" xfId="1" applyFont="1" applyAlignment="1">
      <alignment horizontal="center"/>
    </xf>
    <xf numFmtId="0" fontId="35" fillId="0" borderId="0" xfId="0" applyFont="1"/>
    <xf numFmtId="0" fontId="0" fillId="0" borderId="1" xfId="0" applyBorder="1"/>
    <xf numFmtId="0" fontId="0" fillId="6" borderId="1" xfId="0" applyFill="1" applyBorder="1"/>
    <xf numFmtId="0" fontId="34" fillId="0" borderId="30" xfId="0" applyFon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48" fillId="13" borderId="56" xfId="0" applyFont="1" applyFill="1" applyBorder="1"/>
    <xf numFmtId="0" fontId="48" fillId="13" borderId="1" xfId="0" applyFont="1" applyFill="1" applyBorder="1"/>
    <xf numFmtId="165" fontId="48" fillId="13" borderId="1" xfId="0" applyNumberFormat="1" applyFont="1" applyFill="1" applyBorder="1"/>
    <xf numFmtId="0" fontId="49" fillId="5" borderId="54" xfId="0" applyFont="1" applyFill="1" applyBorder="1"/>
    <xf numFmtId="0" fontId="50" fillId="5" borderId="0" xfId="0" applyFont="1" applyFill="1"/>
    <xf numFmtId="0" fontId="48" fillId="14" borderId="54" xfId="0" applyFont="1" applyFill="1" applyBorder="1"/>
    <xf numFmtId="1" fontId="48" fillId="14" borderId="0" xfId="0" applyNumberFormat="1" applyFont="1" applyFill="1"/>
    <xf numFmtId="0" fontId="48" fillId="14" borderId="57" xfId="0" applyFont="1" applyFill="1" applyBorder="1"/>
    <xf numFmtId="2" fontId="48" fillId="14" borderId="58" xfId="0" applyNumberFormat="1" applyFont="1" applyFill="1" applyBorder="1"/>
    <xf numFmtId="0" fontId="0" fillId="0" borderId="59" xfId="0" applyBorder="1"/>
    <xf numFmtId="0" fontId="34" fillId="0" borderId="52" xfId="0" applyFont="1" applyBorder="1"/>
    <xf numFmtId="0" fontId="34" fillId="0" borderId="53" xfId="0" applyFont="1" applyBorder="1"/>
    <xf numFmtId="165" fontId="48" fillId="14" borderId="0" xfId="0" applyNumberFormat="1" applyFont="1" applyFill="1"/>
    <xf numFmtId="2" fontId="48" fillId="14" borderId="0" xfId="0" applyNumberFormat="1" applyFont="1" applyFill="1"/>
    <xf numFmtId="0" fontId="14" fillId="0" borderId="0" xfId="0" quotePrefix="1" applyFont="1"/>
    <xf numFmtId="0" fontId="51" fillId="0" borderId="0" xfId="0" applyFont="1"/>
    <xf numFmtId="0" fontId="0" fillId="15" borderId="1" xfId="0" applyFill="1" applyBorder="1"/>
    <xf numFmtId="9" fontId="51" fillId="0" borderId="0" xfId="0" applyNumberFormat="1" applyFont="1"/>
    <xf numFmtId="165" fontId="0" fillId="15" borderId="1" xfId="0" applyNumberFormat="1" applyFill="1" applyBorder="1"/>
    <xf numFmtId="165" fontId="0" fillId="0" borderId="0" xfId="0" applyNumberFormat="1"/>
    <xf numFmtId="165" fontId="51" fillId="0" borderId="0" xfId="0" applyNumberFormat="1" applyFont="1"/>
    <xf numFmtId="0" fontId="28" fillId="2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/>
      <protection locked="0"/>
    </xf>
    <xf numFmtId="0" fontId="28" fillId="2" borderId="0" xfId="0" applyFont="1" applyFill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left"/>
      <protection locked="0"/>
    </xf>
    <xf numFmtId="0" fontId="28" fillId="2" borderId="1" xfId="0" applyFont="1" applyFill="1" applyBorder="1" applyProtection="1">
      <protection locked="0"/>
    </xf>
    <xf numFmtId="0" fontId="1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14" fillId="3" borderId="0" xfId="0" applyFont="1" applyFill="1" applyProtection="1">
      <protection locked="0"/>
    </xf>
    <xf numFmtId="0" fontId="6" fillId="3" borderId="6" xfId="0" applyFont="1" applyFill="1" applyBorder="1" applyAlignment="1" applyProtection="1">
      <alignment horizontal="left" vertical="center"/>
      <protection locked="0"/>
    </xf>
    <xf numFmtId="14" fontId="52" fillId="3" borderId="0" xfId="0" applyNumberFormat="1" applyFont="1" applyFill="1" applyProtection="1">
      <protection locked="0"/>
    </xf>
    <xf numFmtId="0" fontId="32" fillId="0" borderId="17" xfId="1" applyBorder="1" applyAlignment="1">
      <alignment horizontal="center"/>
    </xf>
    <xf numFmtId="0" fontId="32" fillId="0" borderId="23" xfId="1" applyBorder="1" applyAlignment="1">
      <alignment horizontal="right"/>
    </xf>
    <xf numFmtId="16" fontId="32" fillId="0" borderId="16" xfId="1" applyNumberFormat="1" applyBorder="1" applyAlignment="1">
      <alignment horizontal="right"/>
    </xf>
    <xf numFmtId="0" fontId="32" fillId="0" borderId="2" xfId="1" applyBorder="1" applyAlignment="1">
      <alignment horizontal="right"/>
    </xf>
    <xf numFmtId="0" fontId="32" fillId="0" borderId="38" xfId="1" applyBorder="1" applyAlignment="1">
      <alignment horizontal="right"/>
    </xf>
    <xf numFmtId="14" fontId="37" fillId="0" borderId="14" xfId="1" applyNumberFormat="1" applyFont="1" applyBorder="1" applyAlignment="1">
      <alignment horizontal="center"/>
    </xf>
    <xf numFmtId="14" fontId="32" fillId="0" borderId="14" xfId="1" applyNumberFormat="1" applyBorder="1" applyAlignment="1">
      <alignment horizontal="center"/>
    </xf>
    <xf numFmtId="14" fontId="32" fillId="0" borderId="19" xfId="1" applyNumberFormat="1" applyBorder="1"/>
    <xf numFmtId="0" fontId="36" fillId="0" borderId="60" xfId="1" applyFont="1" applyBorder="1"/>
    <xf numFmtId="0" fontId="32" fillId="0" borderId="5" xfId="1" applyBorder="1"/>
    <xf numFmtId="0" fontId="35" fillId="0" borderId="5" xfId="1" applyFont="1" applyBorder="1"/>
    <xf numFmtId="0" fontId="35" fillId="0" borderId="0" xfId="1" applyFont="1"/>
    <xf numFmtId="0" fontId="32" fillId="0" borderId="61" xfId="1" applyBorder="1"/>
    <xf numFmtId="0" fontId="54" fillId="0" borderId="0" xfId="0" applyFont="1"/>
    <xf numFmtId="0" fontId="55" fillId="0" borderId="0" xfId="0" applyFont="1"/>
    <xf numFmtId="0" fontId="57" fillId="0" borderId="0" xfId="0" applyFont="1"/>
    <xf numFmtId="0" fontId="58" fillId="0" borderId="0" xfId="0" applyFont="1"/>
    <xf numFmtId="167" fontId="57" fillId="0" borderId="0" xfId="0" applyNumberFormat="1" applyFont="1"/>
    <xf numFmtId="1" fontId="0" fillId="0" borderId="0" xfId="0" applyNumberFormat="1"/>
    <xf numFmtId="0" fontId="57" fillId="0" borderId="1" xfId="0" applyFont="1" applyBorder="1"/>
    <xf numFmtId="0" fontId="55" fillId="0" borderId="1" xfId="0" applyFont="1" applyBorder="1"/>
    <xf numFmtId="0" fontId="57" fillId="0" borderId="1" xfId="0" applyFont="1" applyBorder="1" applyAlignment="1">
      <alignment horizontal="center" vertical="center"/>
    </xf>
    <xf numFmtId="14" fontId="57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16" fontId="55" fillId="0" borderId="1" xfId="0" applyNumberFormat="1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0" fontId="62" fillId="4" borderId="1" xfId="0" applyFont="1" applyFill="1" applyBorder="1" applyAlignment="1">
      <alignment vertical="center"/>
    </xf>
    <xf numFmtId="0" fontId="64" fillId="4" borderId="1" xfId="0" applyFont="1" applyFill="1" applyBorder="1" applyAlignment="1">
      <alignment horizontal="center" vertical="center"/>
    </xf>
    <xf numFmtId="0" fontId="58" fillId="0" borderId="1" xfId="0" applyFont="1" applyBorder="1"/>
    <xf numFmtId="167" fontId="57" fillId="0" borderId="1" xfId="0" applyNumberFormat="1" applyFont="1" applyBorder="1"/>
    <xf numFmtId="16" fontId="57" fillId="0" borderId="1" xfId="0" applyNumberFormat="1" applyFont="1" applyBorder="1"/>
    <xf numFmtId="0" fontId="57" fillId="0" borderId="1" xfId="0" applyFont="1" applyBorder="1" applyAlignment="1">
      <alignment vertical="center"/>
    </xf>
    <xf numFmtId="167" fontId="30" fillId="0" borderId="0" xfId="0" applyNumberFormat="1" applyFont="1"/>
    <xf numFmtId="0" fontId="57" fillId="0" borderId="1" xfId="0" quotePrefix="1" applyFont="1" applyBorder="1"/>
    <xf numFmtId="167" fontId="55" fillId="0" borderId="1" xfId="0" applyNumberFormat="1" applyFont="1" applyBorder="1"/>
    <xf numFmtId="0" fontId="30" fillId="0" borderId="1" xfId="0" applyFont="1" applyBorder="1"/>
    <xf numFmtId="0" fontId="63" fillId="4" borderId="0" xfId="0" applyFont="1" applyFill="1"/>
    <xf numFmtId="0" fontId="64" fillId="4" borderId="1" xfId="0" applyFont="1" applyFill="1" applyBorder="1"/>
    <xf numFmtId="0" fontId="64" fillId="4" borderId="0" xfId="0" applyFont="1" applyFill="1"/>
    <xf numFmtId="0" fontId="65" fillId="0" borderId="0" xfId="0" applyFont="1"/>
    <xf numFmtId="0" fontId="66" fillId="0" borderId="0" xfId="0" applyFont="1"/>
    <xf numFmtId="0" fontId="64" fillId="0" borderId="0" xfId="0" applyFont="1"/>
    <xf numFmtId="14" fontId="66" fillId="0" borderId="0" xfId="0" applyNumberFormat="1" applyFont="1" applyAlignment="1">
      <alignment horizontal="center"/>
    </xf>
    <xf numFmtId="0" fontId="53" fillId="0" borderId="0" xfId="0" applyFont="1"/>
    <xf numFmtId="0" fontId="30" fillId="0" borderId="62" xfId="0" applyFont="1" applyBorder="1"/>
    <xf numFmtId="0" fontId="67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57" fillId="0" borderId="0" xfId="0" applyFont="1" applyAlignment="1">
      <alignment horizontal="center"/>
    </xf>
    <xf numFmtId="0" fontId="62" fillId="4" borderId="0" xfId="0" applyFont="1" applyFill="1" applyAlignment="1">
      <alignment horizontal="center" vertical="center"/>
    </xf>
    <xf numFmtId="0" fontId="64" fillId="4" borderId="0" xfId="0" applyFont="1" applyFill="1" applyAlignment="1">
      <alignment horizontal="center" vertical="center"/>
    </xf>
    <xf numFmtId="0" fontId="57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14" fontId="29" fillId="2" borderId="1" xfId="0" applyNumberFormat="1" applyFont="1" applyFill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/>
      <protection locked="0"/>
    </xf>
    <xf numFmtId="0" fontId="12" fillId="3" borderId="1" xfId="0" applyFont="1" applyFill="1" applyBorder="1" applyAlignment="1">
      <alignment horizontal="left"/>
    </xf>
    <xf numFmtId="14" fontId="4" fillId="3" borderId="1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26" fillId="3" borderId="10" xfId="0" applyFont="1" applyFill="1" applyBorder="1" applyAlignment="1">
      <alignment horizontal="center" vertical="center"/>
    </xf>
    <xf numFmtId="0" fontId="26" fillId="3" borderId="12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22" fillId="3" borderId="1" xfId="0" applyNumberFormat="1" applyFont="1" applyFill="1" applyBorder="1" applyAlignment="1">
      <alignment horizontal="center" vertical="center"/>
    </xf>
    <xf numFmtId="14" fontId="23" fillId="3" borderId="2" xfId="0" applyNumberFormat="1" applyFont="1" applyFill="1" applyBorder="1" applyAlignment="1">
      <alignment horizontal="center" vertical="center"/>
    </xf>
    <xf numFmtId="14" fontId="23" fillId="3" borderId="3" xfId="0" applyNumberFormat="1" applyFont="1" applyFill="1" applyBorder="1" applyAlignment="1">
      <alignment horizontal="center" vertical="center"/>
    </xf>
    <xf numFmtId="14" fontId="23" fillId="3" borderId="4" xfId="0" applyNumberFormat="1" applyFont="1" applyFill="1" applyBorder="1" applyAlignment="1">
      <alignment horizontal="center" vertical="center"/>
    </xf>
    <xf numFmtId="14" fontId="23" fillId="3" borderId="5" xfId="0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left"/>
    </xf>
    <xf numFmtId="14" fontId="17" fillId="3" borderId="1" xfId="0" applyNumberFormat="1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14" fontId="28" fillId="2" borderId="16" xfId="0" applyNumberFormat="1" applyFont="1" applyFill="1" applyBorder="1" applyAlignment="1" applyProtection="1">
      <alignment horizontal="center"/>
      <protection locked="0"/>
    </xf>
    <xf numFmtId="0" fontId="28" fillId="2" borderId="17" xfId="0" applyFont="1" applyFill="1" applyBorder="1" applyAlignment="1" applyProtection="1">
      <alignment horizontal="center"/>
      <protection locked="0"/>
    </xf>
    <xf numFmtId="0" fontId="12" fillId="3" borderId="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29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left"/>
      <protection locked="0"/>
    </xf>
    <xf numFmtId="14" fontId="29" fillId="2" borderId="0" xfId="0" applyNumberFormat="1" applyFont="1" applyFill="1" applyAlignment="1" applyProtection="1">
      <alignment horizontal="center"/>
      <protection locked="0"/>
    </xf>
    <xf numFmtId="14" fontId="28" fillId="2" borderId="1" xfId="0" applyNumberFormat="1" applyFont="1" applyFill="1" applyBorder="1" applyAlignment="1" applyProtection="1">
      <alignment horizontal="center"/>
      <protection locked="0"/>
    </xf>
    <xf numFmtId="0" fontId="1" fillId="3" borderId="1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57" fillId="0" borderId="1" xfId="0" applyFont="1" applyBorder="1" applyAlignment="1">
      <alignment horizontal="center"/>
    </xf>
    <xf numFmtId="0" fontId="57" fillId="0" borderId="1" xfId="0" applyFont="1" applyBorder="1"/>
    <xf numFmtId="14" fontId="66" fillId="0" borderId="0" xfId="0" applyNumberFormat="1" applyFont="1" applyAlignment="1">
      <alignment horizontal="center"/>
    </xf>
    <xf numFmtId="0" fontId="53" fillId="0" borderId="0" xfId="0" applyFont="1" applyAlignment="1">
      <alignment horizontal="center"/>
    </xf>
    <xf numFmtId="0" fontId="57" fillId="0" borderId="16" xfId="0" applyFont="1" applyBorder="1" applyAlignment="1">
      <alignment horizontal="left"/>
    </xf>
    <xf numFmtId="0" fontId="57" fillId="0" borderId="17" xfId="0" applyFont="1" applyBorder="1" applyAlignment="1">
      <alignment horizontal="left"/>
    </xf>
    <xf numFmtId="0" fontId="64" fillId="4" borderId="1" xfId="0" applyFont="1" applyFill="1" applyBorder="1" applyAlignment="1">
      <alignment horizontal="left"/>
    </xf>
    <xf numFmtId="0" fontId="64" fillId="4" borderId="1" xfId="0" applyFont="1" applyFill="1" applyBorder="1"/>
    <xf numFmtId="0" fontId="55" fillId="0" borderId="1" xfId="0" applyFont="1" applyBorder="1"/>
    <xf numFmtId="0" fontId="55" fillId="0" borderId="16" xfId="0" applyFont="1" applyBorder="1"/>
    <xf numFmtId="0" fontId="55" fillId="0" borderId="23" xfId="0" applyFont="1" applyBorder="1"/>
    <xf numFmtId="0" fontId="55" fillId="0" borderId="11" xfId="0" applyFont="1" applyBorder="1"/>
    <xf numFmtId="0" fontId="55" fillId="0" borderId="17" xfId="0" applyFont="1" applyBorder="1"/>
    <xf numFmtId="167" fontId="55" fillId="0" borderId="1" xfId="0" applyNumberFormat="1" applyFont="1" applyBorder="1"/>
    <xf numFmtId="167" fontId="57" fillId="0" borderId="1" xfId="0" applyNumberFormat="1" applyFont="1" applyBorder="1"/>
    <xf numFmtId="0" fontId="64" fillId="4" borderId="16" xfId="0" applyFont="1" applyFill="1" applyBorder="1" applyAlignment="1">
      <alignment horizontal="center" vertical="center"/>
    </xf>
    <xf numFmtId="0" fontId="64" fillId="4" borderId="23" xfId="0" applyFont="1" applyFill="1" applyBorder="1" applyAlignment="1">
      <alignment horizontal="center" vertical="center"/>
    </xf>
    <xf numFmtId="0" fontId="64" fillId="4" borderId="17" xfId="0" applyFont="1" applyFill="1" applyBorder="1" applyAlignment="1">
      <alignment horizontal="center" vertical="center"/>
    </xf>
    <xf numFmtId="0" fontId="57" fillId="0" borderId="16" xfId="0" applyFont="1" applyBorder="1" applyAlignment="1">
      <alignment vertical="center"/>
    </xf>
    <xf numFmtId="0" fontId="57" fillId="0" borderId="23" xfId="0" applyFont="1" applyBorder="1" applyAlignment="1">
      <alignment vertical="center"/>
    </xf>
    <xf numFmtId="0" fontId="57" fillId="0" borderId="17" xfId="0" applyFont="1" applyBorder="1" applyAlignment="1">
      <alignment vertical="center"/>
    </xf>
    <xf numFmtId="0" fontId="55" fillId="0" borderId="16" xfId="0" applyFont="1" applyBorder="1" applyAlignment="1">
      <alignment vertical="center"/>
    </xf>
    <xf numFmtId="0" fontId="55" fillId="0" borderId="23" xfId="0" applyFont="1" applyBorder="1" applyAlignment="1">
      <alignment vertical="center"/>
    </xf>
    <xf numFmtId="0" fontId="55" fillId="0" borderId="17" xfId="0" applyFont="1" applyBorder="1" applyAlignment="1">
      <alignment vertical="center"/>
    </xf>
    <xf numFmtId="0" fontId="64" fillId="4" borderId="1" xfId="0" applyFont="1" applyFill="1" applyBorder="1" applyAlignment="1">
      <alignment horizontal="center"/>
    </xf>
    <xf numFmtId="0" fontId="30" fillId="0" borderId="1" xfId="0" applyFont="1" applyBorder="1"/>
    <xf numFmtId="0" fontId="61" fillId="4" borderId="16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62" fillId="4" borderId="16" xfId="0" applyFont="1" applyFill="1" applyBorder="1" applyAlignment="1">
      <alignment horizontal="center" vertical="center"/>
    </xf>
    <xf numFmtId="0" fontId="62" fillId="4" borderId="23" xfId="0" applyFont="1" applyFill="1" applyBorder="1" applyAlignment="1">
      <alignment horizontal="center" vertical="center"/>
    </xf>
    <xf numFmtId="0" fontId="62" fillId="4" borderId="17" xfId="0" applyFont="1" applyFill="1" applyBorder="1" applyAlignment="1">
      <alignment horizontal="center" vertical="center"/>
    </xf>
    <xf numFmtId="0" fontId="57" fillId="0" borderId="0" xfId="0" applyFont="1"/>
    <xf numFmtId="0" fontId="58" fillId="0" borderId="1" xfId="0" applyFont="1" applyBorder="1"/>
    <xf numFmtId="14" fontId="55" fillId="0" borderId="0" xfId="0" applyNumberFormat="1" applyFont="1" applyAlignment="1">
      <alignment horizontal="left"/>
    </xf>
    <xf numFmtId="0" fontId="55" fillId="0" borderId="0" xfId="0" applyFont="1"/>
    <xf numFmtId="166" fontId="57" fillId="0" borderId="1" xfId="0" applyNumberFormat="1" applyFont="1" applyBorder="1" applyAlignment="1">
      <alignment horizontal="center"/>
    </xf>
    <xf numFmtId="14" fontId="56" fillId="0" borderId="0" xfId="0" applyNumberFormat="1" applyFont="1" applyAlignment="1">
      <alignment horizontal="center"/>
    </xf>
    <xf numFmtId="0" fontId="62" fillId="4" borderId="1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14" fontId="32" fillId="0" borderId="16" xfId="1" applyNumberFormat="1" applyBorder="1" applyAlignment="1">
      <alignment horizontal="center"/>
    </xf>
    <xf numFmtId="14" fontId="32" fillId="0" borderId="17" xfId="1" applyNumberFormat="1" applyBorder="1" applyAlignment="1">
      <alignment horizontal="center"/>
    </xf>
    <xf numFmtId="0" fontId="32" fillId="0" borderId="16" xfId="1" applyBorder="1" applyAlignment="1">
      <alignment horizontal="center"/>
    </xf>
    <xf numFmtId="0" fontId="32" fillId="0" borderId="17" xfId="1" applyBorder="1" applyAlignment="1">
      <alignment horizontal="center"/>
    </xf>
    <xf numFmtId="0" fontId="37" fillId="4" borderId="10" xfId="1" applyFont="1" applyFill="1" applyBorder="1" applyAlignment="1">
      <alignment horizontal="center"/>
    </xf>
    <xf numFmtId="0" fontId="37" fillId="4" borderId="16" xfId="1" applyFont="1" applyFill="1" applyBorder="1" applyAlignment="1">
      <alignment horizontal="center"/>
    </xf>
    <xf numFmtId="0" fontId="37" fillId="4" borderId="23" xfId="1" applyFont="1" applyFill="1" applyBorder="1" applyAlignment="1">
      <alignment horizontal="center"/>
    </xf>
    <xf numFmtId="0" fontId="37" fillId="4" borderId="17" xfId="1" applyFont="1" applyFill="1" applyBorder="1" applyAlignment="1">
      <alignment horizontal="center"/>
    </xf>
    <xf numFmtId="0" fontId="37" fillId="4" borderId="1" xfId="1" applyFont="1" applyFill="1" applyBorder="1" applyAlignment="1">
      <alignment horizontal="center" vertical="center" textRotation="90"/>
    </xf>
    <xf numFmtId="14" fontId="32" fillId="0" borderId="1" xfId="1" quotePrefix="1" applyNumberFormat="1" applyBorder="1" applyAlignment="1">
      <alignment horizontal="center"/>
    </xf>
    <xf numFmtId="14" fontId="32" fillId="0" borderId="1" xfId="1" applyNumberFormat="1" applyBorder="1" applyAlignment="1">
      <alignment horizontal="center"/>
    </xf>
    <xf numFmtId="14" fontId="37" fillId="0" borderId="16" xfId="1" applyNumberFormat="1" applyFont="1" applyBorder="1" applyAlignment="1">
      <alignment horizontal="center"/>
    </xf>
    <xf numFmtId="14" fontId="37" fillId="0" borderId="17" xfId="1" applyNumberFormat="1" applyFont="1" applyBorder="1" applyAlignment="1">
      <alignment horizontal="center"/>
    </xf>
    <xf numFmtId="0" fontId="37" fillId="4" borderId="15" xfId="1" applyFont="1" applyFill="1" applyBorder="1" applyAlignment="1">
      <alignment horizontal="center" vertical="center" textRotation="90"/>
    </xf>
    <xf numFmtId="0" fontId="37" fillId="4" borderId="12" xfId="1" applyFont="1" applyFill="1" applyBorder="1" applyAlignment="1">
      <alignment horizontal="center" vertical="center" textRotation="90"/>
    </xf>
    <xf numFmtId="0" fontId="37" fillId="5" borderId="16" xfId="1" applyFont="1" applyFill="1" applyBorder="1" applyAlignment="1">
      <alignment horizontal="center" vertical="center" textRotation="90"/>
    </xf>
    <xf numFmtId="0" fontId="37" fillId="5" borderId="23" xfId="1" applyFont="1" applyFill="1" applyBorder="1" applyAlignment="1">
      <alignment horizontal="center" vertical="center" textRotation="90"/>
    </xf>
    <xf numFmtId="0" fontId="37" fillId="5" borderId="17" xfId="1" applyFont="1" applyFill="1" applyBorder="1" applyAlignment="1">
      <alignment horizontal="center" vertical="center" textRotation="90"/>
    </xf>
    <xf numFmtId="16" fontId="32" fillId="0" borderId="16" xfId="1" applyNumberFormat="1" applyBorder="1" applyAlignment="1">
      <alignment horizontal="center"/>
    </xf>
    <xf numFmtId="0" fontId="37" fillId="4" borderId="16" xfId="1" applyFont="1" applyFill="1" applyBorder="1" applyAlignment="1">
      <alignment horizontal="left"/>
    </xf>
    <xf numFmtId="0" fontId="37" fillId="4" borderId="23" xfId="1" applyFont="1" applyFill="1" applyBorder="1" applyAlignment="1">
      <alignment horizontal="left"/>
    </xf>
    <xf numFmtId="0" fontId="37" fillId="4" borderId="17" xfId="1" applyFont="1" applyFill="1" applyBorder="1" applyAlignment="1">
      <alignment horizontal="left"/>
    </xf>
    <xf numFmtId="16" fontId="37" fillId="5" borderId="16" xfId="1" applyNumberFormat="1" applyFont="1" applyFill="1" applyBorder="1" applyAlignment="1">
      <alignment horizontal="center"/>
    </xf>
    <xf numFmtId="0" fontId="37" fillId="5" borderId="17" xfId="1" applyFont="1" applyFill="1" applyBorder="1" applyAlignment="1">
      <alignment horizontal="center"/>
    </xf>
    <xf numFmtId="0" fontId="37" fillId="5" borderId="16" xfId="1" applyFont="1" applyFill="1" applyBorder="1" applyAlignment="1">
      <alignment horizontal="center"/>
    </xf>
    <xf numFmtId="0" fontId="32" fillId="0" borderId="38" xfId="1" applyBorder="1" applyAlignment="1">
      <alignment horizontal="center"/>
    </xf>
    <xf numFmtId="0" fontId="32" fillId="0" borderId="39" xfId="1" applyBorder="1" applyAlignment="1">
      <alignment horizontal="center"/>
    </xf>
    <xf numFmtId="0" fontId="37" fillId="4" borderId="38" xfId="1" applyFont="1" applyFill="1" applyBorder="1" applyAlignment="1">
      <alignment horizontal="left"/>
    </xf>
    <xf numFmtId="0" fontId="37" fillId="4" borderId="40" xfId="1" applyFont="1" applyFill="1" applyBorder="1" applyAlignment="1">
      <alignment horizontal="left"/>
    </xf>
    <xf numFmtId="0" fontId="37" fillId="4" borderId="39" xfId="1" applyFont="1" applyFill="1" applyBorder="1" applyAlignment="1">
      <alignment horizontal="left"/>
    </xf>
    <xf numFmtId="0" fontId="33" fillId="12" borderId="10" xfId="1" applyFont="1" applyFill="1" applyBorder="1" applyAlignment="1">
      <alignment horizontal="center" vertical="center" textRotation="90"/>
    </xf>
    <xf numFmtId="0" fontId="33" fillId="12" borderId="15" xfId="1" applyFont="1" applyFill="1" applyBorder="1" applyAlignment="1">
      <alignment horizontal="center" vertical="center" textRotation="90"/>
    </xf>
    <xf numFmtId="0" fontId="33" fillId="12" borderId="12" xfId="1" applyFont="1" applyFill="1" applyBorder="1" applyAlignment="1">
      <alignment horizontal="center" vertical="center" textRotation="90"/>
    </xf>
    <xf numFmtId="0" fontId="37" fillId="4" borderId="1" xfId="1" applyFont="1" applyFill="1" applyBorder="1" applyAlignment="1">
      <alignment horizontal="center" vertical="center"/>
    </xf>
    <xf numFmtId="0" fontId="37" fillId="4" borderId="1" xfId="1" applyFont="1" applyFill="1" applyBorder="1" applyAlignment="1">
      <alignment horizontal="center"/>
    </xf>
    <xf numFmtId="0" fontId="35" fillId="7" borderId="10" xfId="1" applyFont="1" applyFill="1" applyBorder="1" applyAlignment="1">
      <alignment horizontal="center" vertical="center" textRotation="90"/>
    </xf>
    <xf numFmtId="0" fontId="35" fillId="7" borderId="15" xfId="1" applyFont="1" applyFill="1" applyBorder="1" applyAlignment="1">
      <alignment horizontal="center" vertical="center" textRotation="90"/>
    </xf>
    <xf numFmtId="0" fontId="35" fillId="7" borderId="12" xfId="1" applyFont="1" applyFill="1" applyBorder="1" applyAlignment="1">
      <alignment horizontal="center" vertical="center" textRotation="90"/>
    </xf>
    <xf numFmtId="0" fontId="33" fillId="2" borderId="10" xfId="1" applyFont="1" applyFill="1" applyBorder="1" applyAlignment="1">
      <alignment horizontal="center" vertical="center" textRotation="90"/>
    </xf>
    <xf numFmtId="0" fontId="33" fillId="2" borderId="15" xfId="1" applyFont="1" applyFill="1" applyBorder="1" applyAlignment="1">
      <alignment horizontal="center" vertical="center" textRotation="90"/>
    </xf>
    <xf numFmtId="0" fontId="33" fillId="2" borderId="12" xfId="1" applyFont="1" applyFill="1" applyBorder="1" applyAlignment="1">
      <alignment horizontal="center" vertical="center" textRotation="90"/>
    </xf>
    <xf numFmtId="0" fontId="33" fillId="10" borderId="15" xfId="1" applyFont="1" applyFill="1" applyBorder="1" applyAlignment="1">
      <alignment horizontal="center" vertical="center" textRotation="90"/>
    </xf>
    <xf numFmtId="0" fontId="33" fillId="10" borderId="12" xfId="1" applyFont="1" applyFill="1" applyBorder="1" applyAlignment="1">
      <alignment horizontal="center" vertical="center" textRotation="90"/>
    </xf>
    <xf numFmtId="0" fontId="46" fillId="0" borderId="0" xfId="1" applyFont="1" applyAlignment="1">
      <alignment horizontal="center" vertical="center"/>
    </xf>
    <xf numFmtId="0" fontId="36" fillId="0" borderId="45" xfId="1" applyFont="1" applyBorder="1" applyAlignment="1">
      <alignment horizontal="center" vertical="center"/>
    </xf>
    <xf numFmtId="0" fontId="36" fillId="0" borderId="46" xfId="1" applyFont="1" applyBorder="1" applyAlignment="1">
      <alignment horizontal="center" vertical="center"/>
    </xf>
    <xf numFmtId="0" fontId="36" fillId="0" borderId="47" xfId="1" applyFont="1" applyBorder="1" applyAlignment="1">
      <alignment horizontal="center" vertical="center"/>
    </xf>
    <xf numFmtId="0" fontId="36" fillId="0" borderId="48" xfId="1" applyFont="1" applyBorder="1" applyAlignment="1">
      <alignment horizontal="center" vertical="center"/>
    </xf>
    <xf numFmtId="0" fontId="36" fillId="0" borderId="49" xfId="1" applyFont="1" applyBorder="1" applyAlignment="1">
      <alignment horizontal="center" vertical="center"/>
    </xf>
    <xf numFmtId="0" fontId="36" fillId="0" borderId="50" xfId="1" applyFont="1" applyBorder="1" applyAlignment="1">
      <alignment horizontal="center" vertical="center"/>
    </xf>
    <xf numFmtId="0" fontId="41" fillId="0" borderId="0" xfId="1" applyFont="1" applyAlignment="1">
      <alignment horizontal="center"/>
    </xf>
    <xf numFmtId="0" fontId="43" fillId="0" borderId="0" xfId="1" applyFont="1" applyAlignment="1">
      <alignment horizontal="center"/>
    </xf>
    <xf numFmtId="0" fontId="44" fillId="0" borderId="0" xfId="1" applyFont="1" applyAlignment="1">
      <alignment horizontal="center"/>
    </xf>
    <xf numFmtId="0" fontId="43" fillId="0" borderId="13" xfId="3" applyFont="1" applyBorder="1" applyAlignment="1">
      <alignment horizontal="center"/>
    </xf>
    <xf numFmtId="0" fontId="43" fillId="0" borderId="0" xfId="3" applyFont="1" applyAlignment="1">
      <alignment horizontal="center"/>
    </xf>
    <xf numFmtId="0" fontId="43" fillId="0" borderId="51" xfId="3" applyFont="1" applyBorder="1" applyAlignment="1">
      <alignment horizontal="center"/>
    </xf>
    <xf numFmtId="0" fontId="68" fillId="0" borderId="0" xfId="0" applyFont="1" applyAlignment="1">
      <alignment horizontal="center"/>
    </xf>
    <xf numFmtId="0" fontId="70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vertical="center"/>
    </xf>
  </cellXfs>
  <cellStyles count="4">
    <cellStyle name="Hyperlink" xfId="3" builtinId="8"/>
    <cellStyle name="Normal" xfId="0" builtinId="0"/>
    <cellStyle name="Normal 3" xfId="1" xr:uid="{98C74549-BE0E-41C7-9D04-E726C4796B36}"/>
    <cellStyle name="Percent 2" xfId="2" xr:uid="{8E7E85BD-1744-4503-A50E-3D6F0CCC24F5}"/>
  </cellStyles>
  <dxfs count="17">
    <dxf>
      <numFmt numFmtId="1" formatCode="0"/>
    </dxf>
    <dxf>
      <numFmt numFmtId="1" formatCode="0"/>
    </dxf>
    <dxf>
      <numFmt numFmtId="1" formatCode="0"/>
    </dxf>
    <dxf>
      <font>
        <color rgb="FFFF0000"/>
      </font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theme="2" tint="-0.499984740745262"/>
      </font>
      <fill>
        <patternFill>
          <bgColor theme="8" tint="-0.499984740745262"/>
        </patternFill>
      </fill>
    </dxf>
  </dxfs>
  <tableStyles count="0" defaultTableStyle="TableStyleMedium2" defaultPivotStyle="PivotStyleLight16"/>
  <colors>
    <mruColors>
      <color rgb="FFB17ED8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Peso Materno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796736"/>
        <c:axId val="18586894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57E4-4B81-BE46-1C466B005901}"/>
                  </c:ext>
                </c:extLst>
              </c15:ser>
            </c15:filteredBarSeries>
          </c:ext>
        </c:extLst>
      </c:barChart>
      <c:scatterChart>
        <c:scatterStyle val="smoothMarker"/>
        <c:varyColors val="0"/>
        <c:ser>
          <c:idx val="1"/>
          <c:order val="1"/>
          <c:tx>
            <c:strRef>
              <c:f>Planilha5!$C$4</c:f>
              <c:strCache>
                <c:ptCount val="1"/>
                <c:pt idx="0">
                  <c:v>Peso adequado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Planilha5!$C$5:$C$46</c:f>
              <c:numCache>
                <c:formatCode>General</c:formatCode>
                <c:ptCount val="4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20.2</c:v>
                </c:pt>
                <c:pt idx="8">
                  <c:v>20.2</c:v>
                </c:pt>
                <c:pt idx="9">
                  <c:v>20.3</c:v>
                </c:pt>
                <c:pt idx="10">
                  <c:v>20.399999999999999</c:v>
                </c:pt>
                <c:pt idx="11">
                  <c:v>20.5</c:v>
                </c:pt>
                <c:pt idx="12">
                  <c:v>20.7</c:v>
                </c:pt>
                <c:pt idx="13">
                  <c:v>20.8</c:v>
                </c:pt>
                <c:pt idx="14">
                  <c:v>20.9</c:v>
                </c:pt>
                <c:pt idx="15">
                  <c:v>21.1</c:v>
                </c:pt>
                <c:pt idx="16">
                  <c:v>21.2</c:v>
                </c:pt>
                <c:pt idx="17">
                  <c:v>21.3</c:v>
                </c:pt>
                <c:pt idx="18">
                  <c:v>21.5</c:v>
                </c:pt>
                <c:pt idx="19">
                  <c:v>21.6</c:v>
                </c:pt>
                <c:pt idx="20">
                  <c:v>21.8</c:v>
                </c:pt>
                <c:pt idx="21">
                  <c:v>21.9</c:v>
                </c:pt>
                <c:pt idx="22">
                  <c:v>22.1</c:v>
                </c:pt>
                <c:pt idx="23">
                  <c:v>22.3</c:v>
                </c:pt>
                <c:pt idx="24">
                  <c:v>22.4</c:v>
                </c:pt>
                <c:pt idx="25">
                  <c:v>22.7</c:v>
                </c:pt>
                <c:pt idx="26">
                  <c:v>22.8</c:v>
                </c:pt>
                <c:pt idx="27">
                  <c:v>23</c:v>
                </c:pt>
                <c:pt idx="28">
                  <c:v>23.2</c:v>
                </c:pt>
                <c:pt idx="29">
                  <c:v>23.4</c:v>
                </c:pt>
                <c:pt idx="30">
                  <c:v>23.5</c:v>
                </c:pt>
                <c:pt idx="31">
                  <c:v>23.7</c:v>
                </c:pt>
                <c:pt idx="32">
                  <c:v>23.9</c:v>
                </c:pt>
                <c:pt idx="33">
                  <c:v>24</c:v>
                </c:pt>
                <c:pt idx="34">
                  <c:v>24.2</c:v>
                </c:pt>
                <c:pt idx="35">
                  <c:v>24.3</c:v>
                </c:pt>
                <c:pt idx="36">
                  <c:v>24.5</c:v>
                </c:pt>
                <c:pt idx="37">
                  <c:v>24.6</c:v>
                </c:pt>
                <c:pt idx="38">
                  <c:v>24.8</c:v>
                </c:pt>
                <c:pt idx="39">
                  <c:v>25</c:v>
                </c:pt>
                <c:pt idx="40">
                  <c:v>25.1</c:v>
                </c:pt>
                <c:pt idx="41">
                  <c:v>25.1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E4-4B81-BE46-1C466B005901}"/>
            </c:ext>
          </c:extLst>
        </c:ser>
        <c:ser>
          <c:idx val="2"/>
          <c:order val="2"/>
          <c:tx>
            <c:strRef>
              <c:f>Planilha5!$D$4</c:f>
              <c:strCache>
                <c:ptCount val="1"/>
                <c:pt idx="0">
                  <c:v>Sobrepeso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Planilha5!$D$5:$D$46</c:f>
              <c:numCache>
                <c:formatCode>General</c:formatCode>
                <c:ptCount val="42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25.1</c:v>
                </c:pt>
                <c:pt idx="8">
                  <c:v>25.2</c:v>
                </c:pt>
                <c:pt idx="9">
                  <c:v>25.3</c:v>
                </c:pt>
                <c:pt idx="10">
                  <c:v>25.4</c:v>
                </c:pt>
                <c:pt idx="11">
                  <c:v>25.5</c:v>
                </c:pt>
                <c:pt idx="12">
                  <c:v>25.7</c:v>
                </c:pt>
                <c:pt idx="13">
                  <c:v>25.8</c:v>
                </c:pt>
                <c:pt idx="14">
                  <c:v>25.9</c:v>
                </c:pt>
                <c:pt idx="15">
                  <c:v>26</c:v>
                </c:pt>
                <c:pt idx="16">
                  <c:v>26.1</c:v>
                </c:pt>
                <c:pt idx="17">
                  <c:v>26.2</c:v>
                </c:pt>
                <c:pt idx="18">
                  <c:v>26.3</c:v>
                </c:pt>
                <c:pt idx="19">
                  <c:v>26.4</c:v>
                </c:pt>
                <c:pt idx="20">
                  <c:v>26.5</c:v>
                </c:pt>
                <c:pt idx="21">
                  <c:v>26.7</c:v>
                </c:pt>
                <c:pt idx="22">
                  <c:v>26.9</c:v>
                </c:pt>
                <c:pt idx="23">
                  <c:v>27</c:v>
                </c:pt>
                <c:pt idx="24">
                  <c:v>27.1</c:v>
                </c:pt>
                <c:pt idx="25">
                  <c:v>27.3</c:v>
                </c:pt>
                <c:pt idx="26">
                  <c:v>27.4</c:v>
                </c:pt>
                <c:pt idx="27">
                  <c:v>27.6</c:v>
                </c:pt>
                <c:pt idx="28">
                  <c:v>27.7</c:v>
                </c:pt>
                <c:pt idx="29">
                  <c:v>27.9</c:v>
                </c:pt>
                <c:pt idx="30">
                  <c:v>28</c:v>
                </c:pt>
                <c:pt idx="31">
                  <c:v>28.1</c:v>
                </c:pt>
                <c:pt idx="32">
                  <c:v>28.2</c:v>
                </c:pt>
                <c:pt idx="33">
                  <c:v>28.4</c:v>
                </c:pt>
                <c:pt idx="34">
                  <c:v>28.5</c:v>
                </c:pt>
                <c:pt idx="35">
                  <c:v>28.6</c:v>
                </c:pt>
                <c:pt idx="36">
                  <c:v>28.8</c:v>
                </c:pt>
                <c:pt idx="37">
                  <c:v>28.9</c:v>
                </c:pt>
                <c:pt idx="38">
                  <c:v>29</c:v>
                </c:pt>
                <c:pt idx="39">
                  <c:v>29.2</c:v>
                </c:pt>
                <c:pt idx="40">
                  <c:v>29.3</c:v>
                </c:pt>
                <c:pt idx="41">
                  <c:v>29.3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E4-4B81-BE46-1C466B005901}"/>
            </c:ext>
          </c:extLst>
        </c:ser>
        <c:ser>
          <c:idx val="3"/>
          <c:order val="3"/>
          <c:tx>
            <c:strRef>
              <c:f>Planilha5!$E$4</c:f>
              <c:strCache>
                <c:ptCount val="1"/>
                <c:pt idx="0">
                  <c:v>Obesidade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Planilha5!$E$5:$E$46</c:f>
              <c:numCache>
                <c:formatCode>General</c:formatCode>
                <c:ptCount val="4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30.2</c:v>
                </c:pt>
                <c:pt idx="8">
                  <c:v>30.2</c:v>
                </c:pt>
                <c:pt idx="9">
                  <c:v>30.3</c:v>
                </c:pt>
                <c:pt idx="10">
                  <c:v>30.4</c:v>
                </c:pt>
                <c:pt idx="11">
                  <c:v>30.4</c:v>
                </c:pt>
                <c:pt idx="12">
                  <c:v>30.5</c:v>
                </c:pt>
                <c:pt idx="13">
                  <c:v>30.6</c:v>
                </c:pt>
                <c:pt idx="14">
                  <c:v>30.7</c:v>
                </c:pt>
                <c:pt idx="15">
                  <c:v>30.8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31.1</c:v>
                </c:pt>
                <c:pt idx="20">
                  <c:v>31.2</c:v>
                </c:pt>
                <c:pt idx="21">
                  <c:v>31.3</c:v>
                </c:pt>
                <c:pt idx="22">
                  <c:v>31.4</c:v>
                </c:pt>
                <c:pt idx="23">
                  <c:v>31.6</c:v>
                </c:pt>
                <c:pt idx="24">
                  <c:v>31.7</c:v>
                </c:pt>
                <c:pt idx="25">
                  <c:v>31.8</c:v>
                </c:pt>
                <c:pt idx="26">
                  <c:v>31.9</c:v>
                </c:pt>
                <c:pt idx="27">
                  <c:v>32</c:v>
                </c:pt>
                <c:pt idx="28">
                  <c:v>32.1</c:v>
                </c:pt>
                <c:pt idx="29">
                  <c:v>32.200000000000003</c:v>
                </c:pt>
                <c:pt idx="30">
                  <c:v>32.299999999999997</c:v>
                </c:pt>
                <c:pt idx="31">
                  <c:v>32.4</c:v>
                </c:pt>
                <c:pt idx="32">
                  <c:v>32.5</c:v>
                </c:pt>
                <c:pt idx="33">
                  <c:v>32.6</c:v>
                </c:pt>
                <c:pt idx="34">
                  <c:v>32.700000000000003</c:v>
                </c:pt>
                <c:pt idx="35">
                  <c:v>32.799999999999997</c:v>
                </c:pt>
                <c:pt idx="36">
                  <c:v>32.9</c:v>
                </c:pt>
                <c:pt idx="37">
                  <c:v>33</c:v>
                </c:pt>
                <c:pt idx="38">
                  <c:v>33.1</c:v>
                </c:pt>
                <c:pt idx="39">
                  <c:v>33.200000000000003</c:v>
                </c:pt>
                <c:pt idx="40">
                  <c:v>33.299999999999997</c:v>
                </c:pt>
                <c:pt idx="41">
                  <c:v>33.299999999999997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E4-4B81-BE46-1C466B005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Planilha5!$G$4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yVal>
                  <c:numRef>
                    <c:extLst>
                      <c:ext uri="{02D57815-91ED-43cb-92C2-25804820EDAC}">
                        <c15:formulaRef>
                          <c15:sqref>Planilha5!$G$5:$G$46</c15:sqref>
                        </c15:formulaRef>
                      </c:ext>
                    </c:extLst>
                    <c:numCache>
                      <c:formatCode>General</c:formatCode>
                      <c:ptCount val="42"/>
                      <c:pt idx="0">
                        <c:v>18.7</c:v>
                      </c:pt>
                      <c:pt idx="1">
                        <c:v>22.5</c:v>
                      </c:pt>
                      <c:pt idx="2">
                        <c:v>22.8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7E4-4B81-BE46-1C466B00590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4"/>
          <c:tx>
            <c:strRef>
              <c:f>Planilha5!$F$4</c:f>
              <c:strCache>
                <c:ptCount val="1"/>
                <c:pt idx="0">
                  <c:v>x</c:v>
                </c:pt>
              </c:strCache>
            </c:strRef>
          </c:tx>
          <c:spPr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Planilha5!$F$5:$F$24</c:f>
              <c:numCache>
                <c:formatCode>General</c:formatCode>
                <c:ptCount val="20"/>
                <c:pt idx="0">
                  <c:v>4.8571428571428568</c:v>
                </c:pt>
                <c:pt idx="1">
                  <c:v>9.1428571428571423</c:v>
                </c:pt>
                <c:pt idx="2">
                  <c:v>10.571428571428571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Planilha5!$G$5:$G$24</c:f>
              <c:numCache>
                <c:formatCode>General</c:formatCode>
                <c:ptCount val="20"/>
                <c:pt idx="0">
                  <c:v>18.7</c:v>
                </c:pt>
                <c:pt idx="1">
                  <c:v>22.5</c:v>
                </c:pt>
                <c:pt idx="2">
                  <c:v>22.8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E4-4B81-BE46-1C466B005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</c:scatterChart>
      <c:catAx>
        <c:axId val="144879673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5868943"/>
        <c:crosses val="autoZero"/>
        <c:auto val="1"/>
        <c:lblAlgn val="ctr"/>
        <c:lblOffset val="100"/>
        <c:noMultiLvlLbl val="0"/>
      </c:catAx>
      <c:valAx>
        <c:axId val="185868943"/>
        <c:scaling>
          <c:orientation val="minMax"/>
          <c:max val="45"/>
          <c:min val="10"/>
        </c:scaling>
        <c:delete val="0"/>
        <c:axPos val="l"/>
        <c:majorGridlines>
          <c:spPr>
            <a:effectLst/>
          </c:spPr>
        </c:majorGridlines>
        <c:numFmt formatCode="0" sourceLinked="1"/>
        <c:majorTickMark val="none"/>
        <c:minorTickMark val="none"/>
        <c:tickLblPos val="nextTo"/>
        <c:crossAx val="1448796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Peso Materno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796736"/>
        <c:axId val="18586894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766-4C38-BD29-8ADB9F8DE657}"/>
                  </c:ext>
                </c:extLst>
              </c15:ser>
            </c15:filteredBarSeries>
          </c:ext>
        </c:extLst>
      </c:barChart>
      <c:scatterChart>
        <c:scatterStyle val="smoothMarker"/>
        <c:varyColors val="0"/>
        <c:ser>
          <c:idx val="1"/>
          <c:order val="1"/>
          <c:tx>
            <c:strRef>
              <c:f>Planilha5!$C$4</c:f>
              <c:strCache>
                <c:ptCount val="1"/>
                <c:pt idx="0">
                  <c:v>Peso adequado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Planilha5!$C$5:$C$46</c:f>
              <c:numCache>
                <c:formatCode>General</c:formatCode>
                <c:ptCount val="4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20.2</c:v>
                </c:pt>
                <c:pt idx="8">
                  <c:v>20.2</c:v>
                </c:pt>
                <c:pt idx="9">
                  <c:v>20.3</c:v>
                </c:pt>
                <c:pt idx="10">
                  <c:v>20.399999999999999</c:v>
                </c:pt>
                <c:pt idx="11">
                  <c:v>20.5</c:v>
                </c:pt>
                <c:pt idx="12">
                  <c:v>20.7</c:v>
                </c:pt>
                <c:pt idx="13">
                  <c:v>20.8</c:v>
                </c:pt>
                <c:pt idx="14">
                  <c:v>20.9</c:v>
                </c:pt>
                <c:pt idx="15">
                  <c:v>21.1</c:v>
                </c:pt>
                <c:pt idx="16">
                  <c:v>21.2</c:v>
                </c:pt>
                <c:pt idx="17">
                  <c:v>21.3</c:v>
                </c:pt>
                <c:pt idx="18">
                  <c:v>21.5</c:v>
                </c:pt>
                <c:pt idx="19">
                  <c:v>21.6</c:v>
                </c:pt>
                <c:pt idx="20">
                  <c:v>21.8</c:v>
                </c:pt>
                <c:pt idx="21">
                  <c:v>21.9</c:v>
                </c:pt>
                <c:pt idx="22">
                  <c:v>22.1</c:v>
                </c:pt>
                <c:pt idx="23">
                  <c:v>22.3</c:v>
                </c:pt>
                <c:pt idx="24">
                  <c:v>22.4</c:v>
                </c:pt>
                <c:pt idx="25">
                  <c:v>22.7</c:v>
                </c:pt>
                <c:pt idx="26">
                  <c:v>22.8</c:v>
                </c:pt>
                <c:pt idx="27">
                  <c:v>23</c:v>
                </c:pt>
                <c:pt idx="28">
                  <c:v>23.2</c:v>
                </c:pt>
                <c:pt idx="29">
                  <c:v>23.4</c:v>
                </c:pt>
                <c:pt idx="30">
                  <c:v>23.5</c:v>
                </c:pt>
                <c:pt idx="31">
                  <c:v>23.7</c:v>
                </c:pt>
                <c:pt idx="32">
                  <c:v>23.9</c:v>
                </c:pt>
                <c:pt idx="33">
                  <c:v>24</c:v>
                </c:pt>
                <c:pt idx="34">
                  <c:v>24.2</c:v>
                </c:pt>
                <c:pt idx="35">
                  <c:v>24.3</c:v>
                </c:pt>
                <c:pt idx="36">
                  <c:v>24.5</c:v>
                </c:pt>
                <c:pt idx="37">
                  <c:v>24.6</c:v>
                </c:pt>
                <c:pt idx="38">
                  <c:v>24.8</c:v>
                </c:pt>
                <c:pt idx="39">
                  <c:v>25</c:v>
                </c:pt>
                <c:pt idx="40">
                  <c:v>25.1</c:v>
                </c:pt>
                <c:pt idx="41">
                  <c:v>25.1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6-4C38-BD29-8ADB9F8DE657}"/>
            </c:ext>
          </c:extLst>
        </c:ser>
        <c:ser>
          <c:idx val="2"/>
          <c:order val="2"/>
          <c:tx>
            <c:strRef>
              <c:f>Planilha5!$D$4</c:f>
              <c:strCache>
                <c:ptCount val="1"/>
                <c:pt idx="0">
                  <c:v>Sobrepeso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Planilha5!$D$5:$D$46</c:f>
              <c:numCache>
                <c:formatCode>General</c:formatCode>
                <c:ptCount val="42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25.1</c:v>
                </c:pt>
                <c:pt idx="8">
                  <c:v>25.2</c:v>
                </c:pt>
                <c:pt idx="9">
                  <c:v>25.3</c:v>
                </c:pt>
                <c:pt idx="10">
                  <c:v>25.4</c:v>
                </c:pt>
                <c:pt idx="11">
                  <c:v>25.5</c:v>
                </c:pt>
                <c:pt idx="12">
                  <c:v>25.7</c:v>
                </c:pt>
                <c:pt idx="13">
                  <c:v>25.8</c:v>
                </c:pt>
                <c:pt idx="14">
                  <c:v>25.9</c:v>
                </c:pt>
                <c:pt idx="15">
                  <c:v>26</c:v>
                </c:pt>
                <c:pt idx="16">
                  <c:v>26.1</c:v>
                </c:pt>
                <c:pt idx="17">
                  <c:v>26.2</c:v>
                </c:pt>
                <c:pt idx="18">
                  <c:v>26.3</c:v>
                </c:pt>
                <c:pt idx="19">
                  <c:v>26.4</c:v>
                </c:pt>
                <c:pt idx="20">
                  <c:v>26.5</c:v>
                </c:pt>
                <c:pt idx="21">
                  <c:v>26.7</c:v>
                </c:pt>
                <c:pt idx="22">
                  <c:v>26.9</c:v>
                </c:pt>
                <c:pt idx="23">
                  <c:v>27</c:v>
                </c:pt>
                <c:pt idx="24">
                  <c:v>27.1</c:v>
                </c:pt>
                <c:pt idx="25">
                  <c:v>27.3</c:v>
                </c:pt>
                <c:pt idx="26">
                  <c:v>27.4</c:v>
                </c:pt>
                <c:pt idx="27">
                  <c:v>27.6</c:v>
                </c:pt>
                <c:pt idx="28">
                  <c:v>27.7</c:v>
                </c:pt>
                <c:pt idx="29">
                  <c:v>27.9</c:v>
                </c:pt>
                <c:pt idx="30">
                  <c:v>28</c:v>
                </c:pt>
                <c:pt idx="31">
                  <c:v>28.1</c:v>
                </c:pt>
                <c:pt idx="32">
                  <c:v>28.2</c:v>
                </c:pt>
                <c:pt idx="33">
                  <c:v>28.4</c:v>
                </c:pt>
                <c:pt idx="34">
                  <c:v>28.5</c:v>
                </c:pt>
                <c:pt idx="35">
                  <c:v>28.6</c:v>
                </c:pt>
                <c:pt idx="36">
                  <c:v>28.8</c:v>
                </c:pt>
                <c:pt idx="37">
                  <c:v>28.9</c:v>
                </c:pt>
                <c:pt idx="38">
                  <c:v>29</c:v>
                </c:pt>
                <c:pt idx="39">
                  <c:v>29.2</c:v>
                </c:pt>
                <c:pt idx="40">
                  <c:v>29.3</c:v>
                </c:pt>
                <c:pt idx="41">
                  <c:v>29.3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66-4C38-BD29-8ADB9F8DE657}"/>
            </c:ext>
          </c:extLst>
        </c:ser>
        <c:ser>
          <c:idx val="3"/>
          <c:order val="3"/>
          <c:tx>
            <c:strRef>
              <c:f>Planilha5!$E$4</c:f>
              <c:strCache>
                <c:ptCount val="1"/>
                <c:pt idx="0">
                  <c:v>Obesidade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Planilha5!$E$5:$E$46</c:f>
              <c:numCache>
                <c:formatCode>General</c:formatCode>
                <c:ptCount val="4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30.2</c:v>
                </c:pt>
                <c:pt idx="8">
                  <c:v>30.2</c:v>
                </c:pt>
                <c:pt idx="9">
                  <c:v>30.3</c:v>
                </c:pt>
                <c:pt idx="10">
                  <c:v>30.4</c:v>
                </c:pt>
                <c:pt idx="11">
                  <c:v>30.4</c:v>
                </c:pt>
                <c:pt idx="12">
                  <c:v>30.5</c:v>
                </c:pt>
                <c:pt idx="13">
                  <c:v>30.6</c:v>
                </c:pt>
                <c:pt idx="14">
                  <c:v>30.7</c:v>
                </c:pt>
                <c:pt idx="15">
                  <c:v>30.8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31.1</c:v>
                </c:pt>
                <c:pt idx="20">
                  <c:v>31.2</c:v>
                </c:pt>
                <c:pt idx="21">
                  <c:v>31.3</c:v>
                </c:pt>
                <c:pt idx="22">
                  <c:v>31.4</c:v>
                </c:pt>
                <c:pt idx="23">
                  <c:v>31.6</c:v>
                </c:pt>
                <c:pt idx="24">
                  <c:v>31.7</c:v>
                </c:pt>
                <c:pt idx="25">
                  <c:v>31.8</c:v>
                </c:pt>
                <c:pt idx="26">
                  <c:v>31.9</c:v>
                </c:pt>
                <c:pt idx="27">
                  <c:v>32</c:v>
                </c:pt>
                <c:pt idx="28">
                  <c:v>32.1</c:v>
                </c:pt>
                <c:pt idx="29">
                  <c:v>32.200000000000003</c:v>
                </c:pt>
                <c:pt idx="30">
                  <c:v>32.299999999999997</c:v>
                </c:pt>
                <c:pt idx="31">
                  <c:v>32.4</c:v>
                </c:pt>
                <c:pt idx="32">
                  <c:v>32.5</c:v>
                </c:pt>
                <c:pt idx="33">
                  <c:v>32.6</c:v>
                </c:pt>
                <c:pt idx="34">
                  <c:v>32.700000000000003</c:v>
                </c:pt>
                <c:pt idx="35">
                  <c:v>32.799999999999997</c:v>
                </c:pt>
                <c:pt idx="36">
                  <c:v>32.9</c:v>
                </c:pt>
                <c:pt idx="37">
                  <c:v>33</c:v>
                </c:pt>
                <c:pt idx="38">
                  <c:v>33.1</c:v>
                </c:pt>
                <c:pt idx="39">
                  <c:v>33.200000000000003</c:v>
                </c:pt>
                <c:pt idx="40">
                  <c:v>33.299999999999997</c:v>
                </c:pt>
                <c:pt idx="41">
                  <c:v>33.299999999999997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66-4C38-BD29-8ADB9F8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Planilha5!$G$4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yVal>
                  <c:numRef>
                    <c:extLst>
                      <c:ext uri="{02D57815-91ED-43cb-92C2-25804820EDAC}">
                        <c15:formulaRef>
                          <c15:sqref>Planilha5!$G$5:$G$46</c15:sqref>
                        </c15:formulaRef>
                      </c:ext>
                    </c:extLst>
                    <c:numCache>
                      <c:formatCode>General</c:formatCode>
                      <c:ptCount val="42"/>
                      <c:pt idx="0">
                        <c:v>18.7</c:v>
                      </c:pt>
                      <c:pt idx="1">
                        <c:v>22.5</c:v>
                      </c:pt>
                      <c:pt idx="2">
                        <c:v>22.8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766-4C38-BD29-8ADB9F8DE65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4"/>
          <c:tx>
            <c:strRef>
              <c:f>Planilha5!$F$4</c:f>
              <c:strCache>
                <c:ptCount val="1"/>
                <c:pt idx="0">
                  <c:v>x</c:v>
                </c:pt>
              </c:strCache>
            </c:strRef>
          </c:tx>
          <c:spPr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Planilha5!$F$5:$F$24</c:f>
              <c:numCache>
                <c:formatCode>General</c:formatCode>
                <c:ptCount val="20"/>
                <c:pt idx="0">
                  <c:v>4.8571428571428568</c:v>
                </c:pt>
                <c:pt idx="1">
                  <c:v>9.1428571428571423</c:v>
                </c:pt>
                <c:pt idx="2">
                  <c:v>10.571428571428571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Planilha5!$G$5:$G$24</c:f>
              <c:numCache>
                <c:formatCode>General</c:formatCode>
                <c:ptCount val="20"/>
                <c:pt idx="0">
                  <c:v>18.7</c:v>
                </c:pt>
                <c:pt idx="1">
                  <c:v>22.5</c:v>
                </c:pt>
                <c:pt idx="2">
                  <c:v>22.8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66-4C38-BD29-8ADB9F8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</c:scatterChart>
      <c:catAx>
        <c:axId val="144879673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5868943"/>
        <c:crosses val="autoZero"/>
        <c:auto val="1"/>
        <c:lblAlgn val="ctr"/>
        <c:lblOffset val="100"/>
        <c:noMultiLvlLbl val="0"/>
      </c:catAx>
      <c:valAx>
        <c:axId val="185868943"/>
        <c:scaling>
          <c:orientation val="minMax"/>
          <c:max val="45"/>
          <c:min val="10"/>
        </c:scaling>
        <c:delete val="0"/>
        <c:axPos val="l"/>
        <c:majorGridlines>
          <c:spPr>
            <a:effectLst/>
          </c:spPr>
        </c:majorGridlines>
        <c:numFmt formatCode="0" sourceLinked="1"/>
        <c:majorTickMark val="none"/>
        <c:minorTickMark val="none"/>
        <c:tickLblPos val="nextTo"/>
        <c:crossAx val="1448796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Ganho Ponderal na Gestação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Peso adequado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2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20.2</c:v>
              </c:pt>
              <c:pt idx="8">
                <c:v>20.2</c:v>
              </c:pt>
              <c:pt idx="9">
                <c:v>20.3</c:v>
              </c:pt>
              <c:pt idx="10">
                <c:v>20.399999999999999</c:v>
              </c:pt>
              <c:pt idx="11">
                <c:v>20.5</c:v>
              </c:pt>
              <c:pt idx="12">
                <c:v>20.7</c:v>
              </c:pt>
              <c:pt idx="13">
                <c:v>20.8</c:v>
              </c:pt>
              <c:pt idx="14">
                <c:v>20.9</c:v>
              </c:pt>
              <c:pt idx="15">
                <c:v>21.1</c:v>
              </c:pt>
              <c:pt idx="16">
                <c:v>21.2</c:v>
              </c:pt>
              <c:pt idx="17">
                <c:v>21.3</c:v>
              </c:pt>
              <c:pt idx="18">
                <c:v>21.5</c:v>
              </c:pt>
              <c:pt idx="19">
                <c:v>21.6</c:v>
              </c:pt>
              <c:pt idx="20">
                <c:v>21.8</c:v>
              </c:pt>
              <c:pt idx="21">
                <c:v>21.9</c:v>
              </c:pt>
              <c:pt idx="22">
                <c:v>22.1</c:v>
              </c:pt>
              <c:pt idx="23">
                <c:v>22.3</c:v>
              </c:pt>
              <c:pt idx="24">
                <c:v>22.4</c:v>
              </c:pt>
              <c:pt idx="25">
                <c:v>22.7</c:v>
              </c:pt>
              <c:pt idx="26">
                <c:v>22.8</c:v>
              </c:pt>
              <c:pt idx="27">
                <c:v>23</c:v>
              </c:pt>
              <c:pt idx="28">
                <c:v>23.2</c:v>
              </c:pt>
              <c:pt idx="29">
                <c:v>23.4</c:v>
              </c:pt>
              <c:pt idx="30">
                <c:v>23.5</c:v>
              </c:pt>
              <c:pt idx="31">
                <c:v>23.7</c:v>
              </c:pt>
              <c:pt idx="32">
                <c:v>23.9</c:v>
              </c:pt>
              <c:pt idx="33">
                <c:v>24</c:v>
              </c:pt>
              <c:pt idx="34">
                <c:v>24.2</c:v>
              </c:pt>
              <c:pt idx="35">
                <c:v>24.3</c:v>
              </c:pt>
              <c:pt idx="36">
                <c:v>24.5</c:v>
              </c:pt>
              <c:pt idx="37">
                <c:v>24.6</c:v>
              </c:pt>
              <c:pt idx="38">
                <c:v>24.8</c:v>
              </c:pt>
              <c:pt idx="39">
                <c:v>25</c:v>
              </c:pt>
              <c:pt idx="40">
                <c:v>25.1</c:v>
              </c:pt>
              <c:pt idx="41">
                <c:v>25.1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819-4EC3-A01D-E11336103712}"/>
            </c:ext>
          </c:extLst>
        </c:ser>
        <c:ser>
          <c:idx val="2"/>
          <c:order val="2"/>
          <c:tx>
            <c:v>Sobrepeso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2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25.1</c:v>
              </c:pt>
              <c:pt idx="8">
                <c:v>25.2</c:v>
              </c:pt>
              <c:pt idx="9">
                <c:v>25.3</c:v>
              </c:pt>
              <c:pt idx="10">
                <c:v>25.4</c:v>
              </c:pt>
              <c:pt idx="11">
                <c:v>25.5</c:v>
              </c:pt>
              <c:pt idx="12">
                <c:v>25.7</c:v>
              </c:pt>
              <c:pt idx="13">
                <c:v>25.8</c:v>
              </c:pt>
              <c:pt idx="14">
                <c:v>25.9</c:v>
              </c:pt>
              <c:pt idx="15">
                <c:v>26</c:v>
              </c:pt>
              <c:pt idx="16">
                <c:v>26.1</c:v>
              </c:pt>
              <c:pt idx="17">
                <c:v>26.2</c:v>
              </c:pt>
              <c:pt idx="18">
                <c:v>26.3</c:v>
              </c:pt>
              <c:pt idx="19">
                <c:v>26.4</c:v>
              </c:pt>
              <c:pt idx="20">
                <c:v>26.5</c:v>
              </c:pt>
              <c:pt idx="21">
                <c:v>26.7</c:v>
              </c:pt>
              <c:pt idx="22">
                <c:v>26.9</c:v>
              </c:pt>
              <c:pt idx="23">
                <c:v>27</c:v>
              </c:pt>
              <c:pt idx="24">
                <c:v>27.1</c:v>
              </c:pt>
              <c:pt idx="25">
                <c:v>27.3</c:v>
              </c:pt>
              <c:pt idx="26">
                <c:v>27.4</c:v>
              </c:pt>
              <c:pt idx="27">
                <c:v>27.6</c:v>
              </c:pt>
              <c:pt idx="28">
                <c:v>27.7</c:v>
              </c:pt>
              <c:pt idx="29">
                <c:v>27.9</c:v>
              </c:pt>
              <c:pt idx="30">
                <c:v>28</c:v>
              </c:pt>
              <c:pt idx="31">
                <c:v>28.1</c:v>
              </c:pt>
              <c:pt idx="32">
                <c:v>28.2</c:v>
              </c:pt>
              <c:pt idx="33">
                <c:v>28.4</c:v>
              </c:pt>
              <c:pt idx="34">
                <c:v>28.5</c:v>
              </c:pt>
              <c:pt idx="35">
                <c:v>28.6</c:v>
              </c:pt>
              <c:pt idx="36">
                <c:v>28.8</c:v>
              </c:pt>
              <c:pt idx="37">
                <c:v>28.9</c:v>
              </c:pt>
              <c:pt idx="38">
                <c:v>29</c:v>
              </c:pt>
              <c:pt idx="39">
                <c:v>29.2</c:v>
              </c:pt>
              <c:pt idx="40">
                <c:v>29.3</c:v>
              </c:pt>
              <c:pt idx="41">
                <c:v>29.3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819-4EC3-A01D-E11336103712}"/>
            </c:ext>
          </c:extLst>
        </c:ser>
        <c:ser>
          <c:idx val="3"/>
          <c:order val="3"/>
          <c:tx>
            <c:v>Obesidade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2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30</c:v>
              </c:pt>
              <c:pt idx="4">
                <c:v>30</c:v>
              </c:pt>
              <c:pt idx="5">
                <c:v>30</c:v>
              </c:pt>
              <c:pt idx="6">
                <c:v>30</c:v>
              </c:pt>
              <c:pt idx="7">
                <c:v>30.2</c:v>
              </c:pt>
              <c:pt idx="8">
                <c:v>30.2</c:v>
              </c:pt>
              <c:pt idx="9">
                <c:v>30.3</c:v>
              </c:pt>
              <c:pt idx="10">
                <c:v>30.4</c:v>
              </c:pt>
              <c:pt idx="11">
                <c:v>30.4</c:v>
              </c:pt>
              <c:pt idx="12">
                <c:v>30.5</c:v>
              </c:pt>
              <c:pt idx="13">
                <c:v>30.6</c:v>
              </c:pt>
              <c:pt idx="14">
                <c:v>30.7</c:v>
              </c:pt>
              <c:pt idx="15">
                <c:v>30.8</c:v>
              </c:pt>
              <c:pt idx="16">
                <c:v>30.9</c:v>
              </c:pt>
              <c:pt idx="17">
                <c:v>31</c:v>
              </c:pt>
              <c:pt idx="18">
                <c:v>31</c:v>
              </c:pt>
              <c:pt idx="19">
                <c:v>31.1</c:v>
              </c:pt>
              <c:pt idx="20">
                <c:v>31.2</c:v>
              </c:pt>
              <c:pt idx="21">
                <c:v>31.3</c:v>
              </c:pt>
              <c:pt idx="22">
                <c:v>31.4</c:v>
              </c:pt>
              <c:pt idx="23">
                <c:v>31.6</c:v>
              </c:pt>
              <c:pt idx="24">
                <c:v>31.7</c:v>
              </c:pt>
              <c:pt idx="25">
                <c:v>31.8</c:v>
              </c:pt>
              <c:pt idx="26">
                <c:v>31.9</c:v>
              </c:pt>
              <c:pt idx="27">
                <c:v>32</c:v>
              </c:pt>
              <c:pt idx="28">
                <c:v>32.1</c:v>
              </c:pt>
              <c:pt idx="29">
                <c:v>32.200000000000003</c:v>
              </c:pt>
              <c:pt idx="30">
                <c:v>32.299999999999997</c:v>
              </c:pt>
              <c:pt idx="31">
                <c:v>32.4</c:v>
              </c:pt>
              <c:pt idx="32">
                <c:v>32.5</c:v>
              </c:pt>
              <c:pt idx="33">
                <c:v>32.6</c:v>
              </c:pt>
              <c:pt idx="34">
                <c:v>32.700000000000003</c:v>
              </c:pt>
              <c:pt idx="35">
                <c:v>32.799999999999997</c:v>
              </c:pt>
              <c:pt idx="36">
                <c:v>32.9</c:v>
              </c:pt>
              <c:pt idx="37">
                <c:v>33</c:v>
              </c:pt>
              <c:pt idx="38">
                <c:v>33.1</c:v>
              </c:pt>
              <c:pt idx="39">
                <c:v>33.200000000000003</c:v>
              </c:pt>
              <c:pt idx="40">
                <c:v>33.299999999999997</c:v>
              </c:pt>
              <c:pt idx="41">
                <c:v>33.299999999999997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819-4EC3-A01D-E11336103712}"/>
            </c:ext>
          </c:extLst>
        </c:ser>
        <c:ser>
          <c:idx val="4"/>
          <c:order val="4"/>
          <c:tx>
            <c:v>Paciente x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C0000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Lit>
              <c:formatCode>General</c:formatCode>
              <c:ptCount val="42"/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819-4EC3-A01D-E1133610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640360"/>
        <c:axId val="3805322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IG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Lit>
                    <c:formatCode>General</c:formatCode>
                    <c:ptCount val="42"/>
                    <c:pt idx="0">
                      <c:v>1</c:v>
                    </c:pt>
                    <c:pt idx="1">
                      <c:v>2</c:v>
                    </c:pt>
                    <c:pt idx="2">
                      <c:v>3</c:v>
                    </c:pt>
                    <c:pt idx="3">
                      <c:v>4</c:v>
                    </c:pt>
                    <c:pt idx="4">
                      <c:v>5</c:v>
                    </c:pt>
                    <c:pt idx="5">
                      <c:v>6</c:v>
                    </c:pt>
                    <c:pt idx="6">
                      <c:v>7</c:v>
                    </c:pt>
                    <c:pt idx="7">
                      <c:v>8</c:v>
                    </c:pt>
                    <c:pt idx="8">
                      <c:v>9</c:v>
                    </c:pt>
                    <c:pt idx="9">
                      <c:v>10</c:v>
                    </c:pt>
                    <c:pt idx="10">
                      <c:v>11</c:v>
                    </c:pt>
                    <c:pt idx="11">
                      <c:v>12</c:v>
                    </c:pt>
                    <c:pt idx="12">
                      <c:v>13</c:v>
                    </c:pt>
                    <c:pt idx="13">
                      <c:v>14</c:v>
                    </c:pt>
                    <c:pt idx="14">
                      <c:v>15</c:v>
                    </c:pt>
                    <c:pt idx="15">
                      <c:v>16</c:v>
                    </c:pt>
                    <c:pt idx="16">
                      <c:v>17</c:v>
                    </c:pt>
                    <c:pt idx="17">
                      <c:v>18</c:v>
                    </c:pt>
                    <c:pt idx="18">
                      <c:v>19</c:v>
                    </c:pt>
                    <c:pt idx="19">
                      <c:v>20</c:v>
                    </c:pt>
                    <c:pt idx="20">
                      <c:v>21</c:v>
                    </c:pt>
                    <c:pt idx="21">
                      <c:v>22</c:v>
                    </c:pt>
                    <c:pt idx="22">
                      <c:v>23</c:v>
                    </c:pt>
                    <c:pt idx="23">
                      <c:v>24</c:v>
                    </c:pt>
                    <c:pt idx="24">
                      <c:v>25</c:v>
                    </c:pt>
                    <c:pt idx="25">
                      <c:v>26</c:v>
                    </c:pt>
                    <c:pt idx="26">
                      <c:v>27</c:v>
                    </c:pt>
                    <c:pt idx="27">
                      <c:v>28</c:v>
                    </c:pt>
                    <c:pt idx="28">
                      <c:v>29</c:v>
                    </c:pt>
                    <c:pt idx="29">
                      <c:v>30</c:v>
                    </c:pt>
                    <c:pt idx="30">
                      <c:v>31</c:v>
                    </c:pt>
                    <c:pt idx="31">
                      <c:v>32</c:v>
                    </c:pt>
                    <c:pt idx="32">
                      <c:v>33</c:v>
                    </c:pt>
                    <c:pt idx="33">
                      <c:v>34</c:v>
                    </c:pt>
                    <c:pt idx="34">
                      <c:v>35</c:v>
                    </c:pt>
                    <c:pt idx="35">
                      <c:v>36</c:v>
                    </c:pt>
                    <c:pt idx="36">
                      <c:v>37</c:v>
                    </c:pt>
                    <c:pt idx="37">
                      <c:v>38</c:v>
                    </c:pt>
                    <c:pt idx="38">
                      <c:v>39</c:v>
                    </c:pt>
                    <c:pt idx="39">
                      <c:v>40</c:v>
                    </c:pt>
                    <c:pt idx="40">
                      <c:v>41</c:v>
                    </c:pt>
                    <c:pt idx="41">
                      <c:v>42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4-2819-4EC3-A01D-E11336103712}"/>
                  </c:ext>
                </c:extLst>
              </c15:ser>
            </c15:filteredLineSeries>
          </c:ext>
        </c:extLst>
      </c:lineChart>
      <c:catAx>
        <c:axId val="128640360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532256"/>
        <c:crosses val="autoZero"/>
        <c:auto val="1"/>
        <c:lblAlgn val="ctr"/>
        <c:lblOffset val="100"/>
        <c:noMultiLvlLbl val="0"/>
      </c:catAx>
      <c:valAx>
        <c:axId val="380532256"/>
        <c:scaling>
          <c:orientation val="minMax"/>
          <c:max val="4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640360"/>
        <c:crossesAt val="1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Lit>
              <c:formatCode>General</c:formatCode>
              <c:ptCount val="3"/>
              <c:pt idx="0">
                <c:v>2</c:v>
              </c:pt>
              <c:pt idx="1">
                <c:v>3</c:v>
              </c:pt>
              <c:pt idx="2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922-40BA-8955-38A626FDB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765072"/>
        <c:axId val="2053758832"/>
      </c:scatterChart>
      <c:valAx>
        <c:axId val="20537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3758832"/>
        <c:crosses val="autoZero"/>
        <c:crossBetween val="midCat"/>
      </c:valAx>
      <c:valAx>
        <c:axId val="205375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376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Peso adequado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Lit>
              <c:formatCode>General</c:formatCode>
              <c:ptCount val="4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</c:numLit>
          </c:cat>
          <c:val>
            <c:numLit>
              <c:formatCode>General</c:formatCode>
              <c:ptCount val="42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20.2</c:v>
              </c:pt>
              <c:pt idx="8">
                <c:v>20.2</c:v>
              </c:pt>
              <c:pt idx="9">
                <c:v>20.3</c:v>
              </c:pt>
              <c:pt idx="10">
                <c:v>20.399999999999999</c:v>
              </c:pt>
              <c:pt idx="11">
                <c:v>20.5</c:v>
              </c:pt>
              <c:pt idx="12">
                <c:v>20.7</c:v>
              </c:pt>
              <c:pt idx="13">
                <c:v>20.8</c:v>
              </c:pt>
              <c:pt idx="14">
                <c:v>20.9</c:v>
              </c:pt>
              <c:pt idx="15">
                <c:v>21.1</c:v>
              </c:pt>
              <c:pt idx="16">
                <c:v>21.2</c:v>
              </c:pt>
              <c:pt idx="17">
                <c:v>21.3</c:v>
              </c:pt>
              <c:pt idx="18">
                <c:v>21.5</c:v>
              </c:pt>
              <c:pt idx="19">
                <c:v>21.6</c:v>
              </c:pt>
              <c:pt idx="20">
                <c:v>21.8</c:v>
              </c:pt>
              <c:pt idx="21">
                <c:v>21.9</c:v>
              </c:pt>
              <c:pt idx="22">
                <c:v>22.1</c:v>
              </c:pt>
              <c:pt idx="23">
                <c:v>22.3</c:v>
              </c:pt>
              <c:pt idx="24">
                <c:v>22.4</c:v>
              </c:pt>
              <c:pt idx="25">
                <c:v>22.7</c:v>
              </c:pt>
              <c:pt idx="26">
                <c:v>22.8</c:v>
              </c:pt>
              <c:pt idx="27">
                <c:v>23</c:v>
              </c:pt>
              <c:pt idx="28">
                <c:v>23.2</c:v>
              </c:pt>
              <c:pt idx="29">
                <c:v>23.4</c:v>
              </c:pt>
              <c:pt idx="30">
                <c:v>23.5</c:v>
              </c:pt>
              <c:pt idx="31">
                <c:v>23.7</c:v>
              </c:pt>
              <c:pt idx="32">
                <c:v>23.9</c:v>
              </c:pt>
              <c:pt idx="33">
                <c:v>24</c:v>
              </c:pt>
              <c:pt idx="34">
                <c:v>24.2</c:v>
              </c:pt>
              <c:pt idx="35">
                <c:v>24.3</c:v>
              </c:pt>
              <c:pt idx="36">
                <c:v>24.5</c:v>
              </c:pt>
              <c:pt idx="37">
                <c:v>24.6</c:v>
              </c:pt>
              <c:pt idx="38">
                <c:v>24.8</c:v>
              </c:pt>
              <c:pt idx="39">
                <c:v>25</c:v>
              </c:pt>
              <c:pt idx="40">
                <c:v>25.1</c:v>
              </c:pt>
              <c:pt idx="41">
                <c:v>25.1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844-4EEF-B70B-E526230FDB1F}"/>
            </c:ext>
          </c:extLst>
        </c:ser>
        <c:ser>
          <c:idx val="1"/>
          <c:order val="1"/>
          <c:tx>
            <c:v>Sobrepeso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Lit>
              <c:formatCode>General</c:formatCode>
              <c:ptCount val="4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</c:numLit>
          </c:cat>
          <c:val>
            <c:numLit>
              <c:formatCode>General</c:formatCode>
              <c:ptCount val="42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25.1</c:v>
              </c:pt>
              <c:pt idx="8">
                <c:v>25.2</c:v>
              </c:pt>
              <c:pt idx="9">
                <c:v>25.3</c:v>
              </c:pt>
              <c:pt idx="10">
                <c:v>25.4</c:v>
              </c:pt>
              <c:pt idx="11">
                <c:v>25.5</c:v>
              </c:pt>
              <c:pt idx="12">
                <c:v>25.7</c:v>
              </c:pt>
              <c:pt idx="13">
                <c:v>25.8</c:v>
              </c:pt>
              <c:pt idx="14">
                <c:v>25.9</c:v>
              </c:pt>
              <c:pt idx="15">
                <c:v>26</c:v>
              </c:pt>
              <c:pt idx="16">
                <c:v>26.1</c:v>
              </c:pt>
              <c:pt idx="17">
                <c:v>26.2</c:v>
              </c:pt>
              <c:pt idx="18">
                <c:v>26.3</c:v>
              </c:pt>
              <c:pt idx="19">
                <c:v>26.4</c:v>
              </c:pt>
              <c:pt idx="20">
                <c:v>26.5</c:v>
              </c:pt>
              <c:pt idx="21">
                <c:v>26.7</c:v>
              </c:pt>
              <c:pt idx="22">
                <c:v>26.9</c:v>
              </c:pt>
              <c:pt idx="23">
                <c:v>27</c:v>
              </c:pt>
              <c:pt idx="24">
                <c:v>27.1</c:v>
              </c:pt>
              <c:pt idx="25">
                <c:v>27.3</c:v>
              </c:pt>
              <c:pt idx="26">
                <c:v>27.4</c:v>
              </c:pt>
              <c:pt idx="27">
                <c:v>27.6</c:v>
              </c:pt>
              <c:pt idx="28">
                <c:v>27.7</c:v>
              </c:pt>
              <c:pt idx="29">
                <c:v>27.9</c:v>
              </c:pt>
              <c:pt idx="30">
                <c:v>28</c:v>
              </c:pt>
              <c:pt idx="31">
                <c:v>28.1</c:v>
              </c:pt>
              <c:pt idx="32">
                <c:v>28.2</c:v>
              </c:pt>
              <c:pt idx="33">
                <c:v>28.4</c:v>
              </c:pt>
              <c:pt idx="34">
                <c:v>28.5</c:v>
              </c:pt>
              <c:pt idx="35">
                <c:v>28.6</c:v>
              </c:pt>
              <c:pt idx="36">
                <c:v>28.8</c:v>
              </c:pt>
              <c:pt idx="37">
                <c:v>28.9</c:v>
              </c:pt>
              <c:pt idx="38">
                <c:v>29</c:v>
              </c:pt>
              <c:pt idx="39">
                <c:v>29.2</c:v>
              </c:pt>
              <c:pt idx="40">
                <c:v>29.3</c:v>
              </c:pt>
              <c:pt idx="41">
                <c:v>29.3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844-4EEF-B70B-E526230FDB1F}"/>
            </c:ext>
          </c:extLst>
        </c:ser>
        <c:ser>
          <c:idx val="2"/>
          <c:order val="2"/>
          <c:tx>
            <c:v>Obesidade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Lit>
              <c:formatCode>General</c:formatCode>
              <c:ptCount val="4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</c:numLit>
          </c:cat>
          <c:val>
            <c:numLit>
              <c:formatCode>General</c:formatCode>
              <c:ptCount val="42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30</c:v>
              </c:pt>
              <c:pt idx="4">
                <c:v>30</c:v>
              </c:pt>
              <c:pt idx="5">
                <c:v>30</c:v>
              </c:pt>
              <c:pt idx="6">
                <c:v>30</c:v>
              </c:pt>
              <c:pt idx="7">
                <c:v>30.2</c:v>
              </c:pt>
              <c:pt idx="8">
                <c:v>30.2</c:v>
              </c:pt>
              <c:pt idx="9">
                <c:v>30.3</c:v>
              </c:pt>
              <c:pt idx="10">
                <c:v>30.4</c:v>
              </c:pt>
              <c:pt idx="11">
                <c:v>30.4</c:v>
              </c:pt>
              <c:pt idx="12">
                <c:v>30.5</c:v>
              </c:pt>
              <c:pt idx="13">
                <c:v>30.6</c:v>
              </c:pt>
              <c:pt idx="14">
                <c:v>30.7</c:v>
              </c:pt>
              <c:pt idx="15">
                <c:v>30.8</c:v>
              </c:pt>
              <c:pt idx="16">
                <c:v>30.9</c:v>
              </c:pt>
              <c:pt idx="17">
                <c:v>31</c:v>
              </c:pt>
              <c:pt idx="18">
                <c:v>31</c:v>
              </c:pt>
              <c:pt idx="19">
                <c:v>31.1</c:v>
              </c:pt>
              <c:pt idx="20">
                <c:v>31.2</c:v>
              </c:pt>
              <c:pt idx="21">
                <c:v>31.3</c:v>
              </c:pt>
              <c:pt idx="22">
                <c:v>31.4</c:v>
              </c:pt>
              <c:pt idx="23">
                <c:v>31.6</c:v>
              </c:pt>
              <c:pt idx="24">
                <c:v>31.7</c:v>
              </c:pt>
              <c:pt idx="25">
                <c:v>31.8</c:v>
              </c:pt>
              <c:pt idx="26">
                <c:v>31.9</c:v>
              </c:pt>
              <c:pt idx="27">
                <c:v>32</c:v>
              </c:pt>
              <c:pt idx="28">
                <c:v>32.1</c:v>
              </c:pt>
              <c:pt idx="29">
                <c:v>32.200000000000003</c:v>
              </c:pt>
              <c:pt idx="30">
                <c:v>32.299999999999997</c:v>
              </c:pt>
              <c:pt idx="31">
                <c:v>32.4</c:v>
              </c:pt>
              <c:pt idx="32">
                <c:v>32.5</c:v>
              </c:pt>
              <c:pt idx="33">
                <c:v>32.6</c:v>
              </c:pt>
              <c:pt idx="34">
                <c:v>32.700000000000003</c:v>
              </c:pt>
              <c:pt idx="35">
                <c:v>32.799999999999997</c:v>
              </c:pt>
              <c:pt idx="36">
                <c:v>32.9</c:v>
              </c:pt>
              <c:pt idx="37">
                <c:v>33</c:v>
              </c:pt>
              <c:pt idx="38">
                <c:v>33.1</c:v>
              </c:pt>
              <c:pt idx="39">
                <c:v>33.200000000000003</c:v>
              </c:pt>
              <c:pt idx="40">
                <c:v>33.299999999999997</c:v>
              </c:pt>
              <c:pt idx="41">
                <c:v>33.299999999999997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844-4EEF-B70B-E526230FDB1F}"/>
            </c:ext>
          </c:extLst>
        </c:ser>
        <c:ser>
          <c:idx val="3"/>
          <c:order val="3"/>
          <c:tx>
            <c:v>Paciente x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Lit>
              <c:formatCode>General</c:formatCode>
              <c:ptCount val="4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</c:numLit>
          </c:cat>
          <c:val>
            <c:numLit>
              <c:formatCode>General</c:formatCode>
              <c:ptCount val="42"/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844-4EEF-B70B-E526230FDB1F}"/>
            </c:ext>
          </c:extLst>
        </c:ser>
        <c:ser>
          <c:idx val="4"/>
          <c:order val="4"/>
          <c:tx>
            <c:v>Paciente 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Lit>
              <c:formatCode>General</c:formatCode>
              <c:ptCount val="4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</c:numLit>
          </c:cat>
          <c:val>
            <c:numLit>
              <c:formatCode>General</c:formatCode>
              <c:ptCount val="42"/>
              <c:pt idx="0">
                <c:v>15</c:v>
              </c:pt>
              <c:pt idx="1">
                <c:v>22</c:v>
              </c:pt>
              <c:pt idx="2">
                <c:v>40</c:v>
              </c:pt>
              <c:pt idx="3">
                <c:v>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844-4EEF-B70B-E526230F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0159"/>
        <c:axId val="16660991"/>
      </c:lineChart>
      <c:catAx>
        <c:axId val="1666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60991"/>
        <c:crosses val="autoZero"/>
        <c:auto val="1"/>
        <c:lblAlgn val="ctr"/>
        <c:lblOffset val="100"/>
        <c:noMultiLvlLbl val="0"/>
      </c:catAx>
      <c:valAx>
        <c:axId val="1666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60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714191383864047E-2"/>
          <c:y val="0.10200581395348837"/>
          <c:w val="0.95192644584626374"/>
          <c:h val="0.75824597143380335"/>
        </c:manualLayout>
      </c:layout>
      <c:lineChart>
        <c:grouping val="standard"/>
        <c:varyColors val="0"/>
        <c:ser>
          <c:idx val="3"/>
          <c:order val="3"/>
          <c:tx>
            <c:v>Obesidade</c:v>
          </c:tx>
          <c:spPr>
            <a:ln w="28575" cap="rnd">
              <a:solidFill>
                <a:srgbClr val="C00000"/>
              </a:solidFill>
              <a:round/>
            </a:ln>
            <a:effectLst>
              <a:glow>
                <a:schemeClr val="accent1"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Lit>
              <c:formatCode>General</c:formatCode>
              <c:ptCount val="42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30</c:v>
              </c:pt>
              <c:pt idx="4">
                <c:v>30</c:v>
              </c:pt>
              <c:pt idx="5">
                <c:v>30</c:v>
              </c:pt>
              <c:pt idx="6">
                <c:v>30</c:v>
              </c:pt>
              <c:pt idx="7">
                <c:v>30.2</c:v>
              </c:pt>
              <c:pt idx="8">
                <c:v>30.2</c:v>
              </c:pt>
              <c:pt idx="9">
                <c:v>30.3</c:v>
              </c:pt>
              <c:pt idx="10">
                <c:v>30.4</c:v>
              </c:pt>
              <c:pt idx="11">
                <c:v>30.4</c:v>
              </c:pt>
              <c:pt idx="12">
                <c:v>30.5</c:v>
              </c:pt>
              <c:pt idx="13">
                <c:v>30.6</c:v>
              </c:pt>
              <c:pt idx="14">
                <c:v>30.7</c:v>
              </c:pt>
              <c:pt idx="15">
                <c:v>30.8</c:v>
              </c:pt>
              <c:pt idx="16">
                <c:v>30.9</c:v>
              </c:pt>
              <c:pt idx="17">
                <c:v>31</c:v>
              </c:pt>
              <c:pt idx="18">
                <c:v>31</c:v>
              </c:pt>
              <c:pt idx="19">
                <c:v>31.1</c:v>
              </c:pt>
              <c:pt idx="20">
                <c:v>31.2</c:v>
              </c:pt>
              <c:pt idx="21">
                <c:v>31.3</c:v>
              </c:pt>
              <c:pt idx="22">
                <c:v>31.4</c:v>
              </c:pt>
              <c:pt idx="23">
                <c:v>31.6</c:v>
              </c:pt>
              <c:pt idx="24">
                <c:v>31.7</c:v>
              </c:pt>
              <c:pt idx="25">
                <c:v>31.8</c:v>
              </c:pt>
              <c:pt idx="26">
                <c:v>31.9</c:v>
              </c:pt>
              <c:pt idx="27">
                <c:v>32</c:v>
              </c:pt>
              <c:pt idx="28">
                <c:v>32.1</c:v>
              </c:pt>
              <c:pt idx="29">
                <c:v>32.200000000000003</c:v>
              </c:pt>
              <c:pt idx="30">
                <c:v>32.299999999999997</c:v>
              </c:pt>
              <c:pt idx="31">
                <c:v>32.4</c:v>
              </c:pt>
              <c:pt idx="32">
                <c:v>32.5</c:v>
              </c:pt>
              <c:pt idx="33">
                <c:v>32.6</c:v>
              </c:pt>
              <c:pt idx="34">
                <c:v>32.700000000000003</c:v>
              </c:pt>
              <c:pt idx="35">
                <c:v>32.799999999999997</c:v>
              </c:pt>
              <c:pt idx="36">
                <c:v>32.9</c:v>
              </c:pt>
              <c:pt idx="37">
                <c:v>33</c:v>
              </c:pt>
              <c:pt idx="38">
                <c:v>33.1</c:v>
              </c:pt>
              <c:pt idx="39">
                <c:v>33.200000000000003</c:v>
              </c:pt>
              <c:pt idx="40">
                <c:v>33.299999999999997</c:v>
              </c:pt>
              <c:pt idx="41">
                <c:v>33.299999999999997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C79-4605-8A7C-50B9ACEB8D79}"/>
            </c:ext>
          </c:extLst>
        </c:ser>
        <c:ser>
          <c:idx val="1"/>
          <c:order val="1"/>
          <c:tx>
            <c:v>Peso adequado</c:v>
          </c:tx>
          <c:spPr>
            <a:ln w="28575" cap="rnd">
              <a:solidFill>
                <a:srgbClr val="00B050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Lit>
              <c:formatCode>General</c:formatCode>
              <c:ptCount val="42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20.2</c:v>
              </c:pt>
              <c:pt idx="8">
                <c:v>20.2</c:v>
              </c:pt>
              <c:pt idx="9">
                <c:v>20.3</c:v>
              </c:pt>
              <c:pt idx="10">
                <c:v>20.399999999999999</c:v>
              </c:pt>
              <c:pt idx="11">
                <c:v>20.5</c:v>
              </c:pt>
              <c:pt idx="12">
                <c:v>20.7</c:v>
              </c:pt>
              <c:pt idx="13">
                <c:v>20.8</c:v>
              </c:pt>
              <c:pt idx="14">
                <c:v>20.9</c:v>
              </c:pt>
              <c:pt idx="15">
                <c:v>21.1</c:v>
              </c:pt>
              <c:pt idx="16">
                <c:v>21.2</c:v>
              </c:pt>
              <c:pt idx="17">
                <c:v>21.3</c:v>
              </c:pt>
              <c:pt idx="18">
                <c:v>21.5</c:v>
              </c:pt>
              <c:pt idx="19">
                <c:v>21.6</c:v>
              </c:pt>
              <c:pt idx="20">
                <c:v>21.8</c:v>
              </c:pt>
              <c:pt idx="21">
                <c:v>21.9</c:v>
              </c:pt>
              <c:pt idx="22">
                <c:v>22.1</c:v>
              </c:pt>
              <c:pt idx="23">
                <c:v>22.3</c:v>
              </c:pt>
              <c:pt idx="24">
                <c:v>22.4</c:v>
              </c:pt>
              <c:pt idx="25">
                <c:v>22.7</c:v>
              </c:pt>
              <c:pt idx="26">
                <c:v>22.8</c:v>
              </c:pt>
              <c:pt idx="27">
                <c:v>23</c:v>
              </c:pt>
              <c:pt idx="28">
                <c:v>23.2</c:v>
              </c:pt>
              <c:pt idx="29">
                <c:v>23.4</c:v>
              </c:pt>
              <c:pt idx="30">
                <c:v>23.5</c:v>
              </c:pt>
              <c:pt idx="31">
                <c:v>23.7</c:v>
              </c:pt>
              <c:pt idx="32">
                <c:v>23.9</c:v>
              </c:pt>
              <c:pt idx="33">
                <c:v>24</c:v>
              </c:pt>
              <c:pt idx="34">
                <c:v>24.2</c:v>
              </c:pt>
              <c:pt idx="35">
                <c:v>24.3</c:v>
              </c:pt>
              <c:pt idx="36">
                <c:v>24.5</c:v>
              </c:pt>
              <c:pt idx="37">
                <c:v>24.6</c:v>
              </c:pt>
              <c:pt idx="38">
                <c:v>24.8</c:v>
              </c:pt>
              <c:pt idx="39">
                <c:v>25</c:v>
              </c:pt>
              <c:pt idx="40">
                <c:v>25.1</c:v>
              </c:pt>
              <c:pt idx="41">
                <c:v>25.1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C79-4605-8A7C-50B9ACEB8D79}"/>
            </c:ext>
          </c:extLst>
        </c:ser>
        <c:ser>
          <c:idx val="2"/>
          <c:order val="2"/>
          <c:tx>
            <c:v>Sobrepeso</c:v>
          </c:tx>
          <c:spPr>
            <a:ln w="28575" cap="rnd">
              <a:solidFill>
                <a:srgbClr val="FFC000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Lit>
              <c:formatCode>General</c:formatCode>
              <c:ptCount val="42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25.1</c:v>
              </c:pt>
              <c:pt idx="8">
                <c:v>25.2</c:v>
              </c:pt>
              <c:pt idx="9">
                <c:v>25.3</c:v>
              </c:pt>
              <c:pt idx="10">
                <c:v>25.4</c:v>
              </c:pt>
              <c:pt idx="11">
                <c:v>25.5</c:v>
              </c:pt>
              <c:pt idx="12">
                <c:v>25.7</c:v>
              </c:pt>
              <c:pt idx="13">
                <c:v>25.8</c:v>
              </c:pt>
              <c:pt idx="14">
                <c:v>25.9</c:v>
              </c:pt>
              <c:pt idx="15">
                <c:v>26</c:v>
              </c:pt>
              <c:pt idx="16">
                <c:v>26.1</c:v>
              </c:pt>
              <c:pt idx="17">
                <c:v>26.2</c:v>
              </c:pt>
              <c:pt idx="18">
                <c:v>26.3</c:v>
              </c:pt>
              <c:pt idx="19">
                <c:v>26.4</c:v>
              </c:pt>
              <c:pt idx="20">
                <c:v>26.5</c:v>
              </c:pt>
              <c:pt idx="21">
                <c:v>26.7</c:v>
              </c:pt>
              <c:pt idx="22">
                <c:v>26.9</c:v>
              </c:pt>
              <c:pt idx="23">
                <c:v>27</c:v>
              </c:pt>
              <c:pt idx="24">
                <c:v>27.1</c:v>
              </c:pt>
              <c:pt idx="25">
                <c:v>27.3</c:v>
              </c:pt>
              <c:pt idx="26">
                <c:v>27.4</c:v>
              </c:pt>
              <c:pt idx="27">
                <c:v>27.6</c:v>
              </c:pt>
              <c:pt idx="28">
                <c:v>27.7</c:v>
              </c:pt>
              <c:pt idx="29">
                <c:v>27.9</c:v>
              </c:pt>
              <c:pt idx="30">
                <c:v>28</c:v>
              </c:pt>
              <c:pt idx="31">
                <c:v>28.1</c:v>
              </c:pt>
              <c:pt idx="32">
                <c:v>28.2</c:v>
              </c:pt>
              <c:pt idx="33">
                <c:v>28.4</c:v>
              </c:pt>
              <c:pt idx="34">
                <c:v>28.5</c:v>
              </c:pt>
              <c:pt idx="35">
                <c:v>28.6</c:v>
              </c:pt>
              <c:pt idx="36">
                <c:v>28.8</c:v>
              </c:pt>
              <c:pt idx="37">
                <c:v>28.9</c:v>
              </c:pt>
              <c:pt idx="38">
                <c:v>29</c:v>
              </c:pt>
              <c:pt idx="39">
                <c:v>29.2</c:v>
              </c:pt>
              <c:pt idx="40">
                <c:v>29.3</c:v>
              </c:pt>
              <c:pt idx="41">
                <c:v>29.3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C79-4605-8A7C-50B9ACEB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514352"/>
        <c:axId val="176550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IG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Lit>
                    <c:formatCode>General</c:formatCode>
                    <c:ptCount val="42"/>
                    <c:pt idx="0">
                      <c:v>1</c:v>
                    </c:pt>
                    <c:pt idx="1">
                      <c:v>2</c:v>
                    </c:pt>
                    <c:pt idx="2">
                      <c:v>3</c:v>
                    </c:pt>
                    <c:pt idx="3">
                      <c:v>4</c:v>
                    </c:pt>
                    <c:pt idx="4">
                      <c:v>5</c:v>
                    </c:pt>
                    <c:pt idx="5">
                      <c:v>6</c:v>
                    </c:pt>
                    <c:pt idx="6">
                      <c:v>7</c:v>
                    </c:pt>
                    <c:pt idx="7">
                      <c:v>8</c:v>
                    </c:pt>
                    <c:pt idx="8">
                      <c:v>9</c:v>
                    </c:pt>
                    <c:pt idx="9">
                      <c:v>10</c:v>
                    </c:pt>
                    <c:pt idx="10">
                      <c:v>11</c:v>
                    </c:pt>
                    <c:pt idx="11">
                      <c:v>12</c:v>
                    </c:pt>
                    <c:pt idx="12">
                      <c:v>13</c:v>
                    </c:pt>
                    <c:pt idx="13">
                      <c:v>14</c:v>
                    </c:pt>
                    <c:pt idx="14">
                      <c:v>15</c:v>
                    </c:pt>
                    <c:pt idx="15">
                      <c:v>16</c:v>
                    </c:pt>
                    <c:pt idx="16">
                      <c:v>17</c:v>
                    </c:pt>
                    <c:pt idx="17">
                      <c:v>18</c:v>
                    </c:pt>
                    <c:pt idx="18">
                      <c:v>19</c:v>
                    </c:pt>
                    <c:pt idx="19">
                      <c:v>20</c:v>
                    </c:pt>
                    <c:pt idx="20">
                      <c:v>21</c:v>
                    </c:pt>
                    <c:pt idx="21">
                      <c:v>22</c:v>
                    </c:pt>
                    <c:pt idx="22">
                      <c:v>23</c:v>
                    </c:pt>
                    <c:pt idx="23">
                      <c:v>24</c:v>
                    </c:pt>
                    <c:pt idx="24">
                      <c:v>25</c:v>
                    </c:pt>
                    <c:pt idx="25">
                      <c:v>26</c:v>
                    </c:pt>
                    <c:pt idx="26">
                      <c:v>27</c:v>
                    </c:pt>
                    <c:pt idx="27">
                      <c:v>28</c:v>
                    </c:pt>
                    <c:pt idx="28">
                      <c:v>29</c:v>
                    </c:pt>
                    <c:pt idx="29">
                      <c:v>30</c:v>
                    </c:pt>
                    <c:pt idx="30">
                      <c:v>31</c:v>
                    </c:pt>
                    <c:pt idx="31">
                      <c:v>32</c:v>
                    </c:pt>
                    <c:pt idx="32">
                      <c:v>33</c:v>
                    </c:pt>
                    <c:pt idx="33">
                      <c:v>34</c:v>
                    </c:pt>
                    <c:pt idx="34">
                      <c:v>35</c:v>
                    </c:pt>
                    <c:pt idx="35">
                      <c:v>36</c:v>
                    </c:pt>
                    <c:pt idx="36">
                      <c:v>37</c:v>
                    </c:pt>
                    <c:pt idx="37">
                      <c:v>38</c:v>
                    </c:pt>
                    <c:pt idx="38">
                      <c:v>39</c:v>
                    </c:pt>
                    <c:pt idx="39">
                      <c:v>40</c:v>
                    </c:pt>
                    <c:pt idx="40">
                      <c:v>41</c:v>
                    </c:pt>
                    <c:pt idx="41">
                      <c:v>42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4-FC79-4605-8A7C-50B9ACEB8D7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teto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Lit>
                    <c:formatCode>General</c:formatCode>
                    <c:ptCount val="42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20.2</c:v>
                    </c:pt>
                    <c:pt idx="8">
                      <c:v>20.2</c:v>
                    </c:pt>
                    <c:pt idx="9">
                      <c:v>20.3</c:v>
                    </c:pt>
                    <c:pt idx="10">
                      <c:v>20.399999999999999</c:v>
                    </c:pt>
                    <c:pt idx="11">
                      <c:v>20.5</c:v>
                    </c:pt>
                    <c:pt idx="12">
                      <c:v>20.7</c:v>
                    </c:pt>
                    <c:pt idx="13">
                      <c:v>20.8</c:v>
                    </c:pt>
                    <c:pt idx="14">
                      <c:v>20.9</c:v>
                    </c:pt>
                    <c:pt idx="15">
                      <c:v>21.1</c:v>
                    </c:pt>
                    <c:pt idx="16">
                      <c:v>21.2</c:v>
                    </c:pt>
                    <c:pt idx="17">
                      <c:v>21.3</c:v>
                    </c:pt>
                    <c:pt idx="18">
                      <c:v>21.5</c:v>
                    </c:pt>
                    <c:pt idx="19">
                      <c:v>21.6</c:v>
                    </c:pt>
                    <c:pt idx="20">
                      <c:v>21.8</c:v>
                    </c:pt>
                    <c:pt idx="21">
                      <c:v>21.9</c:v>
                    </c:pt>
                    <c:pt idx="22">
                      <c:v>22.1</c:v>
                    </c:pt>
                    <c:pt idx="23">
                      <c:v>22.3</c:v>
                    </c:pt>
                    <c:pt idx="24">
                      <c:v>22.4</c:v>
                    </c:pt>
                    <c:pt idx="25">
                      <c:v>22.7</c:v>
                    </c:pt>
                    <c:pt idx="26">
                      <c:v>22.8</c:v>
                    </c:pt>
                    <c:pt idx="27">
                      <c:v>23</c:v>
                    </c:pt>
                    <c:pt idx="28">
                      <c:v>23.2</c:v>
                    </c:pt>
                    <c:pt idx="29">
                      <c:v>23.4</c:v>
                    </c:pt>
                    <c:pt idx="30">
                      <c:v>23.5</c:v>
                    </c:pt>
                    <c:pt idx="31">
                      <c:v>23.7</c:v>
                    </c:pt>
                    <c:pt idx="32">
                      <c:v>23.9</c:v>
                    </c:pt>
                    <c:pt idx="33">
                      <c:v>24</c:v>
                    </c:pt>
                    <c:pt idx="34">
                      <c:v>24.2</c:v>
                    </c:pt>
                    <c:pt idx="35">
                      <c:v>24.3</c:v>
                    </c:pt>
                    <c:pt idx="36">
                      <c:v>24.5</c:v>
                    </c:pt>
                    <c:pt idx="37">
                      <c:v>24.6</c:v>
                    </c:pt>
                    <c:pt idx="38">
                      <c:v>24.8</c:v>
                    </c:pt>
                    <c:pt idx="39">
                      <c:v>25</c:v>
                    </c:pt>
                    <c:pt idx="40">
                      <c:v>25.1</c:v>
                    </c:pt>
                    <c:pt idx="41">
                      <c:v>25.1</c:v>
                    </c:pt>
                  </c:numLit>
                </c:cat>
                <c:val>
                  <c:numLit>
                    <c:formatCode>General</c:formatCode>
                    <c:ptCount val="42"/>
                    <c:pt idx="0">
                      <c:v>45</c:v>
                    </c:pt>
                    <c:pt idx="1">
                      <c:v>45</c:v>
                    </c:pt>
                    <c:pt idx="2">
                      <c:v>45</c:v>
                    </c:pt>
                    <c:pt idx="3">
                      <c:v>45</c:v>
                    </c:pt>
                    <c:pt idx="4">
                      <c:v>45</c:v>
                    </c:pt>
                    <c:pt idx="5">
                      <c:v>45</c:v>
                    </c:pt>
                    <c:pt idx="6">
                      <c:v>45</c:v>
                    </c:pt>
                    <c:pt idx="7">
                      <c:v>45</c:v>
                    </c:pt>
                    <c:pt idx="8">
                      <c:v>45</c:v>
                    </c:pt>
                    <c:pt idx="9">
                      <c:v>45</c:v>
                    </c:pt>
                    <c:pt idx="10">
                      <c:v>45</c:v>
                    </c:pt>
                    <c:pt idx="11">
                      <c:v>45</c:v>
                    </c:pt>
                    <c:pt idx="12">
                      <c:v>45</c:v>
                    </c:pt>
                    <c:pt idx="13">
                      <c:v>45</c:v>
                    </c:pt>
                    <c:pt idx="14">
                      <c:v>45</c:v>
                    </c:pt>
                    <c:pt idx="15">
                      <c:v>45</c:v>
                    </c:pt>
                    <c:pt idx="16">
                      <c:v>45</c:v>
                    </c:pt>
                    <c:pt idx="17">
                      <c:v>45</c:v>
                    </c:pt>
                    <c:pt idx="18">
                      <c:v>45</c:v>
                    </c:pt>
                    <c:pt idx="19">
                      <c:v>45</c:v>
                    </c:pt>
                    <c:pt idx="20">
                      <c:v>45</c:v>
                    </c:pt>
                    <c:pt idx="21">
                      <c:v>45</c:v>
                    </c:pt>
                    <c:pt idx="22">
                      <c:v>45</c:v>
                    </c:pt>
                    <c:pt idx="23">
                      <c:v>45</c:v>
                    </c:pt>
                    <c:pt idx="24">
                      <c:v>45</c:v>
                    </c:pt>
                    <c:pt idx="25">
                      <c:v>45</c:v>
                    </c:pt>
                    <c:pt idx="26">
                      <c:v>45</c:v>
                    </c:pt>
                    <c:pt idx="27">
                      <c:v>45</c:v>
                    </c:pt>
                    <c:pt idx="28">
                      <c:v>45</c:v>
                    </c:pt>
                    <c:pt idx="29">
                      <c:v>45</c:v>
                    </c:pt>
                    <c:pt idx="30">
                      <c:v>45</c:v>
                    </c:pt>
                    <c:pt idx="31">
                      <c:v>45</c:v>
                    </c:pt>
                    <c:pt idx="32">
                      <c:v>45</c:v>
                    </c:pt>
                    <c:pt idx="33">
                      <c:v>45</c:v>
                    </c:pt>
                    <c:pt idx="34">
                      <c:v>45</c:v>
                    </c:pt>
                    <c:pt idx="35">
                      <c:v>45</c:v>
                    </c:pt>
                    <c:pt idx="36">
                      <c:v>45</c:v>
                    </c:pt>
                    <c:pt idx="37">
                      <c:v>45</c:v>
                    </c:pt>
                    <c:pt idx="38">
                      <c:v>45</c:v>
                    </c:pt>
                    <c:pt idx="39">
                      <c:v>45</c:v>
                    </c:pt>
                    <c:pt idx="40">
                      <c:v>45</c:v>
                    </c:pt>
                    <c:pt idx="41">
                      <c:v>45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C79-4605-8A7C-50B9ACEB8D79}"/>
                  </c:ext>
                </c:extLst>
              </c15:ser>
            </c15:filteredLineSeries>
          </c:ext>
        </c:extLst>
      </c:lineChart>
      <c:scatterChart>
        <c:scatterStyle val="lineMarker"/>
        <c:varyColors val="0"/>
        <c:ser>
          <c:idx val="5"/>
          <c:order val="5"/>
          <c:tx>
            <c:v>Paciente x</c:v>
          </c:tx>
          <c:spPr>
            <a:ln w="25400" cap="rnd">
              <a:noFill/>
              <a:round/>
            </a:ln>
            <a:effectLst>
              <a:glow rad="114300">
                <a:schemeClr val="accent1">
                  <a:alpha val="28000"/>
                </a:schemeClr>
              </a:glow>
            </a:effectLst>
          </c:spPr>
          <c:marker>
            <c:symbol val="x"/>
            <c:size val="5"/>
            <c:spPr>
              <a:solidFill>
                <a:srgbClr val="0070C0"/>
              </a:solidFill>
              <a:ln w="9525">
                <a:solidFill>
                  <a:schemeClr val="accent2"/>
                </a:solidFill>
              </a:ln>
              <a:effectLst>
                <a:glow rad="114300">
                  <a:schemeClr val="accent1">
                    <a:alpha val="28000"/>
                  </a:schemeClr>
                </a:glow>
              </a:effectLst>
            </c:spPr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22</c:v>
              </c:pt>
              <c:pt idx="2">
                <c:v>41</c:v>
              </c:pt>
            </c:numLit>
          </c:xVal>
          <c:yVal>
            <c:numLit>
              <c:formatCode>General</c:formatCode>
              <c:ptCount val="3"/>
              <c:pt idx="0">
                <c:v>15</c:v>
              </c:pt>
              <c:pt idx="1">
                <c:v>22</c:v>
              </c:pt>
              <c:pt idx="2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C79-4605-8A7C-50B9ACEB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76447"/>
        <c:axId val="202676863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Paciente y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yVal>
                  <c:numLit>
                    <c:formatCode>General</c:formatCode>
                    <c:ptCount val="3"/>
                    <c:pt idx="0">
                      <c:v>1</c:v>
                    </c:pt>
                    <c:pt idx="1">
                      <c:v>22</c:v>
                    </c:pt>
                    <c:pt idx="2">
                      <c:v>41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6-FC79-4605-8A7C-50B9ACEB8D79}"/>
                  </c:ext>
                </c:extLst>
              </c15:ser>
            </c15:filteredScatterSeries>
          </c:ext>
        </c:extLst>
      </c:scatterChart>
      <c:valAx>
        <c:axId val="202676447"/>
        <c:scaling>
          <c:orientation val="minMax"/>
          <c:max val="41"/>
          <c:min val="1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76863"/>
        <c:crosses val="autoZero"/>
        <c:crossBetween val="midCat"/>
        <c:majorUnit val="2"/>
      </c:valAx>
      <c:valAx>
        <c:axId val="20267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76447"/>
        <c:crosses val="autoZero"/>
        <c:crossBetween val="midCat"/>
      </c:valAx>
      <c:valAx>
        <c:axId val="1765508112"/>
        <c:scaling>
          <c:orientation val="minMax"/>
          <c:max val="45"/>
          <c:min val="15"/>
        </c:scaling>
        <c:delete val="0"/>
        <c:axPos val="r"/>
        <c:numFmt formatCode="#,##0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5514352"/>
        <c:crosses val="max"/>
        <c:crossBetween val="between"/>
      </c:valAx>
      <c:catAx>
        <c:axId val="17655143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65508112"/>
        <c:crosses val="max"/>
        <c:auto val="1"/>
        <c:lblAlgn val="ctr"/>
        <c:lblOffset val="100"/>
        <c:noMultiLvlLbl val="0"/>
      </c:catAx>
      <c:spPr>
        <a:noFill/>
        <a:ln cap="flat">
          <a:solidFill>
            <a:srgbClr val="FFC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Ganho Ponderal na Gestação</a:t>
            </a:r>
          </a:p>
        </c:rich>
      </c:tx>
      <c:layout>
        <c:manualLayout>
          <c:xMode val="edge"/>
          <c:yMode val="edge"/>
          <c:x val="0.14758200987588413"/>
          <c:y val="1.97530864197530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4264923406286274E-2"/>
          <c:y val="0.12210699588477368"/>
          <c:w val="0.87366616779711914"/>
          <c:h val="0.67559340267651724"/>
        </c:manualLayout>
      </c:layout>
      <c:lineChart>
        <c:grouping val="standard"/>
        <c:varyColors val="0"/>
        <c:ser>
          <c:idx val="1"/>
          <c:order val="1"/>
          <c:tx>
            <c:v>Peso adequado</c:v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2"/>
              <c:pt idx="0">
                <c:v>20</c:v>
              </c:pt>
              <c:pt idx="1">
                <c:v>20</c:v>
              </c:pt>
              <c:pt idx="2">
                <c:v>20</c:v>
              </c:pt>
              <c:pt idx="3">
                <c:v>20</c:v>
              </c:pt>
              <c:pt idx="4">
                <c:v>20</c:v>
              </c:pt>
              <c:pt idx="5">
                <c:v>20</c:v>
              </c:pt>
              <c:pt idx="6">
                <c:v>20</c:v>
              </c:pt>
              <c:pt idx="7">
                <c:v>20.2</c:v>
              </c:pt>
              <c:pt idx="8">
                <c:v>20.2</c:v>
              </c:pt>
              <c:pt idx="9">
                <c:v>20.3</c:v>
              </c:pt>
              <c:pt idx="10">
                <c:v>20.399999999999999</c:v>
              </c:pt>
              <c:pt idx="11">
                <c:v>20.5</c:v>
              </c:pt>
              <c:pt idx="12">
                <c:v>20.7</c:v>
              </c:pt>
              <c:pt idx="13">
                <c:v>20.8</c:v>
              </c:pt>
              <c:pt idx="14">
                <c:v>20.9</c:v>
              </c:pt>
              <c:pt idx="15">
                <c:v>21.1</c:v>
              </c:pt>
              <c:pt idx="16">
                <c:v>21.2</c:v>
              </c:pt>
              <c:pt idx="17">
                <c:v>21.3</c:v>
              </c:pt>
              <c:pt idx="18">
                <c:v>21.5</c:v>
              </c:pt>
              <c:pt idx="19">
                <c:v>21.6</c:v>
              </c:pt>
              <c:pt idx="20">
                <c:v>21.8</c:v>
              </c:pt>
              <c:pt idx="21">
                <c:v>21.9</c:v>
              </c:pt>
              <c:pt idx="22">
                <c:v>22.1</c:v>
              </c:pt>
              <c:pt idx="23">
                <c:v>22.3</c:v>
              </c:pt>
              <c:pt idx="24">
                <c:v>22.4</c:v>
              </c:pt>
              <c:pt idx="25">
                <c:v>22.7</c:v>
              </c:pt>
              <c:pt idx="26">
                <c:v>22.8</c:v>
              </c:pt>
              <c:pt idx="27">
                <c:v>23</c:v>
              </c:pt>
              <c:pt idx="28">
                <c:v>23.2</c:v>
              </c:pt>
              <c:pt idx="29">
                <c:v>23.4</c:v>
              </c:pt>
              <c:pt idx="30">
                <c:v>23.5</c:v>
              </c:pt>
              <c:pt idx="31">
                <c:v>23.7</c:v>
              </c:pt>
              <c:pt idx="32">
                <c:v>23.9</c:v>
              </c:pt>
              <c:pt idx="33">
                <c:v>24</c:v>
              </c:pt>
              <c:pt idx="34">
                <c:v>24.2</c:v>
              </c:pt>
              <c:pt idx="35">
                <c:v>24.3</c:v>
              </c:pt>
              <c:pt idx="36">
                <c:v>24.5</c:v>
              </c:pt>
              <c:pt idx="37">
                <c:v>24.6</c:v>
              </c:pt>
              <c:pt idx="38">
                <c:v>24.8</c:v>
              </c:pt>
              <c:pt idx="39">
                <c:v>25</c:v>
              </c:pt>
              <c:pt idx="40">
                <c:v>25.1</c:v>
              </c:pt>
              <c:pt idx="41">
                <c:v>25.1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092-46E6-98F9-B7C28A1C3D44}"/>
            </c:ext>
          </c:extLst>
        </c:ser>
        <c:ser>
          <c:idx val="2"/>
          <c:order val="2"/>
          <c:tx>
            <c:v>Sobrepeso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2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25.1</c:v>
              </c:pt>
              <c:pt idx="8">
                <c:v>25.2</c:v>
              </c:pt>
              <c:pt idx="9">
                <c:v>25.3</c:v>
              </c:pt>
              <c:pt idx="10">
                <c:v>25.4</c:v>
              </c:pt>
              <c:pt idx="11">
                <c:v>25.5</c:v>
              </c:pt>
              <c:pt idx="12">
                <c:v>25.7</c:v>
              </c:pt>
              <c:pt idx="13">
                <c:v>25.8</c:v>
              </c:pt>
              <c:pt idx="14">
                <c:v>25.9</c:v>
              </c:pt>
              <c:pt idx="15">
                <c:v>26</c:v>
              </c:pt>
              <c:pt idx="16">
                <c:v>26.1</c:v>
              </c:pt>
              <c:pt idx="17">
                <c:v>26.2</c:v>
              </c:pt>
              <c:pt idx="18">
                <c:v>26.3</c:v>
              </c:pt>
              <c:pt idx="19">
                <c:v>26.4</c:v>
              </c:pt>
              <c:pt idx="20">
                <c:v>26.5</c:v>
              </c:pt>
              <c:pt idx="21">
                <c:v>26.7</c:v>
              </c:pt>
              <c:pt idx="22">
                <c:v>26.9</c:v>
              </c:pt>
              <c:pt idx="23">
                <c:v>27</c:v>
              </c:pt>
              <c:pt idx="24">
                <c:v>27.1</c:v>
              </c:pt>
              <c:pt idx="25">
                <c:v>27.3</c:v>
              </c:pt>
              <c:pt idx="26">
                <c:v>27.4</c:v>
              </c:pt>
              <c:pt idx="27">
                <c:v>27.6</c:v>
              </c:pt>
              <c:pt idx="28">
                <c:v>27.7</c:v>
              </c:pt>
              <c:pt idx="29">
                <c:v>27.9</c:v>
              </c:pt>
              <c:pt idx="30">
                <c:v>28</c:v>
              </c:pt>
              <c:pt idx="31">
                <c:v>28.1</c:v>
              </c:pt>
              <c:pt idx="32">
                <c:v>28.2</c:v>
              </c:pt>
              <c:pt idx="33">
                <c:v>28.4</c:v>
              </c:pt>
              <c:pt idx="34">
                <c:v>28.5</c:v>
              </c:pt>
              <c:pt idx="35">
                <c:v>28.6</c:v>
              </c:pt>
              <c:pt idx="36">
                <c:v>28.8</c:v>
              </c:pt>
              <c:pt idx="37">
                <c:v>28.9</c:v>
              </c:pt>
              <c:pt idx="38">
                <c:v>29</c:v>
              </c:pt>
              <c:pt idx="39">
                <c:v>29.2</c:v>
              </c:pt>
              <c:pt idx="40">
                <c:v>29.3</c:v>
              </c:pt>
              <c:pt idx="41">
                <c:v>29.3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092-46E6-98F9-B7C28A1C3D44}"/>
            </c:ext>
          </c:extLst>
        </c:ser>
        <c:ser>
          <c:idx val="3"/>
          <c:order val="3"/>
          <c:tx>
            <c:v>Obesidade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2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30</c:v>
              </c:pt>
              <c:pt idx="4">
                <c:v>30</c:v>
              </c:pt>
              <c:pt idx="5">
                <c:v>30</c:v>
              </c:pt>
              <c:pt idx="6">
                <c:v>30</c:v>
              </c:pt>
              <c:pt idx="7">
                <c:v>30.2</c:v>
              </c:pt>
              <c:pt idx="8">
                <c:v>30.2</c:v>
              </c:pt>
              <c:pt idx="9">
                <c:v>30.3</c:v>
              </c:pt>
              <c:pt idx="10">
                <c:v>30.4</c:v>
              </c:pt>
              <c:pt idx="11">
                <c:v>30.4</c:v>
              </c:pt>
              <c:pt idx="12">
                <c:v>30.5</c:v>
              </c:pt>
              <c:pt idx="13">
                <c:v>30.6</c:v>
              </c:pt>
              <c:pt idx="14">
                <c:v>30.7</c:v>
              </c:pt>
              <c:pt idx="15">
                <c:v>30.8</c:v>
              </c:pt>
              <c:pt idx="16">
                <c:v>30.9</c:v>
              </c:pt>
              <c:pt idx="17">
                <c:v>31</c:v>
              </c:pt>
              <c:pt idx="18">
                <c:v>31</c:v>
              </c:pt>
              <c:pt idx="19">
                <c:v>31.1</c:v>
              </c:pt>
              <c:pt idx="20">
                <c:v>31.2</c:v>
              </c:pt>
              <c:pt idx="21">
                <c:v>31.3</c:v>
              </c:pt>
              <c:pt idx="22">
                <c:v>31.4</c:v>
              </c:pt>
              <c:pt idx="23">
                <c:v>31.6</c:v>
              </c:pt>
              <c:pt idx="24">
                <c:v>31.7</c:v>
              </c:pt>
              <c:pt idx="25">
                <c:v>31.8</c:v>
              </c:pt>
              <c:pt idx="26">
                <c:v>31.9</c:v>
              </c:pt>
              <c:pt idx="27">
                <c:v>32</c:v>
              </c:pt>
              <c:pt idx="28">
                <c:v>32.1</c:v>
              </c:pt>
              <c:pt idx="29">
                <c:v>32.200000000000003</c:v>
              </c:pt>
              <c:pt idx="30">
                <c:v>32.299999999999997</c:v>
              </c:pt>
              <c:pt idx="31">
                <c:v>32.4</c:v>
              </c:pt>
              <c:pt idx="32">
                <c:v>32.5</c:v>
              </c:pt>
              <c:pt idx="33">
                <c:v>32.6</c:v>
              </c:pt>
              <c:pt idx="34">
                <c:v>32.700000000000003</c:v>
              </c:pt>
              <c:pt idx="35">
                <c:v>32.799999999999997</c:v>
              </c:pt>
              <c:pt idx="36">
                <c:v>32.9</c:v>
              </c:pt>
              <c:pt idx="37">
                <c:v>33</c:v>
              </c:pt>
              <c:pt idx="38">
                <c:v>33.1</c:v>
              </c:pt>
              <c:pt idx="39">
                <c:v>33.200000000000003</c:v>
              </c:pt>
              <c:pt idx="40">
                <c:v>33.299999999999997</c:v>
              </c:pt>
              <c:pt idx="41">
                <c:v>33.299999999999997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092-46E6-98F9-B7C28A1C3D44}"/>
            </c:ext>
          </c:extLst>
        </c:ser>
        <c:ser>
          <c:idx val="4"/>
          <c:order val="4"/>
          <c:tx>
            <c:v>Paciente x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C0000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Lit>
              <c:formatCode>General</c:formatCode>
              <c:ptCount val="42"/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092-46E6-98F9-B7C28A1C3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529512"/>
        <c:axId val="3805302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IG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Lit>
                    <c:formatCode>General</c:formatCode>
                    <c:ptCount val="42"/>
                    <c:pt idx="0">
                      <c:v>1</c:v>
                    </c:pt>
                    <c:pt idx="1">
                      <c:v>2</c:v>
                    </c:pt>
                    <c:pt idx="2">
                      <c:v>3</c:v>
                    </c:pt>
                    <c:pt idx="3">
                      <c:v>4</c:v>
                    </c:pt>
                    <c:pt idx="4">
                      <c:v>5</c:v>
                    </c:pt>
                    <c:pt idx="5">
                      <c:v>6</c:v>
                    </c:pt>
                    <c:pt idx="6">
                      <c:v>7</c:v>
                    </c:pt>
                    <c:pt idx="7">
                      <c:v>8</c:v>
                    </c:pt>
                    <c:pt idx="8">
                      <c:v>9</c:v>
                    </c:pt>
                    <c:pt idx="9">
                      <c:v>10</c:v>
                    </c:pt>
                    <c:pt idx="10">
                      <c:v>11</c:v>
                    </c:pt>
                    <c:pt idx="11">
                      <c:v>12</c:v>
                    </c:pt>
                    <c:pt idx="12">
                      <c:v>13</c:v>
                    </c:pt>
                    <c:pt idx="13">
                      <c:v>14</c:v>
                    </c:pt>
                    <c:pt idx="14">
                      <c:v>15</c:v>
                    </c:pt>
                    <c:pt idx="15">
                      <c:v>16</c:v>
                    </c:pt>
                    <c:pt idx="16">
                      <c:v>17</c:v>
                    </c:pt>
                    <c:pt idx="17">
                      <c:v>18</c:v>
                    </c:pt>
                    <c:pt idx="18">
                      <c:v>19</c:v>
                    </c:pt>
                    <c:pt idx="19">
                      <c:v>20</c:v>
                    </c:pt>
                    <c:pt idx="20">
                      <c:v>21</c:v>
                    </c:pt>
                    <c:pt idx="21">
                      <c:v>22</c:v>
                    </c:pt>
                    <c:pt idx="22">
                      <c:v>23</c:v>
                    </c:pt>
                    <c:pt idx="23">
                      <c:v>24</c:v>
                    </c:pt>
                    <c:pt idx="24">
                      <c:v>25</c:v>
                    </c:pt>
                    <c:pt idx="25">
                      <c:v>26</c:v>
                    </c:pt>
                    <c:pt idx="26">
                      <c:v>27</c:v>
                    </c:pt>
                    <c:pt idx="27">
                      <c:v>28</c:v>
                    </c:pt>
                    <c:pt idx="28">
                      <c:v>29</c:v>
                    </c:pt>
                    <c:pt idx="29">
                      <c:v>30</c:v>
                    </c:pt>
                    <c:pt idx="30">
                      <c:v>31</c:v>
                    </c:pt>
                    <c:pt idx="31">
                      <c:v>32</c:v>
                    </c:pt>
                    <c:pt idx="32">
                      <c:v>33</c:v>
                    </c:pt>
                    <c:pt idx="33">
                      <c:v>34</c:v>
                    </c:pt>
                    <c:pt idx="34">
                      <c:v>35</c:v>
                    </c:pt>
                    <c:pt idx="35">
                      <c:v>36</c:v>
                    </c:pt>
                    <c:pt idx="36">
                      <c:v>37</c:v>
                    </c:pt>
                    <c:pt idx="37">
                      <c:v>38</c:v>
                    </c:pt>
                    <c:pt idx="38">
                      <c:v>39</c:v>
                    </c:pt>
                    <c:pt idx="39">
                      <c:v>40</c:v>
                    </c:pt>
                    <c:pt idx="40">
                      <c:v>41</c:v>
                    </c:pt>
                    <c:pt idx="41">
                      <c:v>42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4-0092-46E6-98F9-B7C28A1C3D44}"/>
                  </c:ext>
                </c:extLst>
              </c15:ser>
            </c15:filteredLineSeries>
          </c:ext>
        </c:extLst>
      </c:lineChart>
      <c:catAx>
        <c:axId val="380529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53029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380530296"/>
        <c:scaling>
          <c:orientation val="minMax"/>
          <c:max val="45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IMC</a:t>
                </a:r>
              </a:p>
            </c:rich>
          </c:tx>
          <c:layout>
            <c:manualLayout>
              <c:xMode val="edge"/>
              <c:yMode val="edge"/>
              <c:x val="3.1638418079096044E-2"/>
              <c:y val="2.918175550636816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529512"/>
        <c:crossesAt val="1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legend>
      <c:legendPos val="b"/>
      <c:layout>
        <c:manualLayout>
          <c:xMode val="edge"/>
          <c:yMode val="edge"/>
          <c:x val="0.6541261341857596"/>
          <c:y val="0.86433247585557482"/>
          <c:w val="0.31875452811805166"/>
          <c:h val="0.132922126686523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6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0.5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83D-46FA-A23E-7441FD3D5785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0.5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83D-46FA-A23E-7441FD3D5785}"/>
            </c:ext>
          </c:extLst>
        </c:ser>
        <c:ser>
          <c:idx val="2"/>
          <c:order val="2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</c:v>
              </c:pt>
              <c:pt idx="2">
                <c:v>0.10000000000000009</c:v>
              </c:pt>
              <c:pt idx="3">
                <c:v>1.9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83D-46FA-A23E-7441FD3D5785}"/>
            </c:ext>
          </c:extLst>
        </c:ser>
        <c:ser>
          <c:idx val="3"/>
          <c:order val="3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0.5</c:v>
              </c:pt>
              <c:pt idx="3">
                <c:v>0.5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83D-46FA-A23E-7441FD3D5785}"/>
            </c:ext>
          </c:extLst>
        </c:ser>
        <c:ser>
          <c:idx val="4"/>
          <c:order val="4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2.5</c:v>
              </c:pt>
              <c:pt idx="2">
                <c:v>1.9</c:v>
              </c:pt>
              <c:pt idx="3">
                <c:v>0.10000000000000009</c:v>
              </c:pt>
              <c:pt idx="4">
                <c:v>2.5</c:v>
              </c:pt>
              <c:pt idx="5">
                <c:v>2.5</c:v>
              </c:pt>
              <c:pt idx="6">
                <c:v>2.5</c:v>
              </c:pt>
              <c:pt idx="7">
                <c:v>2.5</c:v>
              </c:pt>
              <c:pt idx="8">
                <c:v>2.5</c:v>
              </c:pt>
              <c:pt idx="9">
                <c:v>2.5</c:v>
              </c:pt>
              <c:pt idx="10">
                <c:v>2.5</c:v>
              </c:pt>
              <c:pt idx="11">
                <c:v>2.5</c:v>
              </c:pt>
              <c:pt idx="12">
                <c:v>2.5</c:v>
              </c:pt>
              <c:pt idx="13">
                <c:v>2.5</c:v>
              </c:pt>
              <c:pt idx="14">
                <c:v>2.5</c:v>
              </c:pt>
              <c:pt idx="15">
                <c:v>2.5</c:v>
              </c:pt>
            </c:numLit>
          </c:val>
          <c:extLst>
            <c:ext xmlns:c16="http://schemas.microsoft.com/office/drawing/2014/chart" uri="{C3380CC4-5D6E-409C-BE32-E72D297353CC}">
              <c16:uniqueId val="{00000004-683D-46FA-A23E-7441FD3D5785}"/>
            </c:ext>
          </c:extLst>
        </c:ser>
        <c:ser>
          <c:idx val="5"/>
          <c:order val="5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0.10000000000000009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3D-46FA-A23E-7441FD3D5785}"/>
            </c:ext>
          </c:extLst>
        </c:ser>
        <c:ser>
          <c:idx val="6"/>
          <c:order val="6"/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0.5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683D-46FA-A23E-7441FD3D5785}"/>
            </c:ext>
          </c:extLst>
        </c:ser>
        <c:ser>
          <c:idx val="7"/>
          <c:order val="7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2.5</c:v>
              </c:pt>
              <c:pt idx="2">
                <c:v>2.5</c:v>
              </c:pt>
              <c:pt idx="3">
                <c:v>2.5</c:v>
              </c:pt>
              <c:pt idx="4">
                <c:v>1.9</c:v>
              </c:pt>
              <c:pt idx="5">
                <c:v>2.5</c:v>
              </c:pt>
              <c:pt idx="6">
                <c:v>2.5</c:v>
              </c:pt>
              <c:pt idx="7">
                <c:v>2.5</c:v>
              </c:pt>
              <c:pt idx="8">
                <c:v>2.5</c:v>
              </c:pt>
              <c:pt idx="9">
                <c:v>2.5</c:v>
              </c:pt>
              <c:pt idx="10">
                <c:v>2.5</c:v>
              </c:pt>
              <c:pt idx="11">
                <c:v>2.5</c:v>
              </c:pt>
              <c:pt idx="12">
                <c:v>2.5</c:v>
              </c:pt>
              <c:pt idx="13">
                <c:v>2.5</c:v>
              </c:pt>
              <c:pt idx="14">
                <c:v>2.5</c:v>
              </c:pt>
              <c:pt idx="15">
                <c:v>2.5</c:v>
              </c:pt>
            </c:numLit>
          </c:val>
          <c:extLst>
            <c:ext xmlns:c16="http://schemas.microsoft.com/office/drawing/2014/chart" uri="{C3380CC4-5D6E-409C-BE32-E72D297353CC}">
              <c16:uniqueId val="{00000007-683D-46FA-A23E-7441FD3D5785}"/>
            </c:ext>
          </c:extLst>
        </c:ser>
        <c:ser>
          <c:idx val="8"/>
          <c:order val="8"/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1.020703091773403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83D-46FA-A23E-7441FD3D5785}"/>
            </c:ext>
          </c:extLst>
        </c:ser>
        <c:ser>
          <c:idx val="9"/>
          <c:order val="9"/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0.5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3D-46FA-A23E-7441FD3D5785}"/>
            </c:ext>
          </c:extLst>
        </c:ser>
        <c:ser>
          <c:idx val="10"/>
          <c:order val="10"/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2</c:v>
              </c:pt>
              <c:pt idx="1">
                <c:v>4.5</c:v>
              </c:pt>
              <c:pt idx="2">
                <c:v>4.5</c:v>
              </c:pt>
              <c:pt idx="3">
                <c:v>4.5</c:v>
              </c:pt>
              <c:pt idx="4">
                <c:v>4.5</c:v>
              </c:pt>
              <c:pt idx="5">
                <c:v>2.9792969082265968</c:v>
              </c:pt>
              <c:pt idx="6">
                <c:v>4.5</c:v>
              </c:pt>
              <c:pt idx="7">
                <c:v>4.5</c:v>
              </c:pt>
              <c:pt idx="8">
                <c:v>4.5</c:v>
              </c:pt>
              <c:pt idx="9">
                <c:v>4.5</c:v>
              </c:pt>
              <c:pt idx="10">
                <c:v>4.5</c:v>
              </c:pt>
              <c:pt idx="11">
                <c:v>4.5</c:v>
              </c:pt>
              <c:pt idx="12">
                <c:v>4.5</c:v>
              </c:pt>
              <c:pt idx="13">
                <c:v>4.5</c:v>
              </c:pt>
              <c:pt idx="14">
                <c:v>4.5</c:v>
              </c:pt>
              <c:pt idx="15">
                <c:v>4.5</c:v>
              </c:pt>
            </c:numLit>
          </c:val>
          <c:extLst>
            <c:ext xmlns:c16="http://schemas.microsoft.com/office/drawing/2014/chart" uri="{C3380CC4-5D6E-409C-BE32-E72D297353CC}">
              <c16:uniqueId val="{0000000A-683D-46FA-A23E-7441FD3D5785}"/>
            </c:ext>
          </c:extLst>
        </c:ser>
        <c:ser>
          <c:idx val="11"/>
          <c:order val="11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0.28045005504792675</c:v>
              </c:pt>
              <c:pt idx="7">
                <c:v>1.2942064575380545</c:v>
              </c:pt>
              <c:pt idx="8">
                <c:v>10.045841910041078</c:v>
              </c:pt>
              <c:pt idx="9">
                <c:v>16.210232212870583</c:v>
              </c:pt>
              <c:pt idx="10">
                <c:v>18.62561459569898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683D-46FA-A23E-7441FD3D5785}"/>
            </c:ext>
          </c:extLst>
        </c:ser>
        <c:ser>
          <c:idx val="12"/>
          <c:order val="12"/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0.5</c:v>
              </c:pt>
              <c:pt idx="7">
                <c:v>0.5</c:v>
              </c:pt>
              <c:pt idx="8">
                <c:v>0.5</c:v>
              </c:pt>
              <c:pt idx="9">
                <c:v>0.5</c:v>
              </c:pt>
              <c:pt idx="10">
                <c:v>0.5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683D-46FA-A23E-7441FD3D5785}"/>
            </c:ext>
          </c:extLst>
        </c:ser>
        <c:ser>
          <c:idx val="13"/>
          <c:order val="13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10</c:v>
              </c:pt>
              <c:pt idx="1">
                <c:v>20.5</c:v>
              </c:pt>
              <c:pt idx="2">
                <c:v>20.5</c:v>
              </c:pt>
              <c:pt idx="3">
                <c:v>20.5</c:v>
              </c:pt>
              <c:pt idx="4">
                <c:v>20.5</c:v>
              </c:pt>
              <c:pt idx="5">
                <c:v>20.5</c:v>
              </c:pt>
              <c:pt idx="6">
                <c:v>19.719549944952075</c:v>
              </c:pt>
              <c:pt idx="7">
                <c:v>18.705793542461947</c:v>
              </c:pt>
              <c:pt idx="8">
                <c:v>9.9541580899589217</c:v>
              </c:pt>
              <c:pt idx="9">
                <c:v>3.7897677871294171</c:v>
              </c:pt>
              <c:pt idx="10">
                <c:v>1.3743854043010195</c:v>
              </c:pt>
              <c:pt idx="11">
                <c:v>20.5</c:v>
              </c:pt>
              <c:pt idx="12">
                <c:v>20.5</c:v>
              </c:pt>
              <c:pt idx="13">
                <c:v>20.5</c:v>
              </c:pt>
              <c:pt idx="14">
                <c:v>20.5</c:v>
              </c:pt>
              <c:pt idx="15">
                <c:v>20.5</c:v>
              </c:pt>
            </c:numLit>
          </c:val>
          <c:extLst>
            <c:ext xmlns:c16="http://schemas.microsoft.com/office/drawing/2014/chart" uri="{C3380CC4-5D6E-409C-BE32-E72D297353CC}">
              <c16:uniqueId val="{0000000D-683D-46FA-A23E-7441FD3D5785}"/>
            </c:ext>
          </c:extLst>
        </c:ser>
        <c:ser>
          <c:idx val="14"/>
          <c:order val="14"/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0.78941771200032917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683D-46FA-A23E-7441FD3D5785}"/>
            </c:ext>
          </c:extLst>
        </c:ser>
        <c:ser>
          <c:idx val="15"/>
          <c:order val="15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683D-46FA-A23E-7441FD3D5785}"/>
            </c:ext>
          </c:extLst>
        </c:ser>
        <c:ser>
          <c:idx val="16"/>
          <c:order val="16"/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2</c:v>
              </c:pt>
              <c:pt idx="1">
                <c:v>4.5</c:v>
              </c:pt>
              <c:pt idx="2">
                <c:v>4.5</c:v>
              </c:pt>
              <c:pt idx="3">
                <c:v>4.5</c:v>
              </c:pt>
              <c:pt idx="4">
                <c:v>4.5</c:v>
              </c:pt>
              <c:pt idx="5">
                <c:v>4.5</c:v>
              </c:pt>
              <c:pt idx="6">
                <c:v>4.5</c:v>
              </c:pt>
              <c:pt idx="7">
                <c:v>4.5</c:v>
              </c:pt>
              <c:pt idx="8">
                <c:v>4.5</c:v>
              </c:pt>
              <c:pt idx="9">
                <c:v>4.5</c:v>
              </c:pt>
              <c:pt idx="10">
                <c:v>4.5</c:v>
              </c:pt>
              <c:pt idx="11">
                <c:v>3.2105822879996708</c:v>
              </c:pt>
              <c:pt idx="12">
                <c:v>4.5</c:v>
              </c:pt>
              <c:pt idx="13">
                <c:v>4.5</c:v>
              </c:pt>
              <c:pt idx="14">
                <c:v>4.5</c:v>
              </c:pt>
              <c:pt idx="15">
                <c:v>4.5</c:v>
              </c:pt>
            </c:numLit>
          </c:val>
          <c:extLst>
            <c:ext xmlns:c16="http://schemas.microsoft.com/office/drawing/2014/chart" uri="{C3380CC4-5D6E-409C-BE32-E72D297353CC}">
              <c16:uniqueId val="{00000010-683D-46FA-A23E-7441FD3D5785}"/>
            </c:ext>
          </c:extLst>
        </c:ser>
        <c:ser>
          <c:idx val="17"/>
          <c:order val="17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1.2145325714822945</c:v>
              </c:pt>
              <c:pt idx="13">
                <c:v>0</c:v>
              </c:pt>
              <c:pt idx="14">
                <c:v>0</c:v>
              </c:pt>
              <c:pt idx="15">
                <c:v>1.6134915321199657</c:v>
              </c:pt>
            </c:numLit>
          </c:val>
          <c:extLst>
            <c:ext xmlns:c16="http://schemas.microsoft.com/office/drawing/2014/chart" uri="{C3380CC4-5D6E-409C-BE32-E72D297353CC}">
              <c16:uniqueId val="{00000011-683D-46FA-A23E-7441FD3D5785}"/>
            </c:ext>
          </c:extLst>
        </c:ser>
        <c:ser>
          <c:idx val="18"/>
          <c:order val="18"/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0.5</c:v>
              </c:pt>
              <c:pt idx="13">
                <c:v>0</c:v>
              </c:pt>
              <c:pt idx="14">
                <c:v>0</c:v>
              </c:pt>
              <c:pt idx="15">
                <c:v>0.5</c:v>
              </c:pt>
            </c:numLit>
          </c:val>
          <c:extLst>
            <c:ext xmlns:c16="http://schemas.microsoft.com/office/drawing/2014/chart" uri="{C3380CC4-5D6E-409C-BE32-E72D297353CC}">
              <c16:uniqueId val="{00000012-683D-46FA-A23E-7441FD3D5785}"/>
            </c:ext>
          </c:extLst>
        </c:ser>
        <c:ser>
          <c:idx val="19"/>
          <c:order val="19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2.5</c:v>
              </c:pt>
              <c:pt idx="2">
                <c:v>2.5</c:v>
              </c:pt>
              <c:pt idx="3">
                <c:v>2.5</c:v>
              </c:pt>
              <c:pt idx="4">
                <c:v>2.5</c:v>
              </c:pt>
              <c:pt idx="5">
                <c:v>2.5</c:v>
              </c:pt>
              <c:pt idx="6">
                <c:v>2.5</c:v>
              </c:pt>
              <c:pt idx="7">
                <c:v>2.5</c:v>
              </c:pt>
              <c:pt idx="8">
                <c:v>2.5</c:v>
              </c:pt>
              <c:pt idx="9">
                <c:v>2.5</c:v>
              </c:pt>
              <c:pt idx="10">
                <c:v>2.5</c:v>
              </c:pt>
              <c:pt idx="11">
                <c:v>2.5</c:v>
              </c:pt>
              <c:pt idx="12">
                <c:v>0.78546742851770546</c:v>
              </c:pt>
              <c:pt idx="13">
                <c:v>2.5</c:v>
              </c:pt>
              <c:pt idx="14">
                <c:v>2.5</c:v>
              </c:pt>
              <c:pt idx="15">
                <c:v>0.38650846788003435</c:v>
              </c:pt>
            </c:numLit>
          </c:val>
          <c:extLst>
            <c:ext xmlns:c16="http://schemas.microsoft.com/office/drawing/2014/chart" uri="{C3380CC4-5D6E-409C-BE32-E72D297353CC}">
              <c16:uniqueId val="{00000013-683D-46FA-A23E-7441FD3D5785}"/>
            </c:ext>
          </c:extLst>
        </c:ser>
        <c:ser>
          <c:idx val="20"/>
          <c:order val="20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1.9000000000000057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683D-46FA-A23E-7441FD3D5785}"/>
            </c:ext>
          </c:extLst>
        </c:ser>
        <c:ser>
          <c:idx val="21"/>
          <c:order val="21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0.5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683D-46FA-A23E-7441FD3D5785}"/>
            </c:ext>
          </c:extLst>
        </c:ser>
        <c:ser>
          <c:idx val="22"/>
          <c:order val="22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2.5</c:v>
              </c:pt>
              <c:pt idx="2">
                <c:v>2.5</c:v>
              </c:pt>
              <c:pt idx="3">
                <c:v>2.5</c:v>
              </c:pt>
              <c:pt idx="4">
                <c:v>2.5</c:v>
              </c:pt>
              <c:pt idx="5">
                <c:v>2.5</c:v>
              </c:pt>
              <c:pt idx="6">
                <c:v>2.5</c:v>
              </c:pt>
              <c:pt idx="7">
                <c:v>2.5</c:v>
              </c:pt>
              <c:pt idx="8">
                <c:v>2.5</c:v>
              </c:pt>
              <c:pt idx="9">
                <c:v>2.5</c:v>
              </c:pt>
              <c:pt idx="10">
                <c:v>2.5</c:v>
              </c:pt>
              <c:pt idx="11">
                <c:v>2.5</c:v>
              </c:pt>
              <c:pt idx="12">
                <c:v>2.5</c:v>
              </c:pt>
              <c:pt idx="13">
                <c:v>9.9999999999994316E-2</c:v>
              </c:pt>
              <c:pt idx="14">
                <c:v>2.5</c:v>
              </c:pt>
              <c:pt idx="15">
                <c:v>2.5</c:v>
              </c:pt>
            </c:numLit>
          </c:val>
          <c:extLst>
            <c:ext xmlns:c16="http://schemas.microsoft.com/office/drawing/2014/chart" uri="{C3380CC4-5D6E-409C-BE32-E72D297353CC}">
              <c16:uniqueId val="{00000016-683D-46FA-A23E-7441FD3D5785}"/>
            </c:ext>
          </c:extLst>
        </c:ser>
        <c:ser>
          <c:idx val="23"/>
          <c:order val="23"/>
          <c:spPr>
            <a:noFill/>
            <a:ln>
              <a:noFill/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0.5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683D-46FA-A23E-7441FD3D5785}"/>
            </c:ext>
          </c:extLst>
        </c:ser>
        <c:ser>
          <c:idx val="24"/>
          <c:order val="24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Lit>
              <c:ptCount val="16"/>
              <c:pt idx="0">
                <c:v>IG (perc)</c:v>
              </c:pt>
              <c:pt idx="1">
                <c:v>11s (%0,5)</c:v>
              </c:pt>
              <c:pt idx="2">
                <c:v>12s (%1,1)</c:v>
              </c:pt>
              <c:pt idx="3">
                <c:v>13s (%2,9)</c:v>
              </c:pt>
              <c:pt idx="4">
                <c:v>14s (%3,1)</c:v>
              </c:pt>
              <c:pt idx="5">
                <c:v>15s (%6,2)</c:v>
              </c:pt>
              <c:pt idx="6">
                <c:v>16s (%11,1)</c:v>
              </c:pt>
              <c:pt idx="7">
                <c:v>17s (%15,1)</c:v>
              </c:pt>
              <c:pt idx="8">
                <c:v>18s (%50,1)</c:v>
              </c:pt>
              <c:pt idx="9">
                <c:v>19s (%74,8)</c:v>
              </c:pt>
              <c:pt idx="10">
                <c:v>20s (%84,5)</c:v>
              </c:pt>
              <c:pt idx="11">
                <c:v>21s (%90,9)</c:v>
              </c:pt>
              <c:pt idx="12">
                <c:v>22s (%96,2)</c:v>
              </c:pt>
              <c:pt idx="13">
                <c:v>23s (%98,9)</c:v>
              </c:pt>
              <c:pt idx="14">
                <c:v>24s (%99)</c:v>
              </c:pt>
              <c:pt idx="15">
                <c:v>25s (%96,6)</c:v>
              </c:pt>
            </c:strLit>
          </c:cat>
          <c:val>
            <c:numLit>
              <c:formatCode>General</c:formatCode>
              <c:ptCount val="16"/>
              <c:pt idx="0">
                <c:v>0.5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0.5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683D-46FA-A23E-7441FD3D5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165112"/>
        <c:axId val="743168720"/>
      </c:barChart>
      <c:catAx>
        <c:axId val="74316511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3168720"/>
        <c:crosses val="autoZero"/>
        <c:auto val="1"/>
        <c:lblAlgn val="ctr"/>
        <c:lblOffset val="100"/>
        <c:noMultiLvlLbl val="0"/>
      </c:catAx>
      <c:valAx>
        <c:axId val="7431687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74316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859402947640768E-2"/>
          <c:y val="0.10085656016315434"/>
          <c:w val="0.94137613770617312"/>
          <c:h val="0.77385891005636531"/>
        </c:manualLayout>
      </c:layout>
      <c:lineChart>
        <c:grouping val="standard"/>
        <c:varyColors val="0"/>
        <c:ser>
          <c:idx val="1"/>
          <c:order val="1"/>
          <c:tx>
            <c:strRef>
              <c:f>Planilha5!$C$4</c:f>
              <c:strCache>
                <c:ptCount val="1"/>
                <c:pt idx="0">
                  <c:v>Peso adequado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Planilha5!$C$5:$C$46</c:f>
              <c:numCache>
                <c:formatCode>General</c:formatCode>
                <c:ptCount val="4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20.2</c:v>
                </c:pt>
                <c:pt idx="8">
                  <c:v>20.2</c:v>
                </c:pt>
                <c:pt idx="9">
                  <c:v>20.3</c:v>
                </c:pt>
                <c:pt idx="10">
                  <c:v>20.399999999999999</c:v>
                </c:pt>
                <c:pt idx="11">
                  <c:v>20.5</c:v>
                </c:pt>
                <c:pt idx="12">
                  <c:v>20.7</c:v>
                </c:pt>
                <c:pt idx="13">
                  <c:v>20.8</c:v>
                </c:pt>
                <c:pt idx="14">
                  <c:v>20.9</c:v>
                </c:pt>
                <c:pt idx="15">
                  <c:v>21.1</c:v>
                </c:pt>
                <c:pt idx="16">
                  <c:v>21.2</c:v>
                </c:pt>
                <c:pt idx="17">
                  <c:v>21.3</c:v>
                </c:pt>
                <c:pt idx="18">
                  <c:v>21.5</c:v>
                </c:pt>
                <c:pt idx="19">
                  <c:v>21.6</c:v>
                </c:pt>
                <c:pt idx="20">
                  <c:v>21.8</c:v>
                </c:pt>
                <c:pt idx="21">
                  <c:v>21.9</c:v>
                </c:pt>
                <c:pt idx="22">
                  <c:v>22.1</c:v>
                </c:pt>
                <c:pt idx="23">
                  <c:v>22.3</c:v>
                </c:pt>
                <c:pt idx="24">
                  <c:v>22.4</c:v>
                </c:pt>
                <c:pt idx="25">
                  <c:v>22.7</c:v>
                </c:pt>
                <c:pt idx="26">
                  <c:v>22.8</c:v>
                </c:pt>
                <c:pt idx="27">
                  <c:v>23</c:v>
                </c:pt>
                <c:pt idx="28">
                  <c:v>23.2</c:v>
                </c:pt>
                <c:pt idx="29">
                  <c:v>23.4</c:v>
                </c:pt>
                <c:pt idx="30">
                  <c:v>23.5</c:v>
                </c:pt>
                <c:pt idx="31">
                  <c:v>23.7</c:v>
                </c:pt>
                <c:pt idx="32">
                  <c:v>23.9</c:v>
                </c:pt>
                <c:pt idx="33">
                  <c:v>24</c:v>
                </c:pt>
                <c:pt idx="34">
                  <c:v>24.2</c:v>
                </c:pt>
                <c:pt idx="35">
                  <c:v>24.3</c:v>
                </c:pt>
                <c:pt idx="36">
                  <c:v>24.5</c:v>
                </c:pt>
                <c:pt idx="37">
                  <c:v>24.6</c:v>
                </c:pt>
                <c:pt idx="38">
                  <c:v>24.8</c:v>
                </c:pt>
                <c:pt idx="39">
                  <c:v>25</c:v>
                </c:pt>
                <c:pt idx="40">
                  <c:v>25.1</c:v>
                </c:pt>
                <c:pt idx="41">
                  <c:v>25.1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2F-4F16-899A-9AEDFF490484}"/>
            </c:ext>
          </c:extLst>
        </c:ser>
        <c:ser>
          <c:idx val="2"/>
          <c:order val="2"/>
          <c:tx>
            <c:strRef>
              <c:f>Planilha5!$D$4</c:f>
              <c:strCache>
                <c:ptCount val="1"/>
                <c:pt idx="0">
                  <c:v>Sobrepeso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Planilha5!$D$5:$D$46</c:f>
              <c:numCache>
                <c:formatCode>General</c:formatCode>
                <c:ptCount val="42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25.1</c:v>
                </c:pt>
                <c:pt idx="8">
                  <c:v>25.2</c:v>
                </c:pt>
                <c:pt idx="9">
                  <c:v>25.3</c:v>
                </c:pt>
                <c:pt idx="10">
                  <c:v>25.4</c:v>
                </c:pt>
                <c:pt idx="11">
                  <c:v>25.5</c:v>
                </c:pt>
                <c:pt idx="12">
                  <c:v>25.7</c:v>
                </c:pt>
                <c:pt idx="13">
                  <c:v>25.8</c:v>
                </c:pt>
                <c:pt idx="14">
                  <c:v>25.9</c:v>
                </c:pt>
                <c:pt idx="15">
                  <c:v>26</c:v>
                </c:pt>
                <c:pt idx="16">
                  <c:v>26.1</c:v>
                </c:pt>
                <c:pt idx="17">
                  <c:v>26.2</c:v>
                </c:pt>
                <c:pt idx="18">
                  <c:v>26.3</c:v>
                </c:pt>
                <c:pt idx="19">
                  <c:v>26.4</c:v>
                </c:pt>
                <c:pt idx="20">
                  <c:v>26.5</c:v>
                </c:pt>
                <c:pt idx="21">
                  <c:v>26.7</c:v>
                </c:pt>
                <c:pt idx="22">
                  <c:v>26.9</c:v>
                </c:pt>
                <c:pt idx="23">
                  <c:v>27</c:v>
                </c:pt>
                <c:pt idx="24">
                  <c:v>27.1</c:v>
                </c:pt>
                <c:pt idx="25">
                  <c:v>27.3</c:v>
                </c:pt>
                <c:pt idx="26">
                  <c:v>27.4</c:v>
                </c:pt>
                <c:pt idx="27">
                  <c:v>27.6</c:v>
                </c:pt>
                <c:pt idx="28">
                  <c:v>27.7</c:v>
                </c:pt>
                <c:pt idx="29">
                  <c:v>27.9</c:v>
                </c:pt>
                <c:pt idx="30">
                  <c:v>28</c:v>
                </c:pt>
                <c:pt idx="31">
                  <c:v>28.1</c:v>
                </c:pt>
                <c:pt idx="32">
                  <c:v>28.2</c:v>
                </c:pt>
                <c:pt idx="33">
                  <c:v>28.4</c:v>
                </c:pt>
                <c:pt idx="34">
                  <c:v>28.5</c:v>
                </c:pt>
                <c:pt idx="35">
                  <c:v>28.6</c:v>
                </c:pt>
                <c:pt idx="36">
                  <c:v>28.8</c:v>
                </c:pt>
                <c:pt idx="37">
                  <c:v>28.9</c:v>
                </c:pt>
                <c:pt idx="38">
                  <c:v>29</c:v>
                </c:pt>
                <c:pt idx="39">
                  <c:v>29.2</c:v>
                </c:pt>
                <c:pt idx="40">
                  <c:v>29.3</c:v>
                </c:pt>
                <c:pt idx="41">
                  <c:v>29.3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2F-4F16-899A-9AEDFF490484}"/>
            </c:ext>
          </c:extLst>
        </c:ser>
        <c:ser>
          <c:idx val="3"/>
          <c:order val="3"/>
          <c:tx>
            <c:strRef>
              <c:f>Planilha5!$E$4</c:f>
              <c:strCache>
                <c:ptCount val="1"/>
                <c:pt idx="0">
                  <c:v>Obesidade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Planilha5!$E$5:$E$46</c:f>
              <c:numCache>
                <c:formatCode>General</c:formatCode>
                <c:ptCount val="4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30.2</c:v>
                </c:pt>
                <c:pt idx="8">
                  <c:v>30.2</c:v>
                </c:pt>
                <c:pt idx="9">
                  <c:v>30.3</c:v>
                </c:pt>
                <c:pt idx="10">
                  <c:v>30.4</c:v>
                </c:pt>
                <c:pt idx="11">
                  <c:v>30.4</c:v>
                </c:pt>
                <c:pt idx="12">
                  <c:v>30.5</c:v>
                </c:pt>
                <c:pt idx="13">
                  <c:v>30.6</c:v>
                </c:pt>
                <c:pt idx="14">
                  <c:v>30.7</c:v>
                </c:pt>
                <c:pt idx="15">
                  <c:v>30.8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31.1</c:v>
                </c:pt>
                <c:pt idx="20">
                  <c:v>31.2</c:v>
                </c:pt>
                <c:pt idx="21">
                  <c:v>31.3</c:v>
                </c:pt>
                <c:pt idx="22">
                  <c:v>31.4</c:v>
                </c:pt>
                <c:pt idx="23">
                  <c:v>31.6</c:v>
                </c:pt>
                <c:pt idx="24">
                  <c:v>31.7</c:v>
                </c:pt>
                <c:pt idx="25">
                  <c:v>31.8</c:v>
                </c:pt>
                <c:pt idx="26">
                  <c:v>31.9</c:v>
                </c:pt>
                <c:pt idx="27">
                  <c:v>32</c:v>
                </c:pt>
                <c:pt idx="28">
                  <c:v>32.1</c:v>
                </c:pt>
                <c:pt idx="29">
                  <c:v>32.200000000000003</c:v>
                </c:pt>
                <c:pt idx="30">
                  <c:v>32.299999999999997</c:v>
                </c:pt>
                <c:pt idx="31">
                  <c:v>32.4</c:v>
                </c:pt>
                <c:pt idx="32">
                  <c:v>32.5</c:v>
                </c:pt>
                <c:pt idx="33">
                  <c:v>32.6</c:v>
                </c:pt>
                <c:pt idx="34">
                  <c:v>32.700000000000003</c:v>
                </c:pt>
                <c:pt idx="35">
                  <c:v>32.799999999999997</c:v>
                </c:pt>
                <c:pt idx="36">
                  <c:v>32.9</c:v>
                </c:pt>
                <c:pt idx="37">
                  <c:v>33</c:v>
                </c:pt>
                <c:pt idx="38">
                  <c:v>33.1</c:v>
                </c:pt>
                <c:pt idx="39">
                  <c:v>33.200000000000003</c:v>
                </c:pt>
                <c:pt idx="40">
                  <c:v>33.299999999999997</c:v>
                </c:pt>
                <c:pt idx="4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2F-4F16-899A-9AEDFF490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92479"/>
        <c:axId val="8076502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F2F-4F16-899A-9AEDFF490484}"/>
                  </c:ext>
                </c:extLst>
              </c15:ser>
            </c15:filteredLineSeries>
          </c:ext>
        </c:extLst>
      </c:lineChart>
      <c:scatterChart>
        <c:scatterStyle val="lineMarker"/>
        <c:varyColors val="0"/>
        <c:ser>
          <c:idx val="6"/>
          <c:order val="6"/>
          <c:tx>
            <c:v>paciente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Planilha5!$F$5:$F$23</c:f>
              <c:numCache>
                <c:formatCode>General</c:formatCode>
                <c:ptCount val="19"/>
                <c:pt idx="0">
                  <c:v>4.8571428571428568</c:v>
                </c:pt>
                <c:pt idx="1">
                  <c:v>9.1428571428571423</c:v>
                </c:pt>
                <c:pt idx="2">
                  <c:v>10.571428571428571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Planilha5!$G$5:$G$23</c:f>
              <c:numCache>
                <c:formatCode>General</c:formatCode>
                <c:ptCount val="19"/>
                <c:pt idx="0">
                  <c:v>18.7</c:v>
                </c:pt>
                <c:pt idx="1">
                  <c:v>22.5</c:v>
                </c:pt>
                <c:pt idx="2">
                  <c:v>22.8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F2F-4F16-899A-9AEDFF490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92479"/>
        <c:axId val="80765023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Planilha5!$F$4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Planilha5!$F$5:$F$46</c15:sqref>
                        </c15:formulaRef>
                      </c:ext>
                    </c:extLst>
                    <c:numCache>
                      <c:formatCode>General</c:formatCode>
                      <c:ptCount val="42"/>
                      <c:pt idx="0">
                        <c:v>4.8571428571428568</c:v>
                      </c:pt>
                      <c:pt idx="1">
                        <c:v>9.1428571428571423</c:v>
                      </c:pt>
                      <c:pt idx="2">
                        <c:v>10.571428571428571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F2F-4F16-899A-9AEDFF49048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Planilha5!$G$4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Planilha5!$G$5:$G$46</c15:sqref>
                        </c15:formulaRef>
                      </c:ext>
                    </c:extLst>
                    <c:numCache>
                      <c:formatCode>General</c:formatCode>
                      <c:ptCount val="42"/>
                      <c:pt idx="0">
                        <c:v>18.7</c:v>
                      </c:pt>
                      <c:pt idx="1">
                        <c:v>22.5</c:v>
                      </c:pt>
                      <c:pt idx="2">
                        <c:v>22.8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F2F-4F16-899A-9AEDFF490484}"/>
                  </c:ext>
                </c:extLst>
              </c15:ser>
            </c15:filteredScatterSeries>
          </c:ext>
        </c:extLst>
      </c:scatterChart>
      <c:catAx>
        <c:axId val="40992479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65023"/>
        <c:crosses val="autoZero"/>
        <c:auto val="1"/>
        <c:lblAlgn val="ctr"/>
        <c:lblOffset val="100"/>
        <c:tickLblSkip val="1"/>
        <c:noMultiLvlLbl val="0"/>
      </c:catAx>
      <c:valAx>
        <c:axId val="8076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9924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Peso Materno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Planilha5!$C$4</c:f>
              <c:strCache>
                <c:ptCount val="1"/>
                <c:pt idx="0">
                  <c:v>Peso adequado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cat>
          <c:val>
            <c:numRef>
              <c:f>Planilha5!$C$5:$C$46</c:f>
              <c:numCache>
                <c:formatCode>General</c:formatCode>
                <c:ptCount val="4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20.2</c:v>
                </c:pt>
                <c:pt idx="8">
                  <c:v>20.2</c:v>
                </c:pt>
                <c:pt idx="9">
                  <c:v>20.3</c:v>
                </c:pt>
                <c:pt idx="10">
                  <c:v>20.399999999999999</c:v>
                </c:pt>
                <c:pt idx="11">
                  <c:v>20.5</c:v>
                </c:pt>
                <c:pt idx="12">
                  <c:v>20.7</c:v>
                </c:pt>
                <c:pt idx="13">
                  <c:v>20.8</c:v>
                </c:pt>
                <c:pt idx="14">
                  <c:v>20.9</c:v>
                </c:pt>
                <c:pt idx="15">
                  <c:v>21.1</c:v>
                </c:pt>
                <c:pt idx="16">
                  <c:v>21.2</c:v>
                </c:pt>
                <c:pt idx="17">
                  <c:v>21.3</c:v>
                </c:pt>
                <c:pt idx="18">
                  <c:v>21.5</c:v>
                </c:pt>
                <c:pt idx="19">
                  <c:v>21.6</c:v>
                </c:pt>
                <c:pt idx="20">
                  <c:v>21.8</c:v>
                </c:pt>
                <c:pt idx="21">
                  <c:v>21.9</c:v>
                </c:pt>
                <c:pt idx="22">
                  <c:v>22.1</c:v>
                </c:pt>
                <c:pt idx="23">
                  <c:v>22.3</c:v>
                </c:pt>
                <c:pt idx="24">
                  <c:v>22.4</c:v>
                </c:pt>
                <c:pt idx="25">
                  <c:v>22.7</c:v>
                </c:pt>
                <c:pt idx="26">
                  <c:v>22.8</c:v>
                </c:pt>
                <c:pt idx="27">
                  <c:v>23</c:v>
                </c:pt>
                <c:pt idx="28">
                  <c:v>23.2</c:v>
                </c:pt>
                <c:pt idx="29">
                  <c:v>23.4</c:v>
                </c:pt>
                <c:pt idx="30">
                  <c:v>23.5</c:v>
                </c:pt>
                <c:pt idx="31">
                  <c:v>23.7</c:v>
                </c:pt>
                <c:pt idx="32">
                  <c:v>23.9</c:v>
                </c:pt>
                <c:pt idx="33">
                  <c:v>24</c:v>
                </c:pt>
                <c:pt idx="34">
                  <c:v>24.2</c:v>
                </c:pt>
                <c:pt idx="35">
                  <c:v>24.3</c:v>
                </c:pt>
                <c:pt idx="36">
                  <c:v>24.5</c:v>
                </c:pt>
                <c:pt idx="37">
                  <c:v>24.6</c:v>
                </c:pt>
                <c:pt idx="38">
                  <c:v>24.8</c:v>
                </c:pt>
                <c:pt idx="39">
                  <c:v>25</c:v>
                </c:pt>
                <c:pt idx="40">
                  <c:v>25.1</c:v>
                </c:pt>
                <c:pt idx="41">
                  <c:v>25.1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B0-492C-983B-0AA0B95F84CC}"/>
            </c:ext>
          </c:extLst>
        </c:ser>
        <c:ser>
          <c:idx val="2"/>
          <c:order val="2"/>
          <c:tx>
            <c:strRef>
              <c:f>Planilha5!$D$4</c:f>
              <c:strCache>
                <c:ptCount val="1"/>
                <c:pt idx="0">
                  <c:v>Sobrepeso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cat>
          <c:val>
            <c:numRef>
              <c:f>Planilha5!$D$5:$D$46</c:f>
              <c:numCache>
                <c:formatCode>General</c:formatCode>
                <c:ptCount val="42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25.1</c:v>
                </c:pt>
                <c:pt idx="8">
                  <c:v>25.2</c:v>
                </c:pt>
                <c:pt idx="9">
                  <c:v>25.3</c:v>
                </c:pt>
                <c:pt idx="10">
                  <c:v>25.4</c:v>
                </c:pt>
                <c:pt idx="11">
                  <c:v>25.5</c:v>
                </c:pt>
                <c:pt idx="12">
                  <c:v>25.7</c:v>
                </c:pt>
                <c:pt idx="13">
                  <c:v>25.8</c:v>
                </c:pt>
                <c:pt idx="14">
                  <c:v>25.9</c:v>
                </c:pt>
                <c:pt idx="15">
                  <c:v>26</c:v>
                </c:pt>
                <c:pt idx="16">
                  <c:v>26.1</c:v>
                </c:pt>
                <c:pt idx="17">
                  <c:v>26.2</c:v>
                </c:pt>
                <c:pt idx="18">
                  <c:v>26.3</c:v>
                </c:pt>
                <c:pt idx="19">
                  <c:v>26.4</c:v>
                </c:pt>
                <c:pt idx="20">
                  <c:v>26.5</c:v>
                </c:pt>
                <c:pt idx="21">
                  <c:v>26.7</c:v>
                </c:pt>
                <c:pt idx="22">
                  <c:v>26.9</c:v>
                </c:pt>
                <c:pt idx="23">
                  <c:v>27</c:v>
                </c:pt>
                <c:pt idx="24">
                  <c:v>27.1</c:v>
                </c:pt>
                <c:pt idx="25">
                  <c:v>27.3</c:v>
                </c:pt>
                <c:pt idx="26">
                  <c:v>27.4</c:v>
                </c:pt>
                <c:pt idx="27">
                  <c:v>27.6</c:v>
                </c:pt>
                <c:pt idx="28">
                  <c:v>27.7</c:v>
                </c:pt>
                <c:pt idx="29">
                  <c:v>27.9</c:v>
                </c:pt>
                <c:pt idx="30">
                  <c:v>28</c:v>
                </c:pt>
                <c:pt idx="31">
                  <c:v>28.1</c:v>
                </c:pt>
                <c:pt idx="32">
                  <c:v>28.2</c:v>
                </c:pt>
                <c:pt idx="33">
                  <c:v>28.4</c:v>
                </c:pt>
                <c:pt idx="34">
                  <c:v>28.5</c:v>
                </c:pt>
                <c:pt idx="35">
                  <c:v>28.6</c:v>
                </c:pt>
                <c:pt idx="36">
                  <c:v>28.8</c:v>
                </c:pt>
                <c:pt idx="37">
                  <c:v>28.9</c:v>
                </c:pt>
                <c:pt idx="38">
                  <c:v>29</c:v>
                </c:pt>
                <c:pt idx="39">
                  <c:v>29.2</c:v>
                </c:pt>
                <c:pt idx="40">
                  <c:v>29.3</c:v>
                </c:pt>
                <c:pt idx="41">
                  <c:v>29.3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B0-492C-983B-0AA0B95F84CC}"/>
            </c:ext>
          </c:extLst>
        </c:ser>
        <c:ser>
          <c:idx val="3"/>
          <c:order val="3"/>
          <c:tx>
            <c:strRef>
              <c:f>Planilha5!$E$4</c:f>
              <c:strCache>
                <c:ptCount val="1"/>
                <c:pt idx="0">
                  <c:v>Obesidade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cat>
          <c:val>
            <c:numRef>
              <c:f>Planilha5!$E$5:$E$46</c:f>
              <c:numCache>
                <c:formatCode>General</c:formatCode>
                <c:ptCount val="4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30.2</c:v>
                </c:pt>
                <c:pt idx="8">
                  <c:v>30.2</c:v>
                </c:pt>
                <c:pt idx="9">
                  <c:v>30.3</c:v>
                </c:pt>
                <c:pt idx="10">
                  <c:v>30.4</c:v>
                </c:pt>
                <c:pt idx="11">
                  <c:v>30.4</c:v>
                </c:pt>
                <c:pt idx="12">
                  <c:v>30.5</c:v>
                </c:pt>
                <c:pt idx="13">
                  <c:v>30.6</c:v>
                </c:pt>
                <c:pt idx="14">
                  <c:v>30.7</c:v>
                </c:pt>
                <c:pt idx="15">
                  <c:v>30.8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31.1</c:v>
                </c:pt>
                <c:pt idx="20">
                  <c:v>31.2</c:v>
                </c:pt>
                <c:pt idx="21">
                  <c:v>31.3</c:v>
                </c:pt>
                <c:pt idx="22">
                  <c:v>31.4</c:v>
                </c:pt>
                <c:pt idx="23">
                  <c:v>31.6</c:v>
                </c:pt>
                <c:pt idx="24">
                  <c:v>31.7</c:v>
                </c:pt>
                <c:pt idx="25">
                  <c:v>31.8</c:v>
                </c:pt>
                <c:pt idx="26">
                  <c:v>31.9</c:v>
                </c:pt>
                <c:pt idx="27">
                  <c:v>32</c:v>
                </c:pt>
                <c:pt idx="28">
                  <c:v>32.1</c:v>
                </c:pt>
                <c:pt idx="29">
                  <c:v>32.200000000000003</c:v>
                </c:pt>
                <c:pt idx="30">
                  <c:v>32.299999999999997</c:v>
                </c:pt>
                <c:pt idx="31">
                  <c:v>32.4</c:v>
                </c:pt>
                <c:pt idx="32">
                  <c:v>32.5</c:v>
                </c:pt>
                <c:pt idx="33">
                  <c:v>32.6</c:v>
                </c:pt>
                <c:pt idx="34">
                  <c:v>32.700000000000003</c:v>
                </c:pt>
                <c:pt idx="35">
                  <c:v>32.799999999999997</c:v>
                </c:pt>
                <c:pt idx="36">
                  <c:v>32.9</c:v>
                </c:pt>
                <c:pt idx="37">
                  <c:v>33</c:v>
                </c:pt>
                <c:pt idx="38">
                  <c:v>33.1</c:v>
                </c:pt>
                <c:pt idx="39">
                  <c:v>33.200000000000003</c:v>
                </c:pt>
                <c:pt idx="40">
                  <c:v>33.299999999999997</c:v>
                </c:pt>
                <c:pt idx="4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B0-492C-983B-0AA0B95F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425856"/>
        <c:axId val="1438584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6B0-492C-983B-0AA0B95F84CC}"/>
                  </c:ext>
                </c:extLst>
              </c15:ser>
            </c15:filteredLineSeries>
          </c:ext>
        </c:extLst>
      </c:lineChart>
      <c:scatterChart>
        <c:scatterStyle val="lineMarker"/>
        <c:varyColors val="0"/>
        <c:ser>
          <c:idx val="6"/>
          <c:order val="6"/>
          <c:tx>
            <c:v>paciente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Planilha5!$F$5:$F$24</c:f>
              <c:numCache>
                <c:formatCode>General</c:formatCode>
                <c:ptCount val="20"/>
                <c:pt idx="0">
                  <c:v>4.8571428571428568</c:v>
                </c:pt>
                <c:pt idx="1">
                  <c:v>9.1428571428571423</c:v>
                </c:pt>
                <c:pt idx="2">
                  <c:v>10.571428571428571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Planilha5!$G$5:$G$24</c:f>
              <c:numCache>
                <c:formatCode>General</c:formatCode>
                <c:ptCount val="20"/>
                <c:pt idx="0">
                  <c:v>18.7</c:v>
                </c:pt>
                <c:pt idx="1">
                  <c:v>22.5</c:v>
                </c:pt>
                <c:pt idx="2">
                  <c:v>22.8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6B0-492C-983B-0AA0B95F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425856"/>
        <c:axId val="143858491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Planilha5!$F$4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Planilha5!$F$5:$F$26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4.8571428571428568</c:v>
                      </c:pt>
                      <c:pt idx="1">
                        <c:v>9.1428571428571423</c:v>
                      </c:pt>
                      <c:pt idx="2">
                        <c:v>10.571428571428571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6B0-492C-983B-0AA0B95F84C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Planilha5!$G$4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Planilha5!$G$5:$G$25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18.7</c:v>
                      </c:pt>
                      <c:pt idx="1">
                        <c:v>22.5</c:v>
                      </c:pt>
                      <c:pt idx="2">
                        <c:v>22.8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6B0-492C-983B-0AA0B95F84CC}"/>
                  </c:ext>
                </c:extLst>
              </c15:ser>
            </c15:filteredScatterSeries>
          </c:ext>
        </c:extLst>
      </c:scatterChart>
      <c:catAx>
        <c:axId val="14404258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8584912"/>
        <c:crosses val="autoZero"/>
        <c:auto val="1"/>
        <c:lblAlgn val="ctr"/>
        <c:lblOffset val="100"/>
        <c:tickLblSkip val="1"/>
        <c:noMultiLvlLbl val="0"/>
      </c:catAx>
      <c:valAx>
        <c:axId val="143858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042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Peso Materno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796736"/>
        <c:axId val="18586894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BA5-4D2B-8BBA-65224A466CBD}"/>
                  </c:ext>
                </c:extLst>
              </c15:ser>
            </c15:filteredBarSeries>
          </c:ext>
        </c:extLst>
      </c:barChart>
      <c:scatterChart>
        <c:scatterStyle val="smoothMarker"/>
        <c:varyColors val="0"/>
        <c:ser>
          <c:idx val="1"/>
          <c:order val="1"/>
          <c:tx>
            <c:strRef>
              <c:f>Planilha5!$C$4</c:f>
              <c:strCache>
                <c:ptCount val="1"/>
                <c:pt idx="0">
                  <c:v>Peso adequado</c:v>
                </c:pt>
              </c:strCache>
            </c:strRef>
          </c:tx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Planilha5!$C$5:$C$46</c:f>
              <c:numCache>
                <c:formatCode>General</c:formatCode>
                <c:ptCount val="4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20.2</c:v>
                </c:pt>
                <c:pt idx="8">
                  <c:v>20.2</c:v>
                </c:pt>
                <c:pt idx="9">
                  <c:v>20.3</c:v>
                </c:pt>
                <c:pt idx="10">
                  <c:v>20.399999999999999</c:v>
                </c:pt>
                <c:pt idx="11">
                  <c:v>20.5</c:v>
                </c:pt>
                <c:pt idx="12">
                  <c:v>20.7</c:v>
                </c:pt>
                <c:pt idx="13">
                  <c:v>20.8</c:v>
                </c:pt>
                <c:pt idx="14">
                  <c:v>20.9</c:v>
                </c:pt>
                <c:pt idx="15">
                  <c:v>21.1</c:v>
                </c:pt>
                <c:pt idx="16">
                  <c:v>21.2</c:v>
                </c:pt>
                <c:pt idx="17">
                  <c:v>21.3</c:v>
                </c:pt>
                <c:pt idx="18">
                  <c:v>21.5</c:v>
                </c:pt>
                <c:pt idx="19">
                  <c:v>21.6</c:v>
                </c:pt>
                <c:pt idx="20">
                  <c:v>21.8</c:v>
                </c:pt>
                <c:pt idx="21">
                  <c:v>21.9</c:v>
                </c:pt>
                <c:pt idx="22">
                  <c:v>22.1</c:v>
                </c:pt>
                <c:pt idx="23">
                  <c:v>22.3</c:v>
                </c:pt>
                <c:pt idx="24">
                  <c:v>22.4</c:v>
                </c:pt>
                <c:pt idx="25">
                  <c:v>22.7</c:v>
                </c:pt>
                <c:pt idx="26">
                  <c:v>22.8</c:v>
                </c:pt>
                <c:pt idx="27">
                  <c:v>23</c:v>
                </c:pt>
                <c:pt idx="28">
                  <c:v>23.2</c:v>
                </c:pt>
                <c:pt idx="29">
                  <c:v>23.4</c:v>
                </c:pt>
                <c:pt idx="30">
                  <c:v>23.5</c:v>
                </c:pt>
                <c:pt idx="31">
                  <c:v>23.7</c:v>
                </c:pt>
                <c:pt idx="32">
                  <c:v>23.9</c:v>
                </c:pt>
                <c:pt idx="33">
                  <c:v>24</c:v>
                </c:pt>
                <c:pt idx="34">
                  <c:v>24.2</c:v>
                </c:pt>
                <c:pt idx="35">
                  <c:v>24.3</c:v>
                </c:pt>
                <c:pt idx="36">
                  <c:v>24.5</c:v>
                </c:pt>
                <c:pt idx="37">
                  <c:v>24.6</c:v>
                </c:pt>
                <c:pt idx="38">
                  <c:v>24.8</c:v>
                </c:pt>
                <c:pt idx="39">
                  <c:v>25</c:v>
                </c:pt>
                <c:pt idx="40">
                  <c:v>25.1</c:v>
                </c:pt>
                <c:pt idx="41">
                  <c:v>25.1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A5-4D2B-8BBA-65224A466CBD}"/>
            </c:ext>
          </c:extLst>
        </c:ser>
        <c:ser>
          <c:idx val="2"/>
          <c:order val="2"/>
          <c:tx>
            <c:strRef>
              <c:f>Planilha5!$D$4</c:f>
              <c:strCache>
                <c:ptCount val="1"/>
                <c:pt idx="0">
                  <c:v>Sobrepeso</c:v>
                </c:pt>
              </c:strCache>
            </c:strRef>
          </c:tx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Planilha5!$D$5:$D$46</c:f>
              <c:numCache>
                <c:formatCode>General</c:formatCode>
                <c:ptCount val="42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25.1</c:v>
                </c:pt>
                <c:pt idx="8">
                  <c:v>25.2</c:v>
                </c:pt>
                <c:pt idx="9">
                  <c:v>25.3</c:v>
                </c:pt>
                <c:pt idx="10">
                  <c:v>25.4</c:v>
                </c:pt>
                <c:pt idx="11">
                  <c:v>25.5</c:v>
                </c:pt>
                <c:pt idx="12">
                  <c:v>25.7</c:v>
                </c:pt>
                <c:pt idx="13">
                  <c:v>25.8</c:v>
                </c:pt>
                <c:pt idx="14">
                  <c:v>25.9</c:v>
                </c:pt>
                <c:pt idx="15">
                  <c:v>26</c:v>
                </c:pt>
                <c:pt idx="16">
                  <c:v>26.1</c:v>
                </c:pt>
                <c:pt idx="17">
                  <c:v>26.2</c:v>
                </c:pt>
                <c:pt idx="18">
                  <c:v>26.3</c:v>
                </c:pt>
                <c:pt idx="19">
                  <c:v>26.4</c:v>
                </c:pt>
                <c:pt idx="20">
                  <c:v>26.5</c:v>
                </c:pt>
                <c:pt idx="21">
                  <c:v>26.7</c:v>
                </c:pt>
                <c:pt idx="22">
                  <c:v>26.9</c:v>
                </c:pt>
                <c:pt idx="23">
                  <c:v>27</c:v>
                </c:pt>
                <c:pt idx="24">
                  <c:v>27.1</c:v>
                </c:pt>
                <c:pt idx="25">
                  <c:v>27.3</c:v>
                </c:pt>
                <c:pt idx="26">
                  <c:v>27.4</c:v>
                </c:pt>
                <c:pt idx="27">
                  <c:v>27.6</c:v>
                </c:pt>
                <c:pt idx="28">
                  <c:v>27.7</c:v>
                </c:pt>
                <c:pt idx="29">
                  <c:v>27.9</c:v>
                </c:pt>
                <c:pt idx="30">
                  <c:v>28</c:v>
                </c:pt>
                <c:pt idx="31">
                  <c:v>28.1</c:v>
                </c:pt>
                <c:pt idx="32">
                  <c:v>28.2</c:v>
                </c:pt>
                <c:pt idx="33">
                  <c:v>28.4</c:v>
                </c:pt>
                <c:pt idx="34">
                  <c:v>28.5</c:v>
                </c:pt>
                <c:pt idx="35">
                  <c:v>28.6</c:v>
                </c:pt>
                <c:pt idx="36">
                  <c:v>28.8</c:v>
                </c:pt>
                <c:pt idx="37">
                  <c:v>28.9</c:v>
                </c:pt>
                <c:pt idx="38">
                  <c:v>29</c:v>
                </c:pt>
                <c:pt idx="39">
                  <c:v>29.2</c:v>
                </c:pt>
                <c:pt idx="40">
                  <c:v>29.3</c:v>
                </c:pt>
                <c:pt idx="41">
                  <c:v>29.3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A5-4D2B-8BBA-65224A466CBD}"/>
            </c:ext>
          </c:extLst>
        </c:ser>
        <c:ser>
          <c:idx val="3"/>
          <c:order val="3"/>
          <c:tx>
            <c:strRef>
              <c:f>Planilha5!$E$4</c:f>
              <c:strCache>
                <c:ptCount val="1"/>
                <c:pt idx="0">
                  <c:v>Obesidade</c:v>
                </c:pt>
              </c:strCache>
            </c:strRef>
          </c:tx>
          <c:marker>
            <c:symbol val="none"/>
          </c:marker>
          <c:xVal>
            <c:numRef>
              <c:f>Planilha5!$B$5:$B$46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Planilha5!$E$5:$E$46</c:f>
              <c:numCache>
                <c:formatCode>General</c:formatCode>
                <c:ptCount val="4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30.2</c:v>
                </c:pt>
                <c:pt idx="8">
                  <c:v>30.2</c:v>
                </c:pt>
                <c:pt idx="9">
                  <c:v>30.3</c:v>
                </c:pt>
                <c:pt idx="10">
                  <c:v>30.4</c:v>
                </c:pt>
                <c:pt idx="11">
                  <c:v>30.4</c:v>
                </c:pt>
                <c:pt idx="12">
                  <c:v>30.5</c:v>
                </c:pt>
                <c:pt idx="13">
                  <c:v>30.6</c:v>
                </c:pt>
                <c:pt idx="14">
                  <c:v>30.7</c:v>
                </c:pt>
                <c:pt idx="15">
                  <c:v>30.8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31.1</c:v>
                </c:pt>
                <c:pt idx="20">
                  <c:v>31.2</c:v>
                </c:pt>
                <c:pt idx="21">
                  <c:v>31.3</c:v>
                </c:pt>
                <c:pt idx="22">
                  <c:v>31.4</c:v>
                </c:pt>
                <c:pt idx="23">
                  <c:v>31.6</c:v>
                </c:pt>
                <c:pt idx="24">
                  <c:v>31.7</c:v>
                </c:pt>
                <c:pt idx="25">
                  <c:v>31.8</c:v>
                </c:pt>
                <c:pt idx="26">
                  <c:v>31.9</c:v>
                </c:pt>
                <c:pt idx="27">
                  <c:v>32</c:v>
                </c:pt>
                <c:pt idx="28">
                  <c:v>32.1</c:v>
                </c:pt>
                <c:pt idx="29">
                  <c:v>32.200000000000003</c:v>
                </c:pt>
                <c:pt idx="30">
                  <c:v>32.299999999999997</c:v>
                </c:pt>
                <c:pt idx="31">
                  <c:v>32.4</c:v>
                </c:pt>
                <c:pt idx="32">
                  <c:v>32.5</c:v>
                </c:pt>
                <c:pt idx="33">
                  <c:v>32.6</c:v>
                </c:pt>
                <c:pt idx="34">
                  <c:v>32.700000000000003</c:v>
                </c:pt>
                <c:pt idx="35">
                  <c:v>32.799999999999997</c:v>
                </c:pt>
                <c:pt idx="36">
                  <c:v>32.9</c:v>
                </c:pt>
                <c:pt idx="37">
                  <c:v>33</c:v>
                </c:pt>
                <c:pt idx="38">
                  <c:v>33.1</c:v>
                </c:pt>
                <c:pt idx="39">
                  <c:v>33.200000000000003</c:v>
                </c:pt>
                <c:pt idx="40">
                  <c:v>33.299999999999997</c:v>
                </c:pt>
                <c:pt idx="41">
                  <c:v>33.299999999999997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A5-4D2B-8BBA-65224A466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Planilha5!$G$4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yVal>
                  <c:numRef>
                    <c:extLst>
                      <c:ext uri="{02D57815-91ED-43cb-92C2-25804820EDAC}">
                        <c15:formulaRef>
                          <c15:sqref>Planilha5!$G$5:$G$46</c15:sqref>
                        </c15:formulaRef>
                      </c:ext>
                    </c:extLst>
                    <c:numCache>
                      <c:formatCode>General</c:formatCode>
                      <c:ptCount val="42"/>
                      <c:pt idx="0">
                        <c:v>18.7</c:v>
                      </c:pt>
                      <c:pt idx="1">
                        <c:v>22.5</c:v>
                      </c:pt>
                      <c:pt idx="2">
                        <c:v>22.8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A5-4D2B-8BBA-65224A466CB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4"/>
          <c:tx>
            <c:strRef>
              <c:f>Planilha5!$F$4</c:f>
              <c:strCache>
                <c:ptCount val="1"/>
                <c:pt idx="0">
                  <c:v>x</c:v>
                </c:pt>
              </c:strCache>
            </c:strRef>
          </c:tx>
          <c:spPr>
            <a:ln w="25400">
              <a:noFill/>
            </a:ln>
            <a:effectLst>
              <a:glow rad="76200">
                <a:schemeClr val="accent1"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effectLst>
                <a:glow rad="76200">
                  <a:schemeClr val="accent1"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Planilha5!$F$5:$F$24</c:f>
              <c:numCache>
                <c:formatCode>General</c:formatCode>
                <c:ptCount val="20"/>
                <c:pt idx="0">
                  <c:v>4.8571428571428568</c:v>
                </c:pt>
                <c:pt idx="1">
                  <c:v>9.1428571428571423</c:v>
                </c:pt>
                <c:pt idx="2">
                  <c:v>10.571428571428571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Planilha5!$G$5:$G$24</c:f>
              <c:numCache>
                <c:formatCode>General</c:formatCode>
                <c:ptCount val="20"/>
                <c:pt idx="0">
                  <c:v>18.7</c:v>
                </c:pt>
                <c:pt idx="1">
                  <c:v>22.5</c:v>
                </c:pt>
                <c:pt idx="2">
                  <c:v>22.8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A5-4D2B-8BBA-65224A466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</c:scatterChart>
      <c:catAx>
        <c:axId val="144879673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5868943"/>
        <c:crosses val="autoZero"/>
        <c:auto val="1"/>
        <c:lblAlgn val="ctr"/>
        <c:lblOffset val="100"/>
        <c:noMultiLvlLbl val="0"/>
      </c:catAx>
      <c:valAx>
        <c:axId val="185868943"/>
        <c:scaling>
          <c:orientation val="minMax"/>
          <c:max val="45"/>
          <c:min val="10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1448796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Pressão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796736"/>
        <c:axId val="18586894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7676-4B80-BEF5-4D25DA6F561B}"/>
                  </c:ext>
                </c:extLst>
              </c15:ser>
            </c15:filteredBarSeries>
          </c:ext>
        </c:extLst>
      </c:barChart>
      <c:scatterChart>
        <c:scatterStyle val="smoothMarker"/>
        <c:varyColors val="0"/>
        <c:ser>
          <c:idx val="1"/>
          <c:order val="1"/>
          <c:tx>
            <c:strRef>
              <c:f>Pressao!$B$3</c:f>
              <c:strCache>
                <c:ptCount val="1"/>
                <c:pt idx="0">
                  <c:v>Di&lt;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Pressao!$B$4:$B$45</c:f>
              <c:numCache>
                <c:formatCode>General</c:formatCode>
                <c:ptCount val="42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76-4B80-BEF5-4D25DA6F561B}"/>
            </c:ext>
          </c:extLst>
        </c:ser>
        <c:ser>
          <c:idx val="2"/>
          <c:order val="2"/>
          <c:tx>
            <c:strRef>
              <c:f>Pressao!$C$3</c:f>
              <c:strCache>
                <c:ptCount val="1"/>
                <c:pt idx="0">
                  <c:v>DI&gt;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Pressao!$C$4:$C$45</c:f>
              <c:numCache>
                <c:formatCode>General</c:formatCode>
                <c:ptCount val="42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76-4B80-BEF5-4D25DA6F561B}"/>
            </c:ext>
          </c:extLst>
        </c:ser>
        <c:ser>
          <c:idx val="3"/>
          <c:order val="3"/>
          <c:tx>
            <c:strRef>
              <c:f>Pressao!$D$3</c:f>
              <c:strCache>
                <c:ptCount val="1"/>
                <c:pt idx="0">
                  <c:v>SI&lt;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Pressao!$D$4:$D$45</c:f>
              <c:numCache>
                <c:formatCode>General</c:formatCode>
                <c:ptCount val="42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76-4B80-BEF5-4D25DA6F561B}"/>
            </c:ext>
          </c:extLst>
        </c:ser>
        <c:ser>
          <c:idx val="5"/>
          <c:order val="5"/>
          <c:tx>
            <c:strRef>
              <c:f>Pressao!$H$2</c:f>
              <c:strCache>
                <c:ptCount val="1"/>
                <c:pt idx="0">
                  <c:v>dias</c:v>
                </c:pt>
              </c:strCache>
            </c:strRef>
          </c:tx>
          <c:spPr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65100"/>
            </a:effectLst>
          </c:spPr>
          <c:marker>
            <c:symbol val="triangle"/>
            <c:size val="5"/>
            <c:spPr>
              <a:solidFill>
                <a:schemeClr val="accent1"/>
              </a:solidFill>
            </c:spPr>
          </c:marker>
          <c:xVal>
            <c:numRef>
              <c:f>Pressao!$F$4:$F$23</c:f>
              <c:numCache>
                <c:formatCode>General</c:formatCode>
                <c:ptCount val="20"/>
                <c:pt idx="0">
                  <c:v>30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Pressao!$H$4:$H$23</c:f>
              <c:numCache>
                <c:formatCode>General</c:formatCode>
                <c:ptCount val="20"/>
                <c:pt idx="0">
                  <c:v>130</c:v>
                </c:pt>
                <c:pt idx="1">
                  <c:v>43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676-4B80-BEF5-4D25DA6F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  <c:extLst/>
      </c:scatterChart>
      <c:scatterChart>
        <c:scatterStyle val="lineMarker"/>
        <c:varyColors val="0"/>
        <c:ser>
          <c:idx val="4"/>
          <c:order val="4"/>
          <c:tx>
            <c:strRef>
              <c:f>Pressao!$F$2</c:f>
              <c:strCache>
                <c:ptCount val="1"/>
                <c:pt idx="0">
                  <c:v>SIS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</c:spPr>
          </c:marker>
          <c:xVal>
            <c:numRef>
              <c:f>Pressao!$F$4:$F$23</c:f>
              <c:numCache>
                <c:formatCode>General</c:formatCode>
                <c:ptCount val="20"/>
                <c:pt idx="0">
                  <c:v>30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Pressao!$G$4:$G$23</c:f>
              <c:numCache>
                <c:formatCode>General</c:formatCode>
                <c:ptCount val="20"/>
                <c:pt idx="0">
                  <c:v>100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76-4B80-BEF5-4D25DA6F561B}"/>
            </c:ext>
          </c:extLst>
        </c:ser>
        <c:ser>
          <c:idx val="6"/>
          <c:order val="6"/>
          <c:tx>
            <c:strRef>
              <c:f>Pressao!$E$3</c:f>
              <c:strCache>
                <c:ptCount val="1"/>
                <c:pt idx="0">
                  <c:v>SI&gt;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Pressao!$E$4:$E$45</c:f>
              <c:numCache>
                <c:formatCode>General</c:formatCode>
                <c:ptCount val="4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160</c:v>
                </c:pt>
                <c:pt idx="14">
                  <c:v>160</c:v>
                </c:pt>
                <c:pt idx="15">
                  <c:v>160</c:v>
                </c:pt>
                <c:pt idx="16">
                  <c:v>160</c:v>
                </c:pt>
                <c:pt idx="17">
                  <c:v>160</c:v>
                </c:pt>
                <c:pt idx="18">
                  <c:v>160</c:v>
                </c:pt>
                <c:pt idx="19">
                  <c:v>160</c:v>
                </c:pt>
                <c:pt idx="20">
                  <c:v>160</c:v>
                </c:pt>
                <c:pt idx="21">
                  <c:v>160</c:v>
                </c:pt>
                <c:pt idx="22">
                  <c:v>160</c:v>
                </c:pt>
                <c:pt idx="23">
                  <c:v>160</c:v>
                </c:pt>
                <c:pt idx="24">
                  <c:v>160</c:v>
                </c:pt>
                <c:pt idx="25">
                  <c:v>160</c:v>
                </c:pt>
                <c:pt idx="26">
                  <c:v>160</c:v>
                </c:pt>
                <c:pt idx="27">
                  <c:v>160</c:v>
                </c:pt>
                <c:pt idx="28">
                  <c:v>160</c:v>
                </c:pt>
                <c:pt idx="29">
                  <c:v>160</c:v>
                </c:pt>
                <c:pt idx="30">
                  <c:v>160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76-4B80-BEF5-4D25DA6F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</c:scatterChart>
      <c:catAx>
        <c:axId val="144879673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5868943"/>
        <c:crosses val="autoZero"/>
        <c:auto val="1"/>
        <c:lblAlgn val="ctr"/>
        <c:lblOffset val="100"/>
        <c:noMultiLvlLbl val="0"/>
      </c:catAx>
      <c:valAx>
        <c:axId val="185868943"/>
        <c:scaling>
          <c:orientation val="minMax"/>
          <c:max val="200"/>
          <c:min val="10"/>
        </c:scaling>
        <c:delete val="0"/>
        <c:axPos val="l"/>
        <c:majorGridlines>
          <c:spPr>
            <a:effectLst/>
          </c:spPr>
        </c:majorGridlines>
        <c:numFmt formatCode="0" sourceLinked="1"/>
        <c:majorTickMark val="none"/>
        <c:minorTickMark val="none"/>
        <c:tickLblPos val="nextTo"/>
        <c:crossAx val="1448796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Peso Materno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796736"/>
        <c:axId val="18586894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Planilha5!$B$4</c15:sqref>
                        </c15:formulaRef>
                      </c:ext>
                    </c:extLst>
                    <c:strCache>
                      <c:ptCount val="1"/>
                      <c:pt idx="0">
                        <c:v>IG</c:v>
                      </c:pt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Planilha5!$B$5:$B$46</c15:sqref>
                        </c15:formulaRef>
                      </c:ext>
                    </c:extLst>
                    <c:numCache>
                      <c:formatCode>0</c:formatCode>
                      <c:ptCount val="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5DA-480C-A247-6409872AE6D2}"/>
                  </c:ext>
                </c:extLst>
              </c15:ser>
            </c15:filteredBarSeries>
          </c:ext>
        </c:extLst>
      </c:barChart>
      <c:scatterChart>
        <c:scatterStyle val="smoothMarker"/>
        <c:varyColors val="0"/>
        <c:ser>
          <c:idx val="1"/>
          <c:order val="1"/>
          <c:tx>
            <c:strRef>
              <c:f>Pressao!$B$3</c:f>
              <c:strCache>
                <c:ptCount val="1"/>
                <c:pt idx="0">
                  <c:v>Di&lt;</c:v>
                </c:pt>
              </c:strCache>
            </c:strRef>
          </c:tx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Pressao!$B$4:$B$45</c:f>
              <c:numCache>
                <c:formatCode>General</c:formatCode>
                <c:ptCount val="42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DA-480C-A247-6409872AE6D2}"/>
            </c:ext>
          </c:extLst>
        </c:ser>
        <c:ser>
          <c:idx val="2"/>
          <c:order val="2"/>
          <c:tx>
            <c:strRef>
              <c:f>Pressao!$C$3</c:f>
              <c:strCache>
                <c:ptCount val="1"/>
                <c:pt idx="0">
                  <c:v>DI&gt;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Pressao!$C$4:$C$45</c:f>
              <c:numCache>
                <c:formatCode>General</c:formatCode>
                <c:ptCount val="42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DA-480C-A247-6409872AE6D2}"/>
            </c:ext>
          </c:extLst>
        </c:ser>
        <c:ser>
          <c:idx val="3"/>
          <c:order val="3"/>
          <c:tx>
            <c:strRef>
              <c:f>Pressao!$D$3</c:f>
              <c:strCache>
                <c:ptCount val="1"/>
                <c:pt idx="0">
                  <c:v>SI&lt;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Pressao!$A$4:$A$45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Pressao!$D$4:$D$45</c:f>
              <c:numCache>
                <c:formatCode>General</c:formatCode>
                <c:ptCount val="42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DA-480C-A247-6409872AE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Planilha5!$G$4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spPr>
                  <a:ln w="25400"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>
                      <a:solidFill>
                        <a:schemeClr val="tx1">
                          <a:lumMod val="15000"/>
                          <a:lumOff val="85000"/>
                        </a:schemeClr>
                      </a:solidFill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Planilha5!$G$5:$G$46</c15:sqref>
                        </c15:formulaRef>
                      </c:ext>
                    </c:extLst>
                    <c:numCache>
                      <c:formatCode>General</c:formatCode>
                      <c:ptCount val="42"/>
                      <c:pt idx="0">
                        <c:v>18.7</c:v>
                      </c:pt>
                      <c:pt idx="1">
                        <c:v>22.5</c:v>
                      </c:pt>
                      <c:pt idx="2">
                        <c:v>22.8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5DA-480C-A247-6409872AE6D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4"/>
          <c:tx>
            <c:strRef>
              <c:f>Pressao!$F$2</c:f>
              <c:strCache>
                <c:ptCount val="1"/>
                <c:pt idx="0">
                  <c:v>SIS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Pressao!$F$4:$F$23</c:f>
              <c:numCache>
                <c:formatCode>General</c:formatCode>
                <c:ptCount val="20"/>
                <c:pt idx="0">
                  <c:v>30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Pressao!$G$4:$G$23</c:f>
              <c:numCache>
                <c:formatCode>General</c:formatCode>
                <c:ptCount val="20"/>
                <c:pt idx="0">
                  <c:v>100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DA-480C-A247-6409872AE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96736"/>
        <c:axId val="185868943"/>
      </c:scatterChart>
      <c:catAx>
        <c:axId val="144879673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5868943"/>
        <c:crosses val="autoZero"/>
        <c:auto val="1"/>
        <c:lblAlgn val="ctr"/>
        <c:lblOffset val="100"/>
        <c:noMultiLvlLbl val="0"/>
      </c:catAx>
      <c:valAx>
        <c:axId val="185868943"/>
        <c:scaling>
          <c:orientation val="minMax"/>
          <c:max val="45"/>
          <c:min val="10"/>
        </c:scaling>
        <c:delete val="0"/>
        <c:axPos val="l"/>
        <c:majorGridlines>
          <c:spPr>
            <a:effectLst/>
          </c:spPr>
        </c:majorGridlines>
        <c:numFmt formatCode="0" sourceLinked="1"/>
        <c:majorTickMark val="none"/>
        <c:minorTickMark val="none"/>
        <c:tickLblPos val="nextTo"/>
        <c:crossAx val="1448796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microsoft.com/office/2007/relationships/hdphoto" Target="../media/hdphoto1.wdp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26</xdr:row>
          <xdr:rowOff>190500</xdr:rowOff>
        </xdr:from>
        <xdr:to>
          <xdr:col>4</xdr:col>
          <xdr:colOff>161925</xdr:colOff>
          <xdr:row>76</xdr:row>
          <xdr:rowOff>123825</xdr:rowOff>
        </xdr:to>
        <xdr:sp macro="" textlink="">
          <xdr:nvSpPr>
            <xdr:cNvPr id="1025" name="Lis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190500</xdr:rowOff>
        </xdr:from>
        <xdr:to>
          <xdr:col>7</xdr:col>
          <xdr:colOff>95250</xdr:colOff>
          <xdr:row>42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59267</xdr:colOff>
      <xdr:row>6</xdr:row>
      <xdr:rowOff>0</xdr:rowOff>
    </xdr:from>
    <xdr:to>
      <xdr:col>58</xdr:col>
      <xdr:colOff>289982</xdr:colOff>
      <xdr:row>72</xdr:row>
      <xdr:rowOff>110067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59267</xdr:colOff>
      <xdr:row>20</xdr:row>
      <xdr:rowOff>12697</xdr:rowOff>
    </xdr:from>
    <xdr:to>
      <xdr:col>55</xdr:col>
      <xdr:colOff>289982</xdr:colOff>
      <xdr:row>43</xdr:row>
      <xdr:rowOff>46567</xdr:rowOff>
    </xdr:to>
    <xdr:graphicFrame macro="">
      <xdr:nvGraphicFramePr>
        <xdr:cNvPr id="2" name="Gráfico 9">
          <a:extLst>
            <a:ext uri="{FF2B5EF4-FFF2-40B4-BE49-F238E27FC236}">
              <a16:creationId xmlns:a16="http://schemas.microsoft.com/office/drawing/2014/main" id="{36978AB6-5F7A-4A13-BBA1-5AFCE92A3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639596</xdr:colOff>
      <xdr:row>0</xdr:row>
      <xdr:rowOff>55033</xdr:rowOff>
    </xdr:from>
    <xdr:to>
      <xdr:col>10</xdr:col>
      <xdr:colOff>42333</xdr:colOff>
      <xdr:row>2</xdr:row>
      <xdr:rowOff>52541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16457B-D446-46E8-94A7-B0E218BA6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66366"/>
        <a:stretch/>
      </xdr:blipFill>
      <xdr:spPr>
        <a:xfrm>
          <a:off x="791996" y="55033"/>
          <a:ext cx="1968137" cy="2896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12700</xdr:rowOff>
    </xdr:from>
    <xdr:to>
      <xdr:col>1</xdr:col>
      <xdr:colOff>668865</xdr:colOff>
      <xdr:row>3</xdr:row>
      <xdr:rowOff>175134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C168AE9-705A-4ACB-BD19-0B3162DD1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2700"/>
          <a:ext cx="821265" cy="6640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22</xdr:row>
      <xdr:rowOff>47625</xdr:rowOff>
    </xdr:from>
    <xdr:to>
      <xdr:col>18</xdr:col>
      <xdr:colOff>295275</xdr:colOff>
      <xdr:row>44</xdr:row>
      <xdr:rowOff>71437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304800</xdr:colOff>
      <xdr:row>18</xdr:row>
      <xdr:rowOff>114300</xdr:rowOff>
    </xdr:from>
    <xdr:to>
      <xdr:col>24</xdr:col>
      <xdr:colOff>0</xdr:colOff>
      <xdr:row>33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234950</xdr:colOff>
      <xdr:row>37</xdr:row>
      <xdr:rowOff>19050</xdr:rowOff>
    </xdr:from>
    <xdr:to>
      <xdr:col>23</xdr:col>
      <xdr:colOff>120650</xdr:colOff>
      <xdr:row>52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590550</xdr:colOff>
      <xdr:row>19</xdr:row>
      <xdr:rowOff>101600</xdr:rowOff>
    </xdr:from>
    <xdr:to>
      <xdr:col>28</xdr:col>
      <xdr:colOff>88900</xdr:colOff>
      <xdr:row>41</xdr:row>
      <xdr:rowOff>12701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47626</xdr:colOff>
      <xdr:row>0</xdr:row>
      <xdr:rowOff>114300</xdr:rowOff>
    </xdr:from>
    <xdr:to>
      <xdr:col>39</xdr:col>
      <xdr:colOff>876300</xdr:colOff>
      <xdr:row>19</xdr:row>
      <xdr:rowOff>138113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47625</xdr:colOff>
      <xdr:row>3</xdr:row>
      <xdr:rowOff>85726</xdr:rowOff>
    </xdr:from>
    <xdr:ext cx="2823752" cy="704850"/>
    <xdr:pic>
      <xdr:nvPicPr>
        <xdr:cNvPr id="3" name="Imagem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2925" y="257176"/>
          <a:ext cx="2823752" cy="70485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7</xdr:row>
      <xdr:rowOff>66674</xdr:rowOff>
    </xdr:from>
    <xdr:to>
      <xdr:col>13</xdr:col>
      <xdr:colOff>400050</xdr:colOff>
      <xdr:row>41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88900</xdr:colOff>
      <xdr:row>21</xdr:row>
      <xdr:rowOff>127000</xdr:rowOff>
    </xdr:from>
    <xdr:to>
      <xdr:col>27</xdr:col>
      <xdr:colOff>203200</xdr:colOff>
      <xdr:row>39</xdr:row>
      <xdr:rowOff>158749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21</xdr:row>
      <xdr:rowOff>155574</xdr:rowOff>
    </xdr:from>
    <xdr:to>
      <xdr:col>17</xdr:col>
      <xdr:colOff>25400</xdr:colOff>
      <xdr:row>41</xdr:row>
      <xdr:rowOff>120650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95250</xdr:colOff>
      <xdr:row>16</xdr:row>
      <xdr:rowOff>149224</xdr:rowOff>
    </xdr:from>
    <xdr:to>
      <xdr:col>23</xdr:col>
      <xdr:colOff>165100</xdr:colOff>
      <xdr:row>45</xdr:row>
      <xdr:rowOff>6349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139700</xdr:colOff>
      <xdr:row>28</xdr:row>
      <xdr:rowOff>0</xdr:rowOff>
    </xdr:from>
    <xdr:to>
      <xdr:col>32</xdr:col>
      <xdr:colOff>146050</xdr:colOff>
      <xdr:row>29</xdr:row>
      <xdr:rowOff>44450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5857D0A-7DCF-21E9-A4FE-7DFE06FE0A99}"/>
            </a:ext>
          </a:extLst>
        </xdr:cNvPr>
        <xdr:cNvSpPr/>
      </xdr:nvSpPr>
      <xdr:spPr>
        <a:xfrm>
          <a:off x="2901950" y="5416550"/>
          <a:ext cx="3136900" cy="36195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22</xdr:col>
      <xdr:colOff>176232</xdr:colOff>
      <xdr:row>13</xdr:row>
      <xdr:rowOff>28104</xdr:rowOff>
    </xdr:from>
    <xdr:to>
      <xdr:col>27</xdr:col>
      <xdr:colOff>42184</xdr:colOff>
      <xdr:row>17</xdr:row>
      <xdr:rowOff>172122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643DF1D-274C-3B6D-9F22-3C2C5CDFF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250292">
          <a:off x="4227532" y="2422054"/>
          <a:ext cx="786702" cy="880618"/>
        </a:xfrm>
        <a:prstGeom prst="rect">
          <a:avLst/>
        </a:prstGeom>
      </xdr:spPr>
    </xdr:pic>
    <xdr:clientData/>
  </xdr:twoCellAnchor>
  <xdr:twoCellAnchor editAs="oneCell">
    <xdr:from>
      <xdr:col>18</xdr:col>
      <xdr:colOff>127635</xdr:colOff>
      <xdr:row>20</xdr:row>
      <xdr:rowOff>25401</xdr:rowOff>
    </xdr:from>
    <xdr:to>
      <xdr:col>33</xdr:col>
      <xdr:colOff>95250</xdr:colOff>
      <xdr:row>25</xdr:row>
      <xdr:rowOff>48565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74BCBEF-A221-B7C0-3D3C-D9B3BAD0A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2335" y="3708401"/>
          <a:ext cx="2729865" cy="115346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36</xdr:col>
      <xdr:colOff>57150</xdr:colOff>
      <xdr:row>0</xdr:row>
      <xdr:rowOff>63501</xdr:rowOff>
    </xdr:from>
    <xdr:to>
      <xdr:col>53</xdr:col>
      <xdr:colOff>69850</xdr:colOff>
      <xdr:row>4</xdr:row>
      <xdr:rowOff>93548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6D206D7-8121-DE3E-1B3F-3E2FAEED4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86550" y="63501"/>
          <a:ext cx="3143250" cy="766647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36</xdr:col>
      <xdr:colOff>107950</xdr:colOff>
      <xdr:row>25</xdr:row>
      <xdr:rowOff>12700</xdr:rowOff>
    </xdr:from>
    <xdr:to>
      <xdr:col>53</xdr:col>
      <xdr:colOff>114300</xdr:colOff>
      <xdr:row>30</xdr:row>
      <xdr:rowOff>6350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ABF176D9-EF13-401C-AD13-2E16D72862E0}"/>
            </a:ext>
          </a:extLst>
        </xdr:cNvPr>
        <xdr:cNvSpPr/>
      </xdr:nvSpPr>
      <xdr:spPr>
        <a:xfrm>
          <a:off x="6737350" y="4826000"/>
          <a:ext cx="3136900" cy="91440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pt-BR" sz="1600" kern="1200"/>
        </a:p>
      </xdr:txBody>
    </xdr:sp>
    <xdr:clientData/>
  </xdr:twoCellAnchor>
  <xdr:twoCellAnchor editAs="oneCell">
    <xdr:from>
      <xdr:col>36</xdr:col>
      <xdr:colOff>78318</xdr:colOff>
      <xdr:row>6</xdr:row>
      <xdr:rowOff>50800</xdr:rowOff>
    </xdr:from>
    <xdr:to>
      <xdr:col>52</xdr:col>
      <xdr:colOff>165100</xdr:colOff>
      <xdr:row>23</xdr:row>
      <xdr:rowOff>163326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F9FDCE-421A-4EE0-8DF6-9E9889F6C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7718" y="1155700"/>
          <a:ext cx="3033182" cy="3243076"/>
        </a:xfrm>
        <a:prstGeom prst="rect">
          <a:avLst/>
        </a:prstGeom>
      </xdr:spPr>
    </xdr:pic>
    <xdr:clientData/>
  </xdr:twoCellAnchor>
  <xdr:twoCellAnchor>
    <xdr:from>
      <xdr:col>2</xdr:col>
      <xdr:colOff>69850</xdr:colOff>
      <xdr:row>2</xdr:row>
      <xdr:rowOff>95250</xdr:rowOff>
    </xdr:from>
    <xdr:to>
      <xdr:col>21</xdr:col>
      <xdr:colOff>6350</xdr:colOff>
      <xdr:row>23</xdr:row>
      <xdr:rowOff>120650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DFB0E7D-48D0-8B54-F64C-6511F7D39201}"/>
            </a:ext>
          </a:extLst>
        </xdr:cNvPr>
        <xdr:cNvGrpSpPr/>
      </xdr:nvGrpSpPr>
      <xdr:grpSpPr>
        <a:xfrm>
          <a:off x="412750" y="476250"/>
          <a:ext cx="3194050" cy="4025900"/>
          <a:chOff x="11163300" y="1371600"/>
          <a:chExt cx="3435350" cy="3683000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4E33F88-E08E-8B9D-5093-A4FA5856F08B}"/>
              </a:ext>
            </a:extLst>
          </xdr:cNvPr>
          <xdr:cNvSpPr/>
        </xdr:nvSpPr>
        <xdr:spPr>
          <a:xfrm>
            <a:off x="11163300" y="1371600"/>
            <a:ext cx="3435350" cy="368300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CBB0D20E-7743-9468-773B-7A3A5859410A}"/>
              </a:ext>
            </a:extLst>
          </xdr:cNvPr>
          <xdr:cNvSpPr/>
        </xdr:nvSpPr>
        <xdr:spPr>
          <a:xfrm>
            <a:off x="11290300" y="1498600"/>
            <a:ext cx="3206750" cy="33909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</xdr:grpSp>
    <xdr:clientData/>
  </xdr:twoCellAnchor>
  <xdr:twoCellAnchor>
    <xdr:from>
      <xdr:col>35</xdr:col>
      <xdr:colOff>146050</xdr:colOff>
      <xdr:row>5</xdr:row>
      <xdr:rowOff>146050</xdr:rowOff>
    </xdr:from>
    <xdr:to>
      <xdr:col>53</xdr:col>
      <xdr:colOff>38100</xdr:colOff>
      <xdr:row>24</xdr:row>
      <xdr:rowOff>114300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47E38FCC-05D4-EFEB-EF43-FBB19C2FD48C}"/>
            </a:ext>
          </a:extLst>
        </xdr:cNvPr>
        <xdr:cNvSpPr/>
      </xdr:nvSpPr>
      <xdr:spPr>
        <a:xfrm>
          <a:off x="6591300" y="1066800"/>
          <a:ext cx="3206750" cy="3467100"/>
        </a:xfrm>
        <a:prstGeom prst="roundRect">
          <a:avLst/>
        </a:prstGeom>
        <a:noFill/>
        <a:ln w="21272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36</xdr:col>
      <xdr:colOff>114299</xdr:colOff>
      <xdr:row>32</xdr:row>
      <xdr:rowOff>57150</xdr:rowOff>
    </xdr:from>
    <xdr:to>
      <xdr:col>53</xdr:col>
      <xdr:colOff>158750</xdr:colOff>
      <xdr:row>36</xdr:row>
      <xdr:rowOff>76200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6C2BF45-7FE4-D8E8-AB27-7076A7F702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rcRect l="10004" r="9317"/>
        <a:stretch/>
      </xdr:blipFill>
      <xdr:spPr>
        <a:xfrm>
          <a:off x="6743699" y="6159500"/>
          <a:ext cx="3175001" cy="7556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oneCellAnchor>
    <xdr:from>
      <xdr:col>36</xdr:col>
      <xdr:colOff>114300</xdr:colOff>
      <xdr:row>33</xdr:row>
      <xdr:rowOff>44450</xdr:rowOff>
    </xdr:from>
    <xdr:ext cx="2990850" cy="342786"/>
    <xdr:sp macro="" textlink="$AO$31">
      <xdr:nvSpPr>
        <xdr:cNvPr id="21" name="TextBox 20">
          <a:extLst>
            <a:ext uri="{FF2B5EF4-FFF2-40B4-BE49-F238E27FC236}">
              <a16:creationId xmlns:a16="http://schemas.microsoft.com/office/drawing/2014/main" id="{5C24D657-5168-A95D-8390-2F7CD851165A}"/>
            </a:ext>
          </a:extLst>
        </xdr:cNvPr>
        <xdr:cNvSpPr txBox="1"/>
      </xdr:nvSpPr>
      <xdr:spPr>
        <a:xfrm>
          <a:off x="6743700" y="6330950"/>
          <a:ext cx="299085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1">
          <a:spAutoFit/>
        </a:bodyPr>
        <a:lstStyle/>
        <a:p>
          <a:fld id="{4092725D-4A90-4B98-8257-9DE94D9CC735}" type="TxLink">
            <a:rPr lang="en-US" sz="1600" b="0" i="0" u="none" strike="noStrike" kern="1200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BebÊ da MÃE Dinà</a:t>
          </a:fld>
          <a:endParaRPr lang="pt-BR" sz="1100" kern="12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228600</xdr:colOff>
      <xdr:row>10</xdr:row>
      <xdr:rowOff>6350</xdr:rowOff>
    </xdr:from>
    <xdr:to>
      <xdr:col>26</xdr:col>
      <xdr:colOff>129115</xdr:colOff>
      <xdr:row>44</xdr:row>
      <xdr:rowOff>19050</xdr:rowOff>
    </xdr:to>
    <xdr:graphicFrame macro="">
      <xdr:nvGraphicFramePr>
        <xdr:cNvPr id="2" name="Gráfico 9">
          <a:extLst>
            <a:ext uri="{FF2B5EF4-FFF2-40B4-BE49-F238E27FC236}">
              <a16:creationId xmlns:a16="http://schemas.microsoft.com/office/drawing/2014/main" id="{69C73333-1439-4F1F-BAA9-13751FEA7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254000</xdr:colOff>
      <xdr:row>10</xdr:row>
      <xdr:rowOff>0</xdr:rowOff>
    </xdr:from>
    <xdr:to>
      <xdr:col>25</xdr:col>
      <xdr:colOff>154515</xdr:colOff>
      <xdr:row>44</xdr:row>
      <xdr:rowOff>12700</xdr:rowOff>
    </xdr:to>
    <xdr:graphicFrame macro="">
      <xdr:nvGraphicFramePr>
        <xdr:cNvPr id="2" name="Gráfico 9">
          <a:extLst>
            <a:ext uri="{FF2B5EF4-FFF2-40B4-BE49-F238E27FC236}">
              <a16:creationId xmlns:a16="http://schemas.microsoft.com/office/drawing/2014/main" id="{859CC77B-3959-437E-B2B9-47C18E2B7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besidade e gestacao" connectionId="1" xr16:uid="{5DF200E0-BF56-4846-9CC7-A966E64BDB82}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A544E2-C1CF-4E5C-8011-01503CCCDC88}" name="pesomat" displayName="pesomat" ref="B4:E46" totalsRowShown="0">
  <autoFilter ref="B4:E46" xr:uid="{51A544E2-C1CF-4E5C-8011-01503CCCDC88}"/>
  <tableColumns count="4">
    <tableColumn id="1" xr3:uid="{28ADC3F1-3E4C-4C5F-9949-A377910D9B68}" name="IG" dataDxfId="2"/>
    <tableColumn id="2" xr3:uid="{9CB4E411-43EB-4313-B063-B73B63A36406}" name="Peso adequado"/>
    <tableColumn id="3" xr3:uid="{588D7A15-0CFA-4217-819B-40D02677BB9A}" name="Sobrepeso"/>
    <tableColumn id="4" xr3:uid="{8029602E-CE98-41CF-A401-474BD2E79536}" name="Obesid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A325E-CEE7-4430-B7FC-90A26CD37DAB}" name="pesomat3" displayName="pesomat3" ref="A3:E45" totalsRowShown="0">
  <autoFilter ref="A3:E45" xr:uid="{7ACA325E-CEE7-4430-B7FC-90A26CD37DAB}"/>
  <tableColumns count="5">
    <tableColumn id="1" xr3:uid="{8A005A6E-4A0C-4CA5-BA2A-5020469787D8}" name="IG" dataDxfId="1"/>
    <tableColumn id="2" xr3:uid="{6DBC6E0E-D854-42ED-B416-93034E2710D8}" name="Di&lt;"/>
    <tableColumn id="3" xr3:uid="{6D970815-80B6-4516-B738-4BF3842589AC}" name="DI&gt;"/>
    <tableColumn id="4" xr3:uid="{DA44D3B4-6A33-4591-B868-5D3E18F9A0EB}" name="SI&lt;"/>
    <tableColumn id="5" xr3:uid="{C3CBEF67-152C-4291-A15A-93D26492116D}" name="SI&gt;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120ECE-E7DB-40DD-A213-4652C7645321}" name="pesomat34" displayName="pesomat34" ref="A3:D45" totalsRowShown="0">
  <autoFilter ref="A3:D45" xr:uid="{E6120ECE-E7DB-40DD-A213-4652C7645321}"/>
  <tableColumns count="4">
    <tableColumn id="1" xr3:uid="{4BD8788A-6252-430E-AABE-A1B9E298E36D}" name="IG" dataDxfId="0"/>
    <tableColumn id="2" xr3:uid="{507082BC-0DB6-4C61-9FAB-C02EF25BD8B0}" name="Peso adequado"/>
    <tableColumn id="3" xr3:uid="{554AF3EB-75D1-4ABF-812D-8D14C89E5904}" name="Sobrepeso"/>
    <tableColumn id="4" xr3:uid="{216C9012-C0F9-4961-A854-6C78EC8EB096}" name="Obesid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6E99FB0-46B0-4A71-B8BF-C0997FCCFD72}">
  <we:reference id="wa104379710" version="1.0.0.1" store="en-US" storeType="OMEX"/>
  <we:alternateReferences>
    <we:reference id="WA104379710" version="1.0.0.1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cadius4d@hot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E322-F705-4E5B-A3C3-B78D7F8EA77B}">
  <sheetPr codeName="Planilha8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D4B3D-A9C1-47B4-A9B2-33641CD03B38}">
  <sheetPr codeName="Planilha1"/>
  <dimension ref="A1:AK51"/>
  <sheetViews>
    <sheetView tabSelected="1" zoomScaleNormal="100" workbookViewId="0">
      <selection activeCell="I32" sqref="I32:J32"/>
    </sheetView>
  </sheetViews>
  <sheetFormatPr defaultColWidth="8.7109375" defaultRowHeight="15"/>
  <cols>
    <col min="1" max="3" width="8.7109375" style="3"/>
    <col min="4" max="5" width="7.140625" style="3" customWidth="1"/>
    <col min="6" max="6" width="3.85546875" style="3" customWidth="1"/>
    <col min="7" max="7" width="4.140625" style="3" customWidth="1"/>
    <col min="8" max="8" width="1.85546875" style="3" customWidth="1"/>
    <col min="9" max="9" width="6.7109375" style="4" customWidth="1"/>
    <col min="10" max="10" width="6.85546875" style="4" customWidth="1"/>
    <col min="11" max="11" width="6.7109375" style="4" bestFit="1" customWidth="1"/>
    <col min="12" max="12" width="12.7109375" style="3" bestFit="1" customWidth="1"/>
    <col min="13" max="13" width="13.7109375" style="3" customWidth="1"/>
    <col min="14" max="14" width="10.28515625" style="3" customWidth="1"/>
    <col min="15" max="15" width="8.7109375" style="3"/>
    <col min="16" max="16" width="10.85546875" style="3" customWidth="1"/>
    <col min="17" max="17" width="6.85546875" style="3" customWidth="1"/>
    <col min="18" max="18" width="3.7109375" style="3" bestFit="1" customWidth="1"/>
    <col min="19" max="19" width="10" style="3" bestFit="1" customWidth="1"/>
    <col min="20" max="20" width="5.7109375" style="3" bestFit="1" customWidth="1"/>
    <col min="21" max="21" width="5.85546875" style="3" bestFit="1" customWidth="1"/>
    <col min="22" max="22" width="13.140625" style="3" customWidth="1"/>
    <col min="23" max="23" width="11.28515625" style="3" customWidth="1"/>
    <col min="24" max="24" width="8.7109375" style="3" customWidth="1"/>
    <col min="25" max="25" width="9.5703125" style="3" customWidth="1"/>
    <col min="26" max="27" width="8.7109375" style="3" customWidth="1"/>
    <col min="28" max="28" width="12.5703125" style="3" customWidth="1"/>
    <col min="29" max="29" width="11.7109375" style="3" customWidth="1"/>
    <col min="30" max="30" width="11.28515625" style="3" customWidth="1"/>
    <col min="31" max="31" width="6" style="3" customWidth="1"/>
    <col min="32" max="32" width="5.28515625" style="3" customWidth="1"/>
    <col min="33" max="33" width="5.42578125" style="3" customWidth="1"/>
    <col min="34" max="37" width="8.7109375" style="3" customWidth="1"/>
    <col min="38" max="16384" width="8.7109375" style="3"/>
  </cols>
  <sheetData>
    <row r="1" spans="1:37" ht="15.75">
      <c r="A1" s="1"/>
      <c r="B1" s="1"/>
      <c r="C1" s="1"/>
      <c r="D1" s="1"/>
      <c r="E1" s="1"/>
      <c r="F1" s="1"/>
      <c r="G1" s="1"/>
      <c r="H1" s="1"/>
      <c r="I1" s="2"/>
      <c r="J1" s="2"/>
      <c r="K1" s="2"/>
      <c r="L1" s="1"/>
      <c r="M1" s="1"/>
      <c r="N1" s="1"/>
      <c r="O1" s="1"/>
      <c r="P1" s="1"/>
      <c r="Q1" s="1"/>
    </row>
    <row r="2" spans="1:37" ht="15.75">
      <c r="A2" s="1"/>
      <c r="B2" s="1"/>
      <c r="C2" s="1"/>
      <c r="D2" s="1"/>
      <c r="E2" s="1"/>
      <c r="F2" s="1"/>
      <c r="G2" s="1"/>
      <c r="H2" s="1"/>
      <c r="I2" s="2"/>
      <c r="J2" s="2"/>
      <c r="K2" s="2"/>
      <c r="L2" s="1"/>
      <c r="M2" s="1"/>
      <c r="N2" s="1"/>
      <c r="O2" s="1"/>
      <c r="P2" s="1"/>
      <c r="Q2" s="1"/>
    </row>
    <row r="3" spans="1:37" ht="15.75">
      <c r="A3" s="1"/>
      <c r="B3" s="1" t="s">
        <v>0</v>
      </c>
      <c r="C3" s="1"/>
      <c r="D3" s="1"/>
      <c r="E3" s="1"/>
      <c r="F3" s="1"/>
      <c r="G3" s="1"/>
      <c r="H3" s="1"/>
      <c r="P3" s="1"/>
      <c r="Q3" s="1"/>
    </row>
    <row r="4" spans="1:37" ht="15.75">
      <c r="A4" s="1"/>
      <c r="B4" s="1" t="s">
        <v>1</v>
      </c>
      <c r="C4" s="1"/>
      <c r="D4" s="287">
        <v>66301</v>
      </c>
      <c r="E4" s="287"/>
      <c r="F4" s="179"/>
      <c r="G4" s="179"/>
      <c r="H4" s="179"/>
      <c r="I4" s="180"/>
      <c r="J4" s="180"/>
      <c r="K4" s="181"/>
      <c r="L4" s="179"/>
      <c r="M4" s="179"/>
      <c r="N4" s="1"/>
      <c r="O4" s="1"/>
      <c r="P4" s="1"/>
      <c r="Q4" s="1"/>
    </row>
    <row r="5" spans="1:37" ht="18">
      <c r="A5" s="1"/>
      <c r="B5" s="1" t="s">
        <v>2</v>
      </c>
      <c r="C5" s="1"/>
      <c r="D5" s="288" t="s">
        <v>296</v>
      </c>
      <c r="E5" s="288"/>
      <c r="F5" s="288"/>
      <c r="G5" s="288"/>
      <c r="H5" s="288"/>
      <c r="I5" s="288"/>
      <c r="J5" s="288"/>
      <c r="K5" s="288"/>
      <c r="L5" s="288"/>
      <c r="M5" s="288"/>
      <c r="N5" s="5"/>
      <c r="O5" s="1"/>
      <c r="P5" s="1"/>
      <c r="Q5" s="1"/>
    </row>
    <row r="6" spans="1:37" ht="15.75">
      <c r="A6" s="1"/>
      <c r="B6" s="1" t="s">
        <v>3</v>
      </c>
      <c r="C6" s="1"/>
      <c r="D6" s="289">
        <v>33403</v>
      </c>
      <c r="E6" s="289"/>
      <c r="F6" s="179"/>
      <c r="G6" s="179"/>
      <c r="H6" s="179"/>
      <c r="I6" s="181"/>
      <c r="J6" s="181"/>
      <c r="K6" s="181"/>
      <c r="L6" s="179"/>
      <c r="M6" s="179"/>
      <c r="N6" s="1"/>
      <c r="O6" s="1"/>
      <c r="P6" s="1"/>
      <c r="Q6" s="1"/>
    </row>
    <row r="7" spans="1:37" ht="15.75">
      <c r="A7" s="1"/>
      <c r="B7" s="1"/>
      <c r="C7" s="1"/>
      <c r="D7" s="1"/>
      <c r="E7" s="1"/>
      <c r="F7" s="1"/>
      <c r="G7" s="1"/>
      <c r="H7" s="1"/>
      <c r="I7" s="2"/>
      <c r="J7" s="2"/>
      <c r="K7" s="2"/>
      <c r="L7" s="1"/>
      <c r="M7" s="1"/>
      <c r="N7" s="1"/>
      <c r="O7" s="1"/>
      <c r="P7" s="1"/>
      <c r="Q7" s="1"/>
    </row>
    <row r="8" spans="1:37" ht="15.75">
      <c r="A8" s="1"/>
      <c r="B8" s="272" t="s">
        <v>4</v>
      </c>
      <c r="C8" s="272"/>
      <c r="D8" s="273">
        <f ca="1">TODAY()</f>
        <v>46129</v>
      </c>
      <c r="E8" s="273"/>
      <c r="F8" s="273"/>
      <c r="G8" s="273"/>
      <c r="H8" s="273"/>
      <c r="I8" s="6"/>
      <c r="J8" s="272" t="s">
        <v>5</v>
      </c>
      <c r="K8" s="272"/>
      <c r="L8" s="272"/>
      <c r="M8" s="274" t="str" cm="1">
        <f t="array" aca="1" ref="M8" ca="1">IF(AB12&lt;&gt;"",IGsdd(AB12,2),"")</f>
        <v>85 sem e 2 dias</v>
      </c>
      <c r="N8" s="275"/>
      <c r="O8" s="275"/>
      <c r="P8" s="16" t="str">
        <f ca="1">_xlfn.CONCAT(AB12,"  dias")</f>
        <v>597  dias</v>
      </c>
      <c r="Q8" s="1"/>
      <c r="R8" s="271" t="s">
        <v>6</v>
      </c>
      <c r="S8" s="271"/>
      <c r="T8" s="271"/>
      <c r="U8" s="248">
        <f ca="1">280-AB12+D8</f>
        <v>45812</v>
      </c>
      <c r="V8" s="248"/>
    </row>
    <row r="9" spans="1:37" ht="15.75">
      <c r="A9" s="1"/>
      <c r="B9" s="272"/>
      <c r="C9" s="272"/>
      <c r="D9" s="273"/>
      <c r="E9" s="273"/>
      <c r="F9" s="273"/>
      <c r="G9" s="273"/>
      <c r="H9" s="273"/>
      <c r="I9" s="6"/>
      <c r="J9" s="272"/>
      <c r="K9" s="272"/>
      <c r="L9" s="272"/>
      <c r="M9" s="276"/>
      <c r="N9" s="277"/>
      <c r="O9" s="277"/>
      <c r="P9" s="34" t="str">
        <f ca="1">_xlfn.CONCAT( IF(AB12&lt;&gt;"",ROUND(AB12/7,1),"")," sem")</f>
        <v>85,3 sem</v>
      </c>
      <c r="Q9" s="1"/>
      <c r="R9" s="271"/>
      <c r="S9" s="271"/>
      <c r="T9" s="271"/>
      <c r="U9" s="248"/>
      <c r="V9" s="248"/>
    </row>
    <row r="10" spans="1:37" ht="16.5" thickBot="1">
      <c r="A10" s="1"/>
      <c r="B10" s="1"/>
      <c r="C10" s="1"/>
      <c r="D10" s="1"/>
      <c r="E10" s="1"/>
      <c r="F10" s="1"/>
      <c r="G10" s="1"/>
      <c r="H10" s="1"/>
      <c r="I10" s="2"/>
      <c r="J10" s="2"/>
      <c r="K10" s="2"/>
      <c r="L10" s="1"/>
      <c r="M10" s="1"/>
      <c r="N10" s="1"/>
      <c r="O10" s="1"/>
      <c r="P10" s="1"/>
      <c r="Q10" s="1"/>
    </row>
    <row r="11" spans="1:37" ht="27" thickBot="1">
      <c r="A11" s="1"/>
      <c r="B11" s="188" t="s">
        <v>349</v>
      </c>
      <c r="C11" s="7"/>
      <c r="D11" s="8"/>
      <c r="E11" s="9"/>
      <c r="F11" s="10"/>
      <c r="G11" s="11"/>
      <c r="H11" s="12"/>
      <c r="I11" s="12"/>
      <c r="J11" s="12"/>
      <c r="K11" s="13"/>
      <c r="L11" s="1"/>
      <c r="M11" s="1"/>
      <c r="N11" s="1"/>
      <c r="O11" s="1"/>
      <c r="P11" s="1"/>
      <c r="Q11" s="1"/>
    </row>
    <row r="12" spans="1:37" ht="15.75">
      <c r="A12" s="1"/>
      <c r="B12" s="1"/>
      <c r="C12" s="1"/>
      <c r="D12" s="1"/>
      <c r="E12" s="1"/>
      <c r="F12" s="1"/>
      <c r="G12" s="1"/>
      <c r="H12" s="1"/>
      <c r="I12" s="2"/>
      <c r="J12" s="2"/>
      <c r="K12" s="2"/>
      <c r="L12" s="1"/>
      <c r="M12" s="1"/>
      <c r="N12" s="1"/>
      <c r="O12" s="1"/>
      <c r="P12" s="1"/>
      <c r="Q12" s="1"/>
      <c r="AA12" s="185">
        <v>16</v>
      </c>
      <c r="AB12" s="185">
        <f ca="1">VLOOKUP(AA12,AA13:AI31,6,FALSE)</f>
        <v>597</v>
      </c>
      <c r="AC12" s="186">
        <f ca="1">D8+280-AB12</f>
        <v>45812</v>
      </c>
      <c r="AD12" s="185" t="str">
        <f ca="1">_xlfn.CONCAT("IG definida em ",M8," no dia ",TEXT(D8,"dd-mm-aa"))</f>
        <v>IG definida em 85 sem e 2 dias no dia 17-04-26</v>
      </c>
      <c r="AE12" s="185"/>
      <c r="AF12" s="185"/>
      <c r="AG12" s="185"/>
      <c r="AH12" s="185"/>
      <c r="AI12" s="185" t="str">
        <f>VLOOKUP(AA12,AA13:AI31,9,FALSE)</f>
        <v>baseado em exame anterior realizado dia 10-12-24 com 14+6</v>
      </c>
      <c r="AJ12" s="185"/>
      <c r="AK12" s="185"/>
    </row>
    <row r="13" spans="1:37" ht="15.75">
      <c r="A13" s="1"/>
      <c r="B13" s="249" t="s">
        <v>7</v>
      </c>
      <c r="C13" s="250"/>
      <c r="D13" s="253" t="s">
        <v>8</v>
      </c>
      <c r="E13" s="254"/>
      <c r="F13" s="257"/>
      <c r="G13" s="258"/>
      <c r="H13" s="259"/>
      <c r="I13" s="263" t="s">
        <v>9</v>
      </c>
      <c r="J13" s="263"/>
      <c r="K13" s="263"/>
      <c r="L13" s="264" t="s">
        <v>6</v>
      </c>
      <c r="M13" s="266" t="s">
        <v>10</v>
      </c>
      <c r="N13" s="14"/>
      <c r="O13" s="1"/>
      <c r="P13" s="268" t="s">
        <v>11</v>
      </c>
      <c r="Q13" s="268"/>
      <c r="R13" s="268"/>
      <c r="S13" s="270" t="s">
        <v>12</v>
      </c>
      <c r="T13" s="270"/>
      <c r="U13" s="270"/>
      <c r="V13" s="264" t="s">
        <v>6</v>
      </c>
      <c r="AA13" s="187" t="s">
        <v>13</v>
      </c>
      <c r="AB13" s="185" t="s">
        <v>14</v>
      </c>
      <c r="AC13" s="187" t="s">
        <v>15</v>
      </c>
      <c r="AD13" s="185" t="s">
        <v>16</v>
      </c>
      <c r="AE13" s="185" t="s">
        <v>17</v>
      </c>
      <c r="AF13" s="185" t="s">
        <v>18</v>
      </c>
      <c r="AG13" s="185" t="s">
        <v>19</v>
      </c>
      <c r="AH13" s="187" t="s">
        <v>20</v>
      </c>
      <c r="AI13" s="187" t="s">
        <v>21</v>
      </c>
      <c r="AJ13" s="185"/>
      <c r="AK13" s="185"/>
    </row>
    <row r="14" spans="1:37" ht="15.75">
      <c r="A14" s="1"/>
      <c r="B14" s="251"/>
      <c r="C14" s="252"/>
      <c r="D14" s="255"/>
      <c r="E14" s="256"/>
      <c r="F14" s="260"/>
      <c r="G14" s="261"/>
      <c r="H14" s="262"/>
      <c r="I14" s="16" t="s">
        <v>18</v>
      </c>
      <c r="J14" s="34" t="s">
        <v>19</v>
      </c>
      <c r="K14" s="32" t="s">
        <v>22</v>
      </c>
      <c r="L14" s="265"/>
      <c r="M14" s="267"/>
      <c r="N14" s="14"/>
      <c r="O14" s="1"/>
      <c r="P14" s="269"/>
      <c r="Q14" s="269"/>
      <c r="R14" s="269"/>
      <c r="S14" s="17" t="s">
        <v>18</v>
      </c>
      <c r="T14" s="35" t="s">
        <v>19</v>
      </c>
      <c r="U14" s="33" t="s">
        <v>22</v>
      </c>
      <c r="V14" s="265"/>
      <c r="AA14" s="185">
        <v>1</v>
      </c>
      <c r="AB14" s="185" t="str">
        <f t="shared" ref="AB14:AB19" si="0">B15</f>
        <v>DUM</v>
      </c>
      <c r="AC14" s="185" t="str">
        <f>AH14</f>
        <v/>
      </c>
      <c r="AD14" s="186">
        <f t="shared" ref="AD14:AD19" si="1">D15</f>
        <v>0</v>
      </c>
      <c r="AE14" s="185"/>
      <c r="AF14" s="185" t="str">
        <f t="shared" ref="AF14:AF19" si="2">I15</f>
        <v/>
      </c>
      <c r="AG14" s="185" t="str">
        <f t="shared" ref="AG14:AH19" si="3">J15</f>
        <v/>
      </c>
      <c r="AH14" s="185" t="str">
        <f t="shared" si="3"/>
        <v/>
      </c>
      <c r="AI14" s="185" t="str">
        <f xml:space="preserve"> _xlfn.CONCAT("baseado na DUM dia ",TEXT(AD14,"dd-mm-aa"))</f>
        <v>baseado na DUM dia 00-01-00</v>
      </c>
      <c r="AJ14" s="185"/>
      <c r="AK14" s="185"/>
    </row>
    <row r="15" spans="1:37" ht="15.75">
      <c r="A15" s="1"/>
      <c r="B15" s="247" t="s">
        <v>23</v>
      </c>
      <c r="C15" s="247"/>
      <c r="D15" s="290"/>
      <c r="E15" s="290"/>
      <c r="F15" s="257"/>
      <c r="G15" s="258"/>
      <c r="H15" s="259"/>
      <c r="I15" s="17" t="str">
        <f>IF(D15&lt;&gt;"",D$8-D15,"")</f>
        <v/>
      </c>
      <c r="J15" s="35" t="str">
        <f t="shared" ref="J15:J20" si="4">IF(I15&lt;&gt;"",ROUND(I15/7,1),"")</f>
        <v/>
      </c>
      <c r="K15" s="33" t="str" cm="1">
        <f t="array" ref="K15">IF(I15&lt;&gt;"",IGsdd(I15,1),"")</f>
        <v/>
      </c>
      <c r="L15" s="19" t="str">
        <f t="shared" ref="L15:L20" si="5">IF(I15&lt;&gt;"",D$8+280-I15,"")</f>
        <v/>
      </c>
      <c r="M15" s="36" t="str">
        <f t="shared" ref="M15:M20" si="6">IF(I15&lt;&gt;"",L15-U$8,"")</f>
        <v/>
      </c>
      <c r="N15" s="1"/>
      <c r="O15" s="1"/>
      <c r="P15" s="20" t="s">
        <v>24</v>
      </c>
      <c r="Q15" s="183"/>
      <c r="R15" s="21" t="s">
        <v>25</v>
      </c>
      <c r="S15" s="17" t="str" cm="1">
        <f t="array" ref="S15">IF(Q15&lt;&gt;"",IGdsg(Q15),"")</f>
        <v/>
      </c>
      <c r="T15" s="35" t="str">
        <f>IF(Q15&lt;&gt;"",ROUND((S15/7),1),"")</f>
        <v/>
      </c>
      <c r="U15" s="33" t="str" cm="1">
        <f t="array" ref="U15">IF(Q15&lt;&gt;"",IGsdd(S15,1),"")</f>
        <v/>
      </c>
      <c r="V15" s="22" t="str">
        <f>IF(Q15&lt;&gt;"",D$8+280-S15,"")</f>
        <v/>
      </c>
      <c r="AA15" s="185">
        <v>2</v>
      </c>
      <c r="AB15" s="185" t="str">
        <f t="shared" si="0"/>
        <v>Ovulação</v>
      </c>
      <c r="AC15" s="185" t="str">
        <f t="shared" ref="AC15:AC31" ca="1" si="7">AH15</f>
        <v>95+4</v>
      </c>
      <c r="AD15" s="186">
        <f t="shared" si="1"/>
        <v>45474</v>
      </c>
      <c r="AE15" s="185"/>
      <c r="AF15" s="185">
        <f t="shared" ca="1" si="2"/>
        <v>669</v>
      </c>
      <c r="AG15" s="185">
        <f t="shared" ca="1" si="3"/>
        <v>95.6</v>
      </c>
      <c r="AH15" s="185" t="str">
        <f t="shared" ca="1" si="3"/>
        <v>95+4</v>
      </c>
      <c r="AI15" s="185" t="str">
        <f xml:space="preserve"> _xlfn.CONCAT("baseado na ovulação no ocorrida dia ",TEXT(AD15,"dd-mm-aa"))</f>
        <v>baseado na ovulação no ocorrida dia 01-07-24</v>
      </c>
      <c r="AJ15" s="185"/>
      <c r="AK15" s="185"/>
    </row>
    <row r="16" spans="1:37" ht="15.75">
      <c r="A16" s="1"/>
      <c r="B16" s="247" t="s">
        <v>26</v>
      </c>
      <c r="C16" s="247"/>
      <c r="D16" s="245">
        <v>45474</v>
      </c>
      <c r="E16" s="246"/>
      <c r="F16" s="291"/>
      <c r="G16" s="292"/>
      <c r="H16" s="293"/>
      <c r="I16" s="17">
        <f ca="1">IF(D16&lt;&gt;"",D$8-D16+14,"")</f>
        <v>669</v>
      </c>
      <c r="J16" s="35">
        <f t="shared" ca="1" si="4"/>
        <v>95.6</v>
      </c>
      <c r="K16" s="33" t="str" cm="1">
        <f t="array" aca="1" ref="K16" ca="1">IF(I16&lt;&gt;"",IGsdd(I16,1),"")</f>
        <v>95+4</v>
      </c>
      <c r="L16" s="19">
        <f t="shared" ca="1" si="5"/>
        <v>45740</v>
      </c>
      <c r="M16" s="36">
        <f t="shared" ca="1" si="6"/>
        <v>-72</v>
      </c>
      <c r="N16" s="1"/>
      <c r="O16" s="1"/>
      <c r="P16" s="20" t="s">
        <v>27</v>
      </c>
      <c r="Q16" s="183"/>
      <c r="R16" s="21" t="s">
        <v>25</v>
      </c>
      <c r="S16" s="17" t="str" cm="1">
        <f t="array" ref="S16">IF(Q16&lt;&gt;"",IGCCNR(Q16),"")</f>
        <v/>
      </c>
      <c r="T16" s="35" t="str">
        <f t="shared" ref="T16:T22" si="8">IF(Q16&lt;&gt;"",ROUND((S16/7),1),"")</f>
        <v/>
      </c>
      <c r="U16" s="33" t="str" cm="1">
        <f t="array" ref="U16">IF(Q16&lt;&gt;"",IGsdd(S16,1),"")</f>
        <v/>
      </c>
      <c r="V16" s="22" t="str">
        <f t="shared" ref="V16:V22" si="9">IF(Q16&lt;&gt;"",D$8+280-S16,"")</f>
        <v/>
      </c>
      <c r="AA16" s="185">
        <v>3</v>
      </c>
      <c r="AB16" s="185" t="str">
        <f t="shared" si="0"/>
        <v>FIV (3 dias)</v>
      </c>
      <c r="AC16" s="185" t="str">
        <f t="shared" si="7"/>
        <v/>
      </c>
      <c r="AD16" s="186">
        <f t="shared" si="1"/>
        <v>0</v>
      </c>
      <c r="AE16" s="185"/>
      <c r="AF16" s="185" t="str">
        <f t="shared" si="2"/>
        <v/>
      </c>
      <c r="AG16" s="185" t="str">
        <f t="shared" si="3"/>
        <v/>
      </c>
      <c r="AH16" s="185" t="str">
        <f t="shared" si="3"/>
        <v/>
      </c>
      <c r="AI16" s="185" t="str">
        <f xml:space="preserve"> _xlfn.CONCAT("baseado na FIV, com data de implantação do embrião de 3 dias no dia ",TEXT(AD16,"dd-mm-aa"))</f>
        <v>baseado na FIV, com data de implantação do embrião de 3 dias no dia 00-01-00</v>
      </c>
      <c r="AJ16" s="185"/>
      <c r="AK16" s="185"/>
    </row>
    <row r="17" spans="1:37" ht="15.75">
      <c r="A17" s="1"/>
      <c r="B17" s="247" t="s">
        <v>28</v>
      </c>
      <c r="C17" s="247"/>
      <c r="D17" s="245"/>
      <c r="E17" s="246"/>
      <c r="F17" s="291"/>
      <c r="G17" s="292"/>
      <c r="H17" s="293"/>
      <c r="I17" s="17" t="str">
        <f>IF(D17&lt;&gt;"",D$8-D17+17,"")</f>
        <v/>
      </c>
      <c r="J17" s="35" t="str">
        <f t="shared" si="4"/>
        <v/>
      </c>
      <c r="K17" s="33" t="str" cm="1">
        <f t="array" ref="K17">IF(I17&lt;&gt;"",IGsdd(I17,1),"")</f>
        <v/>
      </c>
      <c r="L17" s="19" t="str">
        <f t="shared" si="5"/>
        <v/>
      </c>
      <c r="M17" s="36" t="str">
        <f t="shared" si="6"/>
        <v/>
      </c>
      <c r="N17" s="1"/>
      <c r="O17" s="1"/>
      <c r="P17" s="20" t="s">
        <v>29</v>
      </c>
      <c r="Q17" s="183"/>
      <c r="R17" s="21" t="s">
        <v>25</v>
      </c>
      <c r="S17" s="17" t="str" cm="1">
        <f t="array" ref="S17">IF(Q17&lt;&gt;"",IGCCI(Q17),"")</f>
        <v/>
      </c>
      <c r="T17" s="35" t="str">
        <f t="shared" si="8"/>
        <v/>
      </c>
      <c r="U17" s="33" t="str" cm="1">
        <f t="array" ref="U17">IF(Q17&lt;&gt;"",IGsdd(S17,1),"")</f>
        <v/>
      </c>
      <c r="V17" s="22" t="str">
        <f t="shared" si="9"/>
        <v/>
      </c>
      <c r="AA17" s="185">
        <v>4</v>
      </c>
      <c r="AB17" s="185" t="str">
        <f t="shared" si="0"/>
        <v>FIV (5 dias)</v>
      </c>
      <c r="AC17" s="185" t="str">
        <f t="shared" si="7"/>
        <v/>
      </c>
      <c r="AD17" s="186">
        <f t="shared" si="1"/>
        <v>0</v>
      </c>
      <c r="AE17" s="185"/>
      <c r="AF17" s="185" t="str">
        <f t="shared" si="2"/>
        <v/>
      </c>
      <c r="AG17" s="185" t="str">
        <f t="shared" si="3"/>
        <v/>
      </c>
      <c r="AH17" s="185" t="str">
        <f t="shared" si="3"/>
        <v/>
      </c>
      <c r="AI17" s="185" t="str">
        <f xml:space="preserve"> _xlfn.CONCAT("baseado na FIV, com data de implantação do embrião de 5 dias no dia ",TEXT(AD17,"dd-mm-aa"))</f>
        <v>baseado na FIV, com data de implantação do embrião de 5 dias no dia 00-01-00</v>
      </c>
      <c r="AJ17" s="185"/>
      <c r="AK17" s="185"/>
    </row>
    <row r="18" spans="1:37" ht="15.75">
      <c r="A18" s="1"/>
      <c r="B18" s="18" t="s">
        <v>30</v>
      </c>
      <c r="C18" s="18"/>
      <c r="D18" s="245"/>
      <c r="E18" s="246"/>
      <c r="F18" s="291"/>
      <c r="G18" s="292"/>
      <c r="H18" s="293"/>
      <c r="I18" s="17" t="str">
        <f>IF(D18&lt;&gt;"",D$8-D18+19,"")</f>
        <v/>
      </c>
      <c r="J18" s="35" t="str">
        <f t="shared" si="4"/>
        <v/>
      </c>
      <c r="K18" s="33" t="str" cm="1">
        <f t="array" ref="K18">IF(I18&lt;&gt;"",IGsdd(I18,1),"")</f>
        <v/>
      </c>
      <c r="L18" s="19" t="str">
        <f t="shared" si="5"/>
        <v/>
      </c>
      <c r="M18" s="36" t="str">
        <f t="shared" si="6"/>
        <v/>
      </c>
      <c r="N18" s="1"/>
      <c r="O18" s="1"/>
      <c r="P18" s="20" t="s">
        <v>31</v>
      </c>
      <c r="Q18" s="183"/>
      <c r="R18" s="21" t="s">
        <v>25</v>
      </c>
      <c r="S18" s="17" t="str" cm="1">
        <f t="array" ref="S18">IF(Q18&lt;&gt;"",IGCCNH(Q18),"")</f>
        <v/>
      </c>
      <c r="T18" s="35" t="str">
        <f t="shared" si="8"/>
        <v/>
      </c>
      <c r="U18" s="33" t="str" cm="1">
        <f t="array" ref="U18">IF(Q18&lt;&gt;"",IGsdd(S18,1),"")</f>
        <v/>
      </c>
      <c r="V18" s="22" t="str">
        <f t="shared" si="9"/>
        <v/>
      </c>
      <c r="AA18" s="185">
        <v>5</v>
      </c>
      <c r="AB18" s="185" t="str">
        <f t="shared" si="0"/>
        <v>DPP</v>
      </c>
      <c r="AC18" s="185" t="str">
        <f t="shared" si="7"/>
        <v/>
      </c>
      <c r="AD18" s="186">
        <f t="shared" si="1"/>
        <v>0</v>
      </c>
      <c r="AE18" s="185"/>
      <c r="AF18" s="185" t="str">
        <f t="shared" si="2"/>
        <v/>
      </c>
      <c r="AG18" s="185" t="str">
        <f t="shared" si="3"/>
        <v/>
      </c>
      <c r="AH18" s="185" t="str">
        <f t="shared" si="3"/>
        <v/>
      </c>
      <c r="AI18" s="185" t="str">
        <f>_xlfn.CONCAT("baseado na DPP calculada")</f>
        <v>baseado na DPP calculada</v>
      </c>
      <c r="AJ18" s="185"/>
      <c r="AK18" s="185"/>
    </row>
    <row r="19" spans="1:37" ht="15.75">
      <c r="A19" s="1"/>
      <c r="B19" s="247" t="s">
        <v>6</v>
      </c>
      <c r="C19" s="247"/>
      <c r="D19" s="245"/>
      <c r="E19" s="246"/>
      <c r="F19" s="291"/>
      <c r="G19" s="292"/>
      <c r="H19" s="293"/>
      <c r="I19" s="17" t="str">
        <f>IF(D19&lt;&gt;"",D$8-D19+280,"")</f>
        <v/>
      </c>
      <c r="J19" s="35" t="str">
        <f t="shared" si="4"/>
        <v/>
      </c>
      <c r="K19" s="33" t="str" cm="1">
        <f t="array" ref="K19">IF(I19&lt;&gt;"",IGsdd(I19,1),"")</f>
        <v/>
      </c>
      <c r="L19" s="19" t="str">
        <f t="shared" si="5"/>
        <v/>
      </c>
      <c r="M19" s="36" t="str">
        <f t="shared" si="6"/>
        <v/>
      </c>
      <c r="N19" s="1"/>
      <c r="O19" s="1"/>
      <c r="P19" s="20" t="s">
        <v>32</v>
      </c>
      <c r="Q19" s="183"/>
      <c r="R19" s="21" t="s">
        <v>25</v>
      </c>
      <c r="S19" s="17" t="str" cm="1">
        <f t="array" ref="S19">IF(Q19&lt;&gt;"",IG_TCD_I(Q19,50),"")</f>
        <v/>
      </c>
      <c r="T19" s="35" t="str">
        <f t="shared" si="8"/>
        <v/>
      </c>
      <c r="U19" s="33" t="str" cm="1">
        <f t="array" ref="U19">IF(Q19&lt;&gt;"",IGsdd(S19,1),"")</f>
        <v/>
      </c>
      <c r="V19" s="22" t="str">
        <f t="shared" si="9"/>
        <v/>
      </c>
      <c r="AA19" s="185">
        <v>6</v>
      </c>
      <c r="AB19" s="185" t="str">
        <f t="shared" si="0"/>
        <v>IG (S- D)</v>
      </c>
      <c r="AC19" s="185" t="str">
        <f t="shared" si="7"/>
        <v/>
      </c>
      <c r="AD19" s="186">
        <f t="shared" si="1"/>
        <v>0</v>
      </c>
      <c r="AE19" s="185">
        <f>E20</f>
        <v>0</v>
      </c>
      <c r="AF19" s="185" t="str">
        <f t="shared" si="2"/>
        <v/>
      </c>
      <c r="AG19" s="185" t="str">
        <f t="shared" si="3"/>
        <v/>
      </c>
      <c r="AH19" s="185" t="str">
        <f t="shared" si="3"/>
        <v/>
      </c>
      <c r="AI19" s="185" t="str">
        <f>_xlfn.CONCAT("baseado em cálculo manual")</f>
        <v>baseado em cálculo manual</v>
      </c>
      <c r="AJ19" s="185"/>
      <c r="AK19" s="185"/>
    </row>
    <row r="20" spans="1:37" ht="15.75">
      <c r="A20" s="1"/>
      <c r="B20" s="247" t="s">
        <v>33</v>
      </c>
      <c r="C20" s="247"/>
      <c r="D20" s="182"/>
      <c r="E20" s="183"/>
      <c r="F20" s="260"/>
      <c r="G20" s="261"/>
      <c r="H20" s="262"/>
      <c r="I20" s="17" t="str">
        <f>IF(D20&lt;&gt;"",((D20*7)+E20),"")</f>
        <v/>
      </c>
      <c r="J20" s="35" t="str">
        <f t="shared" si="4"/>
        <v/>
      </c>
      <c r="K20" s="33" t="str" cm="1">
        <f t="array" ref="K20">IF(I20&lt;&gt;"",IGsdd(I20,1),"")</f>
        <v/>
      </c>
      <c r="L20" s="19" t="str">
        <f t="shared" si="5"/>
        <v/>
      </c>
      <c r="M20" s="36" t="str">
        <f t="shared" si="6"/>
        <v/>
      </c>
      <c r="N20" s="1"/>
      <c r="O20" s="1"/>
      <c r="P20" s="20" t="s">
        <v>34</v>
      </c>
      <c r="Q20" s="183"/>
      <c r="R20" s="21" t="s">
        <v>25</v>
      </c>
      <c r="S20" s="17" t="str" cm="1">
        <f t="array" ref="S20">IF(Q20&lt;&gt;"",IGDBP(Q20),"")</f>
        <v/>
      </c>
      <c r="T20" s="35" t="str">
        <f t="shared" si="8"/>
        <v/>
      </c>
      <c r="U20" s="33" t="str" cm="1">
        <f t="array" ref="U20">IF(Q20&lt;&gt;"",IGsdd(S20,1),"")</f>
        <v/>
      </c>
      <c r="V20" s="22" t="str">
        <f t="shared" si="9"/>
        <v/>
      </c>
      <c r="AA20" s="185">
        <v>7</v>
      </c>
      <c r="AB20" s="185" t="str">
        <f>P15</f>
        <v>DSG</v>
      </c>
      <c r="AC20" s="185" t="str">
        <f t="shared" si="7"/>
        <v/>
      </c>
      <c r="AD20" s="185">
        <f>Q15</f>
        <v>0</v>
      </c>
      <c r="AE20" s="185"/>
      <c r="AF20" s="185" t="str">
        <f>S15</f>
        <v/>
      </c>
      <c r="AG20" s="185" t="str">
        <f t="shared" ref="AG20:AH28" si="10">T15</f>
        <v/>
      </c>
      <c r="AH20" s="185" t="str">
        <f t="shared" si="10"/>
        <v/>
      </c>
      <c r="AI20" s="185" t="str">
        <f>_xlfn.CONCAT("baseado biometria DSG ",AD20," mm)")</f>
        <v>baseado biometria DSG 0 mm)</v>
      </c>
      <c r="AJ20" s="185"/>
      <c r="AK20" s="185"/>
    </row>
    <row r="21" spans="1:37" ht="15.75">
      <c r="A21" s="1"/>
      <c r="B21" s="257"/>
      <c r="C21" s="259"/>
      <c r="D21" s="253" t="s">
        <v>8</v>
      </c>
      <c r="E21" s="254"/>
      <c r="F21" s="283" t="s">
        <v>35</v>
      </c>
      <c r="G21" s="283"/>
      <c r="H21" s="284"/>
      <c r="I21" s="263" t="s">
        <v>12</v>
      </c>
      <c r="J21" s="263"/>
      <c r="K21" s="263"/>
      <c r="L21" s="264" t="s">
        <v>6</v>
      </c>
      <c r="M21" s="266" t="s">
        <v>10</v>
      </c>
      <c r="N21" s="1"/>
      <c r="O21" s="1"/>
      <c r="P21" s="20" t="s">
        <v>36</v>
      </c>
      <c r="Q21" s="183">
        <v>80</v>
      </c>
      <c r="R21" s="21" t="s">
        <v>25</v>
      </c>
      <c r="S21" s="17" cm="1">
        <f t="array" ref="S21">IF(Q21&lt;&gt;"",IGCCI(Q21),"")</f>
        <v>88</v>
      </c>
      <c r="T21" s="35">
        <f t="shared" si="8"/>
        <v>12.6</v>
      </c>
      <c r="U21" s="33" t="str" cm="1">
        <f t="array" ref="U21">IF(Q21&lt;&gt;"",IGsdd(S21,1),"")</f>
        <v>12+4</v>
      </c>
      <c r="V21" s="22">
        <f t="shared" ca="1" si="9"/>
        <v>46321</v>
      </c>
      <c r="AA21" s="185">
        <v>8</v>
      </c>
      <c r="AB21" s="185" t="str">
        <f t="shared" ref="AB21:AB27" si="11">P16</f>
        <v>CCN rob</v>
      </c>
      <c r="AC21" s="185" t="str">
        <f t="shared" si="7"/>
        <v/>
      </c>
      <c r="AD21" s="185">
        <f t="shared" ref="AD21:AD28" si="12">Q16</f>
        <v>0</v>
      </c>
      <c r="AE21" s="185"/>
      <c r="AF21" s="185" t="str">
        <f t="shared" ref="AF21:AF28" si="13">S16</f>
        <v/>
      </c>
      <c r="AG21" s="185" t="str">
        <f t="shared" si="10"/>
        <v/>
      </c>
      <c r="AH21" s="185" t="str">
        <f t="shared" si="10"/>
        <v/>
      </c>
      <c r="AI21" s="185" t="str">
        <f>_xlfn.CONCAT("baseado biometria (CCN  ",Q16," mm)")</f>
        <v>baseado biometria (CCN   mm)</v>
      </c>
      <c r="AJ21" s="185"/>
      <c r="AK21" s="185"/>
    </row>
    <row r="22" spans="1:37" ht="15.75">
      <c r="A22" s="1"/>
      <c r="B22" s="260"/>
      <c r="C22" s="262"/>
      <c r="D22" s="255"/>
      <c r="E22" s="256"/>
      <c r="F22" s="23" t="s">
        <v>37</v>
      </c>
      <c r="G22" s="23" t="s">
        <v>38</v>
      </c>
      <c r="H22" s="285"/>
      <c r="I22" s="16" t="s">
        <v>18</v>
      </c>
      <c r="J22" s="34" t="s">
        <v>19</v>
      </c>
      <c r="K22" s="32" t="s">
        <v>22</v>
      </c>
      <c r="L22" s="265"/>
      <c r="M22" s="267"/>
      <c r="N22" s="1"/>
      <c r="O22" s="1"/>
      <c r="P22" s="20" t="s">
        <v>39</v>
      </c>
      <c r="Q22" s="183">
        <v>10</v>
      </c>
      <c r="R22" s="21" t="s">
        <v>25</v>
      </c>
      <c r="S22" s="17" cm="1">
        <f t="array" ref="S22">IF(Q22&lt;&gt;"",igcf(Q22),"")</f>
        <v>91</v>
      </c>
      <c r="T22" s="35">
        <f t="shared" si="8"/>
        <v>13</v>
      </c>
      <c r="U22" s="33" t="str" cm="1">
        <f t="array" ref="U22">IF(Q22&lt;&gt;"",IGsdd(S22,1),"")</f>
        <v>13+0</v>
      </c>
      <c r="V22" s="22">
        <f t="shared" ca="1" si="9"/>
        <v>46318</v>
      </c>
      <c r="AA22" s="185">
        <v>9</v>
      </c>
      <c r="AB22" s="185" t="str">
        <f t="shared" si="11"/>
        <v>CCN I</v>
      </c>
      <c r="AC22" s="185" t="str">
        <f t="shared" si="7"/>
        <v/>
      </c>
      <c r="AD22" s="185">
        <f t="shared" si="12"/>
        <v>0</v>
      </c>
      <c r="AE22" s="185"/>
      <c r="AF22" s="185" t="str">
        <f t="shared" si="13"/>
        <v/>
      </c>
      <c r="AG22" s="185" t="str">
        <f t="shared" si="10"/>
        <v/>
      </c>
      <c r="AH22" s="185" t="str">
        <f t="shared" si="10"/>
        <v/>
      </c>
      <c r="AI22" s="185" t="str">
        <f>_xlfn.CONCAT("baseado biometria (CCN  ",Q17," mm)")</f>
        <v>baseado biometria (CCN   mm)</v>
      </c>
      <c r="AJ22" s="185"/>
      <c r="AK22" s="185"/>
    </row>
    <row r="23" spans="1:37" ht="15.75">
      <c r="A23" s="1"/>
      <c r="B23" s="24" t="s">
        <v>40</v>
      </c>
      <c r="C23" s="24"/>
      <c r="D23" s="281">
        <v>45636</v>
      </c>
      <c r="E23" s="282"/>
      <c r="F23" s="183">
        <v>14</v>
      </c>
      <c r="G23" s="183">
        <v>6</v>
      </c>
      <c r="H23" s="285"/>
      <c r="I23" s="17">
        <f ca="1">IF(D23&lt;&gt;"",D$8-D23+(F23*7+G23),"")</f>
        <v>597</v>
      </c>
      <c r="J23" s="35">
        <f ca="1">IF(I23&lt;&gt;"",ROUND(I23/7,1),"")</f>
        <v>85.3</v>
      </c>
      <c r="K23" s="33" t="str" cm="1">
        <f t="array" aca="1" ref="K23" ca="1">IF(I23&lt;&gt;"",IGsdd(I23,1),"")</f>
        <v>85+2</v>
      </c>
      <c r="L23" s="19">
        <f ca="1">IF(I23&lt;&gt;"",D$8+280-I23,"")</f>
        <v>45812</v>
      </c>
      <c r="M23" s="36">
        <f ca="1">IF(I23&lt;&gt;"",L23-U$8,"")</f>
        <v>0</v>
      </c>
      <c r="N23" s="1"/>
      <c r="O23" s="1"/>
      <c r="P23" s="20" t="s">
        <v>41</v>
      </c>
      <c r="Q23" s="183"/>
      <c r="R23" s="21" t="s">
        <v>25</v>
      </c>
      <c r="S23" s="17" cm="1">
        <f t="array" ref="S23">IF(AND(Q21&lt;&gt;"",Q22&lt;&gt;""),IGCCFI(Q21,Q22),"")</f>
        <v>91</v>
      </c>
      <c r="T23" s="35">
        <f>IF(S23&lt;&gt;"",ROUND((S23/7),1),"")</f>
        <v>13</v>
      </c>
      <c r="U23" s="33" t="str" cm="1">
        <f t="array" ref="U23">IF(S23&lt;&gt;"",IGsdd(S23,1),"")</f>
        <v>13+0</v>
      </c>
      <c r="V23" s="22">
        <f ca="1">IF(S23&lt;&gt;"",D$8+280-S23,"")</f>
        <v>46318</v>
      </c>
      <c r="AA23" s="185">
        <v>10</v>
      </c>
      <c r="AB23" s="185" t="str">
        <f t="shared" si="11"/>
        <v>CCN Had</v>
      </c>
      <c r="AC23" s="185" t="str">
        <f t="shared" si="7"/>
        <v/>
      </c>
      <c r="AD23" s="185">
        <f t="shared" si="12"/>
        <v>0</v>
      </c>
      <c r="AE23" s="185"/>
      <c r="AF23" s="185" t="str">
        <f t="shared" si="13"/>
        <v/>
      </c>
      <c r="AG23" s="185" t="str">
        <f t="shared" si="10"/>
        <v/>
      </c>
      <c r="AH23" s="185" t="str">
        <f t="shared" si="10"/>
        <v/>
      </c>
      <c r="AI23" s="185" t="str">
        <f>_xlfn.CONCAT("baseado biometria (CCN  ",Q18," mm)")</f>
        <v>baseado biometria (CCN   mm)</v>
      </c>
      <c r="AJ23" s="185"/>
      <c r="AK23" s="185"/>
    </row>
    <row r="24" spans="1:37" ht="15.75">
      <c r="A24" s="1"/>
      <c r="B24" s="24" t="s">
        <v>42</v>
      </c>
      <c r="C24" s="24"/>
      <c r="D24" s="281"/>
      <c r="E24" s="282"/>
      <c r="F24" s="183"/>
      <c r="G24" s="183"/>
      <c r="H24" s="285"/>
      <c r="I24" s="17" t="str">
        <f>IF(D24&lt;&gt;"",D$8-D24+(F24*7+G24),"")</f>
        <v/>
      </c>
      <c r="J24" s="35" t="str">
        <f>IF(I24&lt;&gt;"",ROUND(I24/7,1),"")</f>
        <v/>
      </c>
      <c r="K24" s="33" t="str" cm="1">
        <f t="array" ref="K24">IF(I24&lt;&gt;"",IGsdd(I24,1),"")</f>
        <v/>
      </c>
      <c r="L24" s="19" t="str">
        <f>IF(I24&lt;&gt;"",D$8+280-I24,"")</f>
        <v/>
      </c>
      <c r="M24" s="36" t="str">
        <f>IF(I24&lt;&gt;"",L24-U$8,"")</f>
        <v/>
      </c>
      <c r="N24" s="1"/>
      <c r="O24" s="1"/>
      <c r="P24" s="1"/>
      <c r="Q24" s="1"/>
      <c r="AA24" s="185">
        <v>11</v>
      </c>
      <c r="AB24" s="185" t="str">
        <f t="shared" si="11"/>
        <v>TCD</v>
      </c>
      <c r="AC24" s="185" t="str">
        <f t="shared" si="7"/>
        <v/>
      </c>
      <c r="AD24" s="185">
        <f t="shared" si="12"/>
        <v>0</v>
      </c>
      <c r="AE24" s="185"/>
      <c r="AF24" s="185" t="str">
        <f t="shared" si="13"/>
        <v/>
      </c>
      <c r="AG24" s="185" t="str">
        <f t="shared" si="10"/>
        <v/>
      </c>
      <c r="AH24" s="185" t="str">
        <f t="shared" si="10"/>
        <v/>
      </c>
      <c r="AI24" s="185" t="str">
        <f>_xlfn.CONCAT("baseado biometria (TCD ",Q19," mm)")</f>
        <v>baseado biometria (TCD  mm)</v>
      </c>
      <c r="AJ24" s="185"/>
      <c r="AK24" s="185"/>
    </row>
    <row r="25" spans="1:37" ht="15.75">
      <c r="A25" s="1"/>
      <c r="B25" s="24" t="s">
        <v>43</v>
      </c>
      <c r="C25" s="24"/>
      <c r="D25" s="281"/>
      <c r="E25" s="282"/>
      <c r="F25" s="183"/>
      <c r="G25" s="183"/>
      <c r="H25" s="286"/>
      <c r="I25" s="17" t="str">
        <f>IF(D25&lt;&gt;"",D$8-D25+(F25*7+G25),"")</f>
        <v/>
      </c>
      <c r="J25" s="35" t="str">
        <f>IF(I25&lt;&gt;"",ROUND(I25/7,1),"")</f>
        <v/>
      </c>
      <c r="K25" s="33" t="str" cm="1">
        <f t="array" ref="K25">IF(I25&lt;&gt;"",IGsdd(I25,1),"")</f>
        <v/>
      </c>
      <c r="L25" s="19" t="str">
        <f>IF(I25&lt;&gt;"",D$8+280-I25,"")</f>
        <v/>
      </c>
      <c r="M25" s="36" t="str">
        <f>IF(I25&lt;&gt;"",L25-U$8,"")</f>
        <v/>
      </c>
      <c r="N25" s="1"/>
      <c r="O25" s="1"/>
      <c r="P25" s="15"/>
      <c r="S25" s="15"/>
      <c r="AA25" s="185">
        <v>12</v>
      </c>
      <c r="AB25" s="185" t="str">
        <f t="shared" si="11"/>
        <v>DBP</v>
      </c>
      <c r="AC25" s="185" t="str">
        <f t="shared" si="7"/>
        <v/>
      </c>
      <c r="AD25" s="185">
        <f t="shared" si="12"/>
        <v>0</v>
      </c>
      <c r="AE25" s="185"/>
      <c r="AF25" s="185" t="str">
        <f t="shared" si="13"/>
        <v/>
      </c>
      <c r="AG25" s="185" t="str">
        <f t="shared" si="10"/>
        <v/>
      </c>
      <c r="AH25" s="185" t="str">
        <f t="shared" si="10"/>
        <v/>
      </c>
      <c r="AI25" s="185" t="str">
        <f>_xlfn.CONCAT("baseado biometria (DBP ",Q20," mm)")</f>
        <v>baseado biometria (DBP  mm)</v>
      </c>
      <c r="AJ25" s="185"/>
      <c r="AK25" s="185"/>
    </row>
    <row r="26" spans="1:37" ht="15.75">
      <c r="A26" s="1"/>
      <c r="B26" s="1"/>
      <c r="C26" s="1"/>
      <c r="D26" s="1"/>
      <c r="E26" s="1"/>
      <c r="F26" s="1"/>
      <c r="G26" s="1"/>
      <c r="H26" s="1"/>
      <c r="I26" s="2"/>
      <c r="J26" s="2"/>
      <c r="K26" s="2"/>
      <c r="L26" s="1"/>
      <c r="M26" s="1"/>
      <c r="N26" s="1"/>
      <c r="O26" s="1"/>
      <c r="P26" s="15"/>
      <c r="AA26" s="185">
        <v>13</v>
      </c>
      <c r="AB26" s="185" t="str">
        <f t="shared" si="11"/>
        <v>CC</v>
      </c>
      <c r="AC26" s="185" t="str">
        <f t="shared" si="7"/>
        <v>12+4</v>
      </c>
      <c r="AD26" s="185">
        <f t="shared" si="12"/>
        <v>80</v>
      </c>
      <c r="AE26" s="185"/>
      <c r="AF26" s="185">
        <f t="shared" si="13"/>
        <v>88</v>
      </c>
      <c r="AG26" s="185">
        <f t="shared" si="10"/>
        <v>12.6</v>
      </c>
      <c r="AH26" s="185" t="str">
        <f t="shared" si="10"/>
        <v>12+4</v>
      </c>
      <c r="AI26" s="185" t="str">
        <f>_xlfn.CONCAT("baseado biometria (CC ",Q21," mm)")</f>
        <v>baseado biometria (CC 80 mm)</v>
      </c>
      <c r="AJ26" s="185"/>
      <c r="AK26" s="185"/>
    </row>
    <row r="27" spans="1:37" ht="15.75">
      <c r="A27" s="1"/>
      <c r="B27" s="1"/>
      <c r="C27" s="1"/>
      <c r="D27" s="1"/>
      <c r="E27" s="1"/>
      <c r="F27" s="1"/>
      <c r="G27" s="1"/>
      <c r="H27" s="1"/>
      <c r="I27" s="278" t="s">
        <v>62</v>
      </c>
      <c r="J27" s="278"/>
      <c r="K27" s="278"/>
      <c r="L27" s="1"/>
      <c r="M27" s="189">
        <v>45812</v>
      </c>
      <c r="N27" s="1"/>
      <c r="O27" s="1"/>
      <c r="P27" s="15"/>
      <c r="AA27" s="185">
        <v>14</v>
      </c>
      <c r="AB27" s="185" t="str">
        <f t="shared" si="11"/>
        <v>CF</v>
      </c>
      <c r="AC27" s="185" t="str">
        <f t="shared" si="7"/>
        <v>13+0</v>
      </c>
      <c r="AD27" s="185">
        <f t="shared" si="12"/>
        <v>10</v>
      </c>
      <c r="AE27" s="185"/>
      <c r="AF27" s="185">
        <f t="shared" si="13"/>
        <v>91</v>
      </c>
      <c r="AG27" s="185">
        <f t="shared" si="10"/>
        <v>13</v>
      </c>
      <c r="AH27" s="185" t="str">
        <f t="shared" si="10"/>
        <v>13+0</v>
      </c>
      <c r="AI27" s="185" t="str">
        <f>_xlfn.CONCAT("baseado biometria (CF ",Q22," mm)")</f>
        <v>baseado biometria (CF 10 mm)</v>
      </c>
      <c r="AJ27" s="185"/>
      <c r="AK27" s="185"/>
    </row>
    <row r="28" spans="1:37" ht="15.75">
      <c r="A28" s="1"/>
      <c r="B28" s="1"/>
      <c r="C28" s="1"/>
      <c r="D28" s="1"/>
      <c r="E28" s="1"/>
      <c r="F28" s="1"/>
      <c r="G28" s="1"/>
      <c r="H28" s="1"/>
      <c r="I28" s="25" t="s">
        <v>350</v>
      </c>
      <c r="J28" s="26"/>
      <c r="K28" s="27"/>
      <c r="L28" s="26"/>
      <c r="M28" s="25"/>
      <c r="N28" s="1"/>
      <c r="O28" s="1">
        <v>1</v>
      </c>
      <c r="AA28" s="185">
        <v>15</v>
      </c>
      <c r="AB28" s="185" t="str">
        <f>P23</f>
        <v>CC/CF</v>
      </c>
      <c r="AC28" s="185" t="str">
        <f t="shared" si="7"/>
        <v>13+0</v>
      </c>
      <c r="AD28" s="185">
        <f t="shared" si="12"/>
        <v>0</v>
      </c>
      <c r="AE28" s="185"/>
      <c r="AF28" s="185">
        <f t="shared" si="13"/>
        <v>91</v>
      </c>
      <c r="AG28" s="185">
        <f t="shared" si="10"/>
        <v>13</v>
      </c>
      <c r="AH28" s="185" t="str">
        <f t="shared" si="10"/>
        <v>13+0</v>
      </c>
      <c r="AI28" s="185" t="str">
        <f>_xlfn.CONCAT("baseado biometria combinada (DSG ",Q23," mm)")</f>
        <v>baseado biometria combinada (DSG  mm)</v>
      </c>
      <c r="AJ28" s="185"/>
      <c r="AK28" s="185"/>
    </row>
    <row r="29" spans="1:37" ht="15.75">
      <c r="A29" s="1"/>
      <c r="B29" s="1"/>
      <c r="C29" s="1"/>
      <c r="D29" s="1"/>
      <c r="E29" s="1"/>
      <c r="F29" s="1"/>
      <c r="G29" s="1"/>
      <c r="H29" s="1"/>
      <c r="I29" s="25" t="s">
        <v>349</v>
      </c>
      <c r="J29" s="26"/>
      <c r="K29" s="26"/>
      <c r="L29" s="25"/>
      <c r="M29" s="25"/>
      <c r="N29" s="1"/>
      <c r="AA29" s="185">
        <v>16</v>
      </c>
      <c r="AB29" s="185" t="str">
        <f>B23</f>
        <v>US Anterior 1</v>
      </c>
      <c r="AC29" s="185" t="str">
        <f t="shared" ca="1" si="7"/>
        <v>85+2</v>
      </c>
      <c r="AD29" s="186">
        <f>D23</f>
        <v>45636</v>
      </c>
      <c r="AE29" s="185" t="str">
        <f>_xlfn.CONCAT(F23,"+",G23)</f>
        <v>14+6</v>
      </c>
      <c r="AF29" s="185">
        <f ca="1">I23</f>
        <v>597</v>
      </c>
      <c r="AG29" s="185">
        <f t="shared" ref="AG29:AH31" ca="1" si="14">J23</f>
        <v>85.3</v>
      </c>
      <c r="AH29" s="185" t="str">
        <f t="shared" ca="1" si="14"/>
        <v>85+2</v>
      </c>
      <c r="AI29" s="185" t="str">
        <f>_xlfn.CONCAT("baseado em exame anterior realizado dia ",TEXT(AD29,"dd-mm-aa"), " com ",AE29)</f>
        <v>baseado em exame anterior realizado dia 10-12-24 com 14+6</v>
      </c>
      <c r="AJ29" s="185"/>
      <c r="AK29" s="185"/>
    </row>
    <row r="30" spans="1:37" ht="15.75">
      <c r="A30" s="1"/>
      <c r="B30" s="1"/>
      <c r="C30" s="1"/>
      <c r="D30" s="1"/>
      <c r="E30" s="1"/>
      <c r="F30" s="1"/>
      <c r="G30" s="1"/>
      <c r="H30" s="1"/>
      <c r="I30" s="2"/>
      <c r="J30" s="2"/>
      <c r="K30" s="2"/>
      <c r="L30" s="1"/>
      <c r="M30" s="1"/>
      <c r="N30" s="1"/>
      <c r="X30" s="184">
        <f t="shared" ref="X30:X41" ca="1" si="15">IF((L32-$D$8)&gt;1,1,0)</f>
        <v>0</v>
      </c>
      <c r="AA30" s="185">
        <v>17</v>
      </c>
      <c r="AB30" s="185" t="str">
        <f>B24</f>
        <v>US Anterior 2</v>
      </c>
      <c r="AC30" s="185" t="str">
        <f t="shared" si="7"/>
        <v/>
      </c>
      <c r="AD30" s="186">
        <f>D24</f>
        <v>0</v>
      </c>
      <c r="AE30" s="185" t="str">
        <f>_xlfn.CONCAT(F24,"+",G24)</f>
        <v>+</v>
      </c>
      <c r="AF30" s="185" t="str">
        <f>I24</f>
        <v/>
      </c>
      <c r="AG30" s="185" t="str">
        <f t="shared" si="14"/>
        <v/>
      </c>
      <c r="AH30" s="185" t="str">
        <f t="shared" si="14"/>
        <v/>
      </c>
      <c r="AI30" s="185" t="str">
        <f>_xlfn.CONCAT("baseado em exame anterior realizado dia ",TEXT(AD30,"dd-mm-aa"), " com ",AE30)</f>
        <v>baseado em exame anterior realizado dia 00-01-00 com +</v>
      </c>
      <c r="AJ30" s="185"/>
      <c r="AK30" s="185"/>
    </row>
    <row r="31" spans="1:37" ht="15.75">
      <c r="A31" s="1"/>
      <c r="B31" s="1"/>
      <c r="C31" s="1"/>
      <c r="D31" s="1"/>
      <c r="E31" s="1"/>
      <c r="F31" s="1"/>
      <c r="G31" s="1"/>
      <c r="H31" s="1"/>
      <c r="I31" s="28" t="s">
        <v>44</v>
      </c>
      <c r="J31" s="28"/>
      <c r="K31" s="28" t="s">
        <v>45</v>
      </c>
      <c r="L31" s="280" t="s">
        <v>8</v>
      </c>
      <c r="M31" s="280"/>
      <c r="N31" s="1"/>
      <c r="P31" s="3" t="s">
        <v>313</v>
      </c>
      <c r="S31" s="3" t="s">
        <v>307</v>
      </c>
      <c r="X31" s="184">
        <f t="shared" ca="1" si="15"/>
        <v>0</v>
      </c>
      <c r="AA31" s="185">
        <v>18</v>
      </c>
      <c r="AB31" s="185" t="str">
        <f>B25</f>
        <v>US Anterior 3</v>
      </c>
      <c r="AC31" s="185" t="str">
        <f t="shared" si="7"/>
        <v/>
      </c>
      <c r="AD31" s="186">
        <f>D25</f>
        <v>0</v>
      </c>
      <c r="AE31" s="185" t="str">
        <f>_xlfn.CONCAT(F25,"+",G25)</f>
        <v>+</v>
      </c>
      <c r="AF31" s="185" t="str">
        <f>I25</f>
        <v/>
      </c>
      <c r="AG31" s="185" t="str">
        <f t="shared" si="14"/>
        <v/>
      </c>
      <c r="AH31" s="185" t="str">
        <f t="shared" si="14"/>
        <v/>
      </c>
      <c r="AI31" s="185" t="str">
        <f>_xlfn.CONCAT("baseado em exame anterior realizado dia ",TEXT(AD31,"dd-mm-aa"), " com ",AE31)</f>
        <v>baseado em exame anterior realizado dia 00-01-00 com +</v>
      </c>
      <c r="AJ31" s="185"/>
      <c r="AK31" s="185"/>
    </row>
    <row r="32" spans="1:37" ht="15.75">
      <c r="A32" s="1"/>
      <c r="B32" s="1"/>
      <c r="C32" s="1"/>
      <c r="D32" s="1"/>
      <c r="E32" s="1"/>
      <c r="F32" s="1"/>
      <c r="G32" s="1"/>
      <c r="H32" s="1"/>
      <c r="I32" s="294" t="s">
        <v>23</v>
      </c>
      <c r="J32" s="294"/>
      <c r="K32" s="29" t="s">
        <v>46</v>
      </c>
      <c r="L32" s="279">
        <f>L43-280</f>
        <v>45532</v>
      </c>
      <c r="M32" s="279"/>
      <c r="P32" s="3" t="s">
        <v>306</v>
      </c>
      <c r="S32" s="3" t="s">
        <v>310</v>
      </c>
      <c r="X32" s="184">
        <f t="shared" ca="1" si="15"/>
        <v>0</v>
      </c>
    </row>
    <row r="33" spans="1:24" ht="15.75">
      <c r="A33" s="1"/>
      <c r="B33" s="1"/>
      <c r="C33" s="1"/>
      <c r="D33" s="1"/>
      <c r="E33" s="1"/>
      <c r="F33" s="1"/>
      <c r="G33" s="1"/>
      <c r="H33" s="1"/>
      <c r="I33" s="294" t="s">
        <v>26</v>
      </c>
      <c r="J33" s="294"/>
      <c r="K33" s="29" t="s">
        <v>47</v>
      </c>
      <c r="L33" s="279">
        <f>L32+14</f>
        <v>45546</v>
      </c>
      <c r="M33" s="279"/>
      <c r="P33" s="3" t="s">
        <v>312</v>
      </c>
      <c r="S33" s="3" t="s">
        <v>311</v>
      </c>
      <c r="X33" s="184">
        <f t="shared" ca="1" si="15"/>
        <v>0</v>
      </c>
    </row>
    <row r="34" spans="1:24" ht="15.75">
      <c r="I34" s="294" t="s">
        <v>48</v>
      </c>
      <c r="J34" s="294"/>
      <c r="K34" s="29" t="s">
        <v>49</v>
      </c>
      <c r="L34" s="279">
        <f>L32+35</f>
        <v>45567</v>
      </c>
      <c r="M34" s="279"/>
      <c r="P34" s="3" t="s">
        <v>308</v>
      </c>
      <c r="X34" s="184">
        <f t="shared" ca="1" si="15"/>
        <v>0</v>
      </c>
    </row>
    <row r="35" spans="1:24" ht="15.75">
      <c r="I35" s="294" t="s">
        <v>50</v>
      </c>
      <c r="J35" s="294"/>
      <c r="K35" s="29" t="s">
        <v>51</v>
      </c>
      <c r="L35" s="30">
        <f>L32+56</f>
        <v>45588</v>
      </c>
      <c r="M35" s="30">
        <f>L32+70</f>
        <v>45602</v>
      </c>
      <c r="P35" s="3" t="s">
        <v>309</v>
      </c>
      <c r="X35" s="184">
        <f t="shared" ca="1" si="15"/>
        <v>0</v>
      </c>
    </row>
    <row r="36" spans="1:24" ht="15.75">
      <c r="I36" s="294" t="s">
        <v>66</v>
      </c>
      <c r="J36" s="294"/>
      <c r="K36" s="29" t="s">
        <v>65</v>
      </c>
      <c r="L36" s="30">
        <f>L32+84</f>
        <v>45616</v>
      </c>
      <c r="M36" s="30">
        <f>L32+91</f>
        <v>45623</v>
      </c>
      <c r="P36" s="3" t="s">
        <v>300</v>
      </c>
      <c r="X36" s="184">
        <f t="shared" ca="1" si="15"/>
        <v>0</v>
      </c>
    </row>
    <row r="37" spans="1:24" ht="15.75">
      <c r="I37" s="294" t="s">
        <v>63</v>
      </c>
      <c r="J37" s="294"/>
      <c r="K37" s="31" t="s">
        <v>64</v>
      </c>
      <c r="L37" s="30">
        <f>L32+77</f>
        <v>45609</v>
      </c>
      <c r="M37" s="30">
        <f>L32+98</f>
        <v>45630</v>
      </c>
      <c r="P37" s="3" t="s">
        <v>301</v>
      </c>
      <c r="X37" s="184">
        <f t="shared" ca="1" si="15"/>
        <v>0</v>
      </c>
    </row>
    <row r="38" spans="1:24" ht="15.75">
      <c r="I38" s="294" t="s">
        <v>52</v>
      </c>
      <c r="J38" s="294"/>
      <c r="K38" s="29" t="s">
        <v>53</v>
      </c>
      <c r="L38" s="279">
        <f>L32+112</f>
        <v>45644</v>
      </c>
      <c r="M38" s="279"/>
      <c r="P38" s="3" t="s">
        <v>314</v>
      </c>
      <c r="X38" s="184">
        <f t="shared" ca="1" si="15"/>
        <v>0</v>
      </c>
    </row>
    <row r="39" spans="1:24" ht="15.75">
      <c r="I39" s="294" t="s">
        <v>54</v>
      </c>
      <c r="J39" s="294"/>
      <c r="K39" s="29" t="s">
        <v>55</v>
      </c>
      <c r="L39" s="30">
        <f>L32+140</f>
        <v>45672</v>
      </c>
      <c r="M39" s="30">
        <f>L32+168</f>
        <v>45700</v>
      </c>
      <c r="X39" s="184">
        <f t="shared" ca="1" si="15"/>
        <v>0</v>
      </c>
    </row>
    <row r="40" spans="1:24" ht="15.75">
      <c r="I40" s="294" t="s">
        <v>56</v>
      </c>
      <c r="J40" s="294"/>
      <c r="K40" s="29">
        <v>28</v>
      </c>
      <c r="L40" s="279">
        <f>L32+196</f>
        <v>45728</v>
      </c>
      <c r="M40" s="279"/>
      <c r="X40" s="184">
        <f t="shared" ca="1" si="15"/>
        <v>0</v>
      </c>
    </row>
    <row r="41" spans="1:24" ht="15.75">
      <c r="I41" s="294" t="s">
        <v>58</v>
      </c>
      <c r="J41" s="294"/>
      <c r="K41" s="29" t="s">
        <v>57</v>
      </c>
      <c r="L41" s="30">
        <f>L32+196</f>
        <v>45728</v>
      </c>
      <c r="M41" s="30">
        <f>L32+224</f>
        <v>45756</v>
      </c>
      <c r="X41" s="184">
        <f t="shared" ca="1" si="15"/>
        <v>0</v>
      </c>
    </row>
    <row r="42" spans="1:24" ht="15.75">
      <c r="I42" s="294" t="s">
        <v>59</v>
      </c>
      <c r="J42" s="294"/>
      <c r="K42" s="29" t="s">
        <v>60</v>
      </c>
      <c r="L42" s="279">
        <f>L43-21</f>
        <v>45791</v>
      </c>
      <c r="M42" s="279"/>
    </row>
    <row r="43" spans="1:24" ht="15.75">
      <c r="I43" s="294" t="s">
        <v>6</v>
      </c>
      <c r="J43" s="294"/>
      <c r="K43" s="29" t="s">
        <v>61</v>
      </c>
      <c r="L43" s="279">
        <f>M27</f>
        <v>45812</v>
      </c>
      <c r="M43" s="279"/>
    </row>
    <row r="51" spans="2:11">
      <c r="B51" s="15"/>
      <c r="C51" s="15"/>
      <c r="D51" s="15"/>
      <c r="E51" s="15"/>
      <c r="F51" s="15"/>
      <c r="G51" s="15"/>
      <c r="H51" s="15"/>
      <c r="I51" s="3"/>
      <c r="J51" s="15"/>
      <c r="K51" s="3"/>
    </row>
  </sheetData>
  <sheetProtection selectLockedCells="1"/>
  <mergeCells count="60">
    <mergeCell ref="L42:M42"/>
    <mergeCell ref="L43:M43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L34:M34"/>
    <mergeCell ref="L40:M40"/>
    <mergeCell ref="B21:C22"/>
    <mergeCell ref="D21:E22"/>
    <mergeCell ref="F21:G21"/>
    <mergeCell ref="H21:H25"/>
    <mergeCell ref="D4:E4"/>
    <mergeCell ref="D5:M5"/>
    <mergeCell ref="D6:E6"/>
    <mergeCell ref="B15:C15"/>
    <mergeCell ref="D15:E15"/>
    <mergeCell ref="F15:H20"/>
    <mergeCell ref="B16:C16"/>
    <mergeCell ref="D16:E16"/>
    <mergeCell ref="B17:C17"/>
    <mergeCell ref="D17:E17"/>
    <mergeCell ref="D18:E18"/>
    <mergeCell ref="B19:C19"/>
    <mergeCell ref="L38:M38"/>
    <mergeCell ref="L21:L22"/>
    <mergeCell ref="M21:M22"/>
    <mergeCell ref="D23:E23"/>
    <mergeCell ref="D24:E24"/>
    <mergeCell ref="D25:E25"/>
    <mergeCell ref="I21:K21"/>
    <mergeCell ref="M8:O9"/>
    <mergeCell ref="I27:K27"/>
    <mergeCell ref="L32:M32"/>
    <mergeCell ref="L33:M33"/>
    <mergeCell ref="L31:M31"/>
    <mergeCell ref="D19:E19"/>
    <mergeCell ref="B20:C20"/>
    <mergeCell ref="U8:V9"/>
    <mergeCell ref="B13:C14"/>
    <mergeCell ref="D13:E14"/>
    <mergeCell ref="F13:H14"/>
    <mergeCell ref="I13:K13"/>
    <mergeCell ref="L13:L14"/>
    <mergeCell ref="M13:M14"/>
    <mergeCell ref="P13:R14"/>
    <mergeCell ref="S13:U13"/>
    <mergeCell ref="V13:V14"/>
    <mergeCell ref="R8:T9"/>
    <mergeCell ref="B8:C9"/>
    <mergeCell ref="D8:H9"/>
    <mergeCell ref="J8:L9"/>
  </mergeCells>
  <conditionalFormatting sqref="I32:M43">
    <cfRule type="expression" dxfId="16" priority="4">
      <formula>$X30=0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istBox1">
          <controlPr defaultSize="0" autoLine="0" linkedCell="AA12" listFillRange="AA14:AC31" r:id="rId5">
            <anchor moveWithCells="1">
              <from>
                <xdr:col>0</xdr:col>
                <xdr:colOff>428625</xdr:colOff>
                <xdr:row>26</xdr:row>
                <xdr:rowOff>190500</xdr:rowOff>
              </from>
              <to>
                <xdr:col>4</xdr:col>
                <xdr:colOff>161925</xdr:colOff>
                <xdr:row>76</xdr:row>
                <xdr:rowOff>123825</xdr:rowOff>
              </to>
            </anchor>
          </controlPr>
        </control>
      </mc:Choice>
      <mc:Fallback>
        <control shapeId="1025" r:id="rId4" name="ListBox1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r:id="rId7">
            <anchor moveWithCells="1">
              <from>
                <xdr:col>5</xdr:col>
                <xdr:colOff>0</xdr:colOff>
                <xdr:row>26</xdr:row>
                <xdr:rowOff>190500</xdr:rowOff>
              </from>
              <to>
                <xdr:col>7</xdr:col>
                <xdr:colOff>95250</xdr:colOff>
                <xdr:row>42</xdr:row>
                <xdr:rowOff>85725</xdr:rowOff>
              </to>
            </anchor>
          </controlPr>
        </control>
      </mc:Choice>
      <mc:Fallback>
        <control shapeId="102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26171-2E31-4982-A4ED-0F261C451D3E}">
  <sheetPr codeName="Planilha2"/>
  <dimension ref="A1:AG137"/>
  <sheetViews>
    <sheetView topLeftCell="A4" zoomScale="150" zoomScaleNormal="150" workbookViewId="0">
      <selection activeCell="BD75" sqref="BD75"/>
    </sheetView>
  </sheetViews>
  <sheetFormatPr defaultColWidth="8.7109375" defaultRowHeight="10.5" customHeight="1" outlineLevelRow="1"/>
  <cols>
    <col min="1" max="1" width="2.140625" style="37" customWidth="1"/>
    <col min="2" max="2" width="9.5703125" style="37" customWidth="1"/>
    <col min="3" max="3" width="3.5703125" style="37" customWidth="1"/>
    <col min="4" max="5" width="3.42578125" style="37" customWidth="1"/>
    <col min="6" max="6" width="3.7109375" style="37" customWidth="1"/>
    <col min="7" max="7" width="5.85546875" style="37" customWidth="1"/>
    <col min="8" max="8" width="3.28515625" style="37" hidden="1" customWidth="1"/>
    <col min="9" max="10" width="3.5703125" style="37" customWidth="1"/>
    <col min="11" max="12" width="3.28515625" style="37" customWidth="1"/>
    <col min="13" max="13" width="3.7109375" style="37" customWidth="1"/>
    <col min="14" max="14" width="2.85546875" style="37" customWidth="1"/>
    <col min="15" max="16" width="4.140625" style="37" customWidth="1"/>
    <col min="17" max="17" width="3" style="37" customWidth="1"/>
    <col min="18" max="18" width="8.7109375" style="37"/>
    <col min="19" max="19" width="5.140625" style="37" customWidth="1"/>
    <col min="20" max="20" width="5.28515625" style="37" customWidth="1"/>
    <col min="21" max="21" width="4.5703125" style="37" customWidth="1"/>
    <col min="22" max="25" width="6.5703125" style="37" customWidth="1"/>
    <col min="26" max="28" width="4.5703125" style="37" customWidth="1"/>
    <col min="29" max="29" width="7.42578125" style="37" customWidth="1"/>
    <col min="30" max="30" width="3.7109375" style="37" customWidth="1"/>
    <col min="31" max="31" width="3.85546875" style="37" customWidth="1"/>
    <col min="32" max="32" width="4.85546875" style="37" customWidth="1"/>
    <col min="33" max="33" width="1.85546875" style="37" customWidth="1"/>
    <col min="34" max="34" width="2.42578125" style="37" customWidth="1"/>
    <col min="35" max="55" width="1.85546875" style="37" customWidth="1"/>
    <col min="56" max="16384" width="8.7109375" style="37"/>
  </cols>
  <sheetData>
    <row r="1" spans="1:25" ht="12" customHeight="1">
      <c r="B1" s="230" t="str">
        <f>Start!D5</f>
        <v>Ana Carolina Silveira e Silva Streit</v>
      </c>
      <c r="L1" s="204" t="str">
        <f ca="1">_xlfn.CONCAT(INT((T1-P1)/365)," anos")</f>
        <v>34 anos</v>
      </c>
      <c r="O1" s="204" t="s">
        <v>3</v>
      </c>
      <c r="P1" s="328">
        <f>Start!D6</f>
        <v>33403</v>
      </c>
      <c r="Q1" s="328"/>
      <c r="R1" s="328"/>
      <c r="S1" s="231" t="s">
        <v>67</v>
      </c>
      <c r="T1" s="297">
        <f ca="1">TODAY()</f>
        <v>46129</v>
      </c>
      <c r="U1" s="297"/>
      <c r="V1" s="297"/>
      <c r="W1" s="233"/>
      <c r="X1" s="233"/>
      <c r="Y1" s="233"/>
    </row>
    <row r="2" spans="1:25" ht="6" customHeight="1"/>
    <row r="3" spans="1:25" ht="13.5" customHeight="1">
      <c r="A3" s="298" t="s">
        <v>68</v>
      </c>
      <c r="B3" s="298"/>
      <c r="C3" s="331">
        <f>Start!M27</f>
        <v>45812</v>
      </c>
      <c r="D3" s="331"/>
      <c r="E3" s="331"/>
      <c r="F3" s="331"/>
      <c r="G3" s="331"/>
      <c r="I3" s="205" t="str">
        <f>_xlfn.CONCAT(Start!I28," ",Start!I29)</f>
        <v>IG definida em 24 sem e 2 dias no dia 14-02-25 baseado em exame anterior realizado dia 10-12-24 com 14+6</v>
      </c>
    </row>
    <row r="4" spans="1:25" ht="5.45" customHeight="1"/>
    <row r="5" spans="1:25" ht="10.5" customHeight="1">
      <c r="R5" s="209" t="s">
        <v>176</v>
      </c>
      <c r="S5" s="209">
        <v>170</v>
      </c>
      <c r="T5" s="209" t="s">
        <v>177</v>
      </c>
    </row>
    <row r="6" spans="1:25" s="205" customFormat="1" ht="10.5" customHeight="1">
      <c r="A6" s="295" t="s">
        <v>70</v>
      </c>
      <c r="B6" s="295"/>
      <c r="C6" s="209"/>
      <c r="D6" s="209" t="s">
        <v>71</v>
      </c>
      <c r="E6" s="209"/>
      <c r="F6" s="209" t="s">
        <v>72</v>
      </c>
      <c r="G6" s="209"/>
      <c r="H6" s="209"/>
      <c r="I6" s="209"/>
      <c r="J6" s="209" t="s">
        <v>73</v>
      </c>
      <c r="K6" s="209"/>
      <c r="L6" s="295"/>
      <c r="M6" s="295"/>
      <c r="N6" s="209" t="s">
        <v>78</v>
      </c>
      <c r="O6" s="295"/>
      <c r="P6" s="295"/>
      <c r="R6" s="209" t="s">
        <v>153</v>
      </c>
      <c r="S6" s="295"/>
      <c r="T6" s="295"/>
    </row>
    <row r="7" spans="1:25" s="205" customFormat="1" ht="10.5" hidden="1" customHeight="1" outlineLevel="1">
      <c r="A7" s="209"/>
      <c r="B7" s="209" t="s">
        <v>74</v>
      </c>
      <c r="C7" s="209" t="s">
        <v>76</v>
      </c>
      <c r="D7" s="209"/>
      <c r="E7" s="209" t="s">
        <v>35</v>
      </c>
      <c r="F7" s="295" t="s">
        <v>77</v>
      </c>
      <c r="G7" s="295"/>
      <c r="H7" s="209" t="s">
        <v>75</v>
      </c>
      <c r="I7" s="296" t="s">
        <v>78</v>
      </c>
      <c r="J7" s="296"/>
      <c r="K7" s="296"/>
      <c r="L7" s="296"/>
      <c r="M7" s="296"/>
      <c r="N7" s="296"/>
      <c r="O7" s="296"/>
      <c r="P7" s="296"/>
    </row>
    <row r="8" spans="1:25" s="205" customFormat="1" ht="10.5" hidden="1" customHeight="1" outlineLevel="1">
      <c r="A8" s="209">
        <v>1</v>
      </c>
      <c r="B8" s="209"/>
      <c r="C8" s="296"/>
      <c r="D8" s="296"/>
      <c r="E8" s="209"/>
      <c r="F8" s="296"/>
      <c r="G8" s="296"/>
      <c r="H8" s="209"/>
      <c r="I8" s="296"/>
      <c r="J8" s="296"/>
      <c r="K8" s="296"/>
      <c r="L8" s="296"/>
      <c r="M8" s="296"/>
      <c r="N8" s="296"/>
      <c r="O8" s="296"/>
      <c r="P8" s="296"/>
    </row>
    <row r="9" spans="1:25" s="205" customFormat="1" ht="10.5" hidden="1" customHeight="1" outlineLevel="1">
      <c r="A9" s="209">
        <v>2</v>
      </c>
      <c r="B9" s="209"/>
      <c r="C9" s="296"/>
      <c r="D9" s="296"/>
      <c r="E9" s="209"/>
      <c r="F9" s="296"/>
      <c r="G9" s="296"/>
      <c r="H9" s="209"/>
      <c r="I9" s="296"/>
      <c r="J9" s="296"/>
      <c r="K9" s="296"/>
      <c r="L9" s="296"/>
      <c r="M9" s="296"/>
      <c r="N9" s="296"/>
      <c r="O9" s="296"/>
      <c r="P9" s="296"/>
    </row>
    <row r="10" spans="1:25" s="205" customFormat="1" ht="10.5" hidden="1" customHeight="1" outlineLevel="1">
      <c r="A10" s="209">
        <v>3</v>
      </c>
      <c r="B10" s="209"/>
      <c r="C10" s="296"/>
      <c r="D10" s="296"/>
      <c r="E10" s="209"/>
      <c r="F10" s="296"/>
      <c r="G10" s="296"/>
      <c r="H10" s="209"/>
      <c r="I10" s="296"/>
      <c r="J10" s="296"/>
      <c r="K10" s="296"/>
      <c r="L10" s="296"/>
      <c r="M10" s="296"/>
      <c r="N10" s="296"/>
      <c r="O10" s="296"/>
      <c r="P10" s="296"/>
    </row>
    <row r="11" spans="1:25" s="205" customFormat="1" ht="10.5" hidden="1" customHeight="1" outlineLevel="1">
      <c r="A11" s="209">
        <v>4</v>
      </c>
      <c r="B11" s="209"/>
      <c r="C11" s="296"/>
      <c r="D11" s="296"/>
      <c r="E11" s="209"/>
      <c r="F11" s="296"/>
      <c r="G11" s="296"/>
      <c r="H11" s="209"/>
      <c r="I11" s="296"/>
      <c r="J11" s="296"/>
      <c r="K11" s="296"/>
      <c r="L11" s="296"/>
      <c r="M11" s="296"/>
      <c r="N11" s="296"/>
      <c r="O11" s="296"/>
      <c r="P11" s="296"/>
    </row>
    <row r="12" spans="1:25" s="205" customFormat="1" ht="10.5" hidden="1" customHeight="1" outlineLevel="1">
      <c r="A12" s="209">
        <v>5</v>
      </c>
      <c r="B12" s="209"/>
      <c r="C12" s="296"/>
      <c r="D12" s="296"/>
      <c r="E12" s="209"/>
      <c r="F12" s="296"/>
      <c r="G12" s="296"/>
      <c r="H12" s="209"/>
      <c r="I12" s="296"/>
      <c r="J12" s="296"/>
      <c r="K12" s="296"/>
      <c r="L12" s="296"/>
      <c r="M12" s="296"/>
      <c r="N12" s="296"/>
      <c r="O12" s="296"/>
      <c r="P12" s="296"/>
    </row>
    <row r="13" spans="1:25" s="205" customFormat="1" ht="5.45" customHeight="1" collapsed="1"/>
    <row r="14" spans="1:25" s="205" customFormat="1" ht="10.5" customHeight="1">
      <c r="A14" s="301" t="s">
        <v>274</v>
      </c>
      <c r="B14" s="301"/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R14" s="209" t="s">
        <v>327</v>
      </c>
      <c r="S14" s="296"/>
      <c r="T14" s="296"/>
      <c r="U14" s="296"/>
      <c r="V14" s="296"/>
    </row>
    <row r="15" spans="1:25" s="205" customFormat="1" ht="10.5" customHeight="1">
      <c r="A15" s="209">
        <v>1</v>
      </c>
      <c r="B15" s="296" t="s">
        <v>315</v>
      </c>
      <c r="C15" s="296"/>
      <c r="D15" s="296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296"/>
      <c r="P15" s="296"/>
      <c r="R15" s="209" t="s">
        <v>153</v>
      </c>
      <c r="S15" s="296"/>
      <c r="T15" s="296"/>
      <c r="U15" s="296"/>
      <c r="V15" s="296"/>
    </row>
    <row r="16" spans="1:25" s="205" customFormat="1" ht="10.5" hidden="1" customHeight="1" outlineLevel="1">
      <c r="A16" s="209">
        <v>2</v>
      </c>
      <c r="B16" s="296"/>
      <c r="C16" s="296"/>
      <c r="D16" s="296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</row>
    <row r="17" spans="1:27" s="205" customFormat="1" ht="10.5" hidden="1" customHeight="1" outlineLevel="1">
      <c r="A17" s="209">
        <v>3</v>
      </c>
      <c r="B17" s="296"/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</row>
    <row r="18" spans="1:27" s="205" customFormat="1" ht="10.5" hidden="1" customHeight="1" outlineLevel="1">
      <c r="A18" s="209">
        <v>4</v>
      </c>
      <c r="B18" s="296"/>
      <c r="C18" s="296"/>
      <c r="D18" s="296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296"/>
      <c r="P18" s="296"/>
    </row>
    <row r="19" spans="1:27" s="205" customFormat="1" ht="10.5" hidden="1" customHeight="1" outlineLevel="1">
      <c r="A19" s="209">
        <v>5</v>
      </c>
      <c r="B19" s="296"/>
      <c r="C19" s="296"/>
      <c r="D19" s="296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296"/>
      <c r="P19" s="296"/>
    </row>
    <row r="20" spans="1:27" s="205" customFormat="1" ht="6" customHeight="1" collapsed="1"/>
    <row r="21" spans="1:27" s="205" customFormat="1" ht="10.5" customHeight="1">
      <c r="A21" s="301" t="s">
        <v>275</v>
      </c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  <c r="R21" s="205" t="s">
        <v>89</v>
      </c>
    </row>
    <row r="22" spans="1:27" s="205" customFormat="1" ht="10.5" customHeight="1">
      <c r="A22" s="209">
        <v>1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R22" s="205" t="s">
        <v>90</v>
      </c>
    </row>
    <row r="23" spans="1:27" s="205" customFormat="1" ht="10.5" hidden="1" customHeight="1" outlineLevel="1">
      <c r="A23" s="209">
        <v>2</v>
      </c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</row>
    <row r="24" spans="1:27" s="205" customFormat="1" ht="10.5" hidden="1" customHeight="1" outlineLevel="1">
      <c r="A24" s="209">
        <v>3</v>
      </c>
      <c r="B24" s="296"/>
      <c r="C24" s="296"/>
      <c r="D24" s="296"/>
      <c r="E24" s="296"/>
      <c r="F24" s="296"/>
      <c r="G24" s="296"/>
      <c r="H24" s="296"/>
      <c r="I24" s="296"/>
      <c r="J24" s="296"/>
      <c r="K24" s="296"/>
      <c r="L24" s="296"/>
      <c r="M24" s="296"/>
      <c r="N24" s="296"/>
      <c r="O24" s="296"/>
      <c r="P24" s="296"/>
    </row>
    <row r="25" spans="1:27" s="205" customFormat="1" ht="10.5" hidden="1" customHeight="1" outlineLevel="1">
      <c r="A25" s="209">
        <v>4</v>
      </c>
      <c r="B25" s="296"/>
      <c r="C25" s="296"/>
      <c r="D25" s="296"/>
      <c r="E25" s="296"/>
      <c r="F25" s="296"/>
      <c r="G25" s="296"/>
      <c r="H25" s="296"/>
      <c r="I25" s="296"/>
      <c r="J25" s="296"/>
      <c r="K25" s="296"/>
      <c r="L25" s="296"/>
      <c r="M25" s="296"/>
      <c r="N25" s="296"/>
      <c r="O25" s="296"/>
      <c r="P25" s="296"/>
    </row>
    <row r="26" spans="1:27" s="205" customFormat="1" ht="10.5" hidden="1" customHeight="1" outlineLevel="1">
      <c r="A26" s="209">
        <v>5</v>
      </c>
      <c r="B26" s="296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</row>
    <row r="27" spans="1:27" s="205" customFormat="1" ht="10.5" customHeight="1" collapsed="1"/>
    <row r="28" spans="1:27" s="205" customFormat="1" ht="10.5" customHeight="1">
      <c r="A28" s="229" t="s">
        <v>336</v>
      </c>
      <c r="B28" s="227"/>
      <c r="C28" s="227"/>
      <c r="D28" s="227"/>
      <c r="E28" s="227"/>
      <c r="F28" s="227"/>
      <c r="G28" s="227"/>
      <c r="H28" s="227"/>
      <c r="I28" s="227"/>
      <c r="J28" s="227"/>
      <c r="K28" s="227"/>
      <c r="L28" s="227"/>
      <c r="M28" s="227"/>
      <c r="N28" s="227"/>
      <c r="O28" s="227"/>
      <c r="P28" s="227"/>
      <c r="R28" s="205" t="s">
        <v>83</v>
      </c>
      <c r="AA28" s="205" t="s">
        <v>298</v>
      </c>
    </row>
    <row r="29" spans="1:27" s="205" customFormat="1" ht="10.5" customHeight="1">
      <c r="A29" s="205" t="s">
        <v>86</v>
      </c>
      <c r="D29" s="205" t="s">
        <v>84</v>
      </c>
      <c r="I29" s="205" t="s">
        <v>85</v>
      </c>
      <c r="AA29" s="205" t="s">
        <v>299</v>
      </c>
    </row>
    <row r="30" spans="1:27" s="205" customFormat="1" ht="10.5" customHeight="1">
      <c r="R30" s="204"/>
      <c r="AA30" s="205" t="s">
        <v>300</v>
      </c>
    </row>
    <row r="31" spans="1:27" s="205" customFormat="1" ht="10.5" customHeight="1"/>
    <row r="32" spans="1:27" s="205" customFormat="1" ht="10.5" customHeight="1">
      <c r="A32" s="301" t="s">
        <v>80</v>
      </c>
      <c r="B32" s="301"/>
      <c r="C32" s="301"/>
      <c r="D32" s="301"/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01"/>
      <c r="P32" s="301"/>
      <c r="Q32" s="232"/>
      <c r="R32" s="301" t="s">
        <v>152</v>
      </c>
      <c r="S32" s="301"/>
      <c r="T32" s="301"/>
      <c r="U32" s="301"/>
      <c r="V32" s="228" t="s">
        <v>335</v>
      </c>
      <c r="W32" s="229"/>
      <c r="X32" s="229"/>
      <c r="Y32" s="229"/>
      <c r="AA32" s="205" t="s">
        <v>301</v>
      </c>
    </row>
    <row r="33" spans="1:33" s="205" customFormat="1" ht="10.5" customHeight="1">
      <c r="A33" s="228" t="s">
        <v>79</v>
      </c>
      <c r="B33" s="319" t="s">
        <v>81</v>
      </c>
      <c r="C33" s="319"/>
      <c r="D33" s="302" t="s">
        <v>332</v>
      </c>
      <c r="E33" s="302"/>
      <c r="F33" s="228" t="s">
        <v>19</v>
      </c>
      <c r="G33" s="228" t="s">
        <v>82</v>
      </c>
      <c r="H33" s="228"/>
      <c r="I33" s="228" t="s">
        <v>19</v>
      </c>
      <c r="J33" s="302" t="s">
        <v>192</v>
      </c>
      <c r="K33" s="302"/>
      <c r="L33" s="302"/>
      <c r="M33" s="302"/>
      <c r="N33" s="302"/>
      <c r="O33" s="302"/>
      <c r="P33" s="302"/>
      <c r="Q33" s="232"/>
      <c r="R33" s="209" t="s">
        <v>333</v>
      </c>
      <c r="S33" s="209"/>
      <c r="T33" s="219"/>
      <c r="U33" s="209"/>
      <c r="V33" s="209"/>
      <c r="AA33" s="205" t="s">
        <v>302</v>
      </c>
    </row>
    <row r="34" spans="1:33" s="205" customFormat="1" ht="10.5" customHeight="1">
      <c r="A34" s="209">
        <v>1</v>
      </c>
      <c r="B34" s="296" t="s">
        <v>87</v>
      </c>
      <c r="C34" s="296"/>
      <c r="D34" s="309">
        <v>45338</v>
      </c>
      <c r="E34" s="309"/>
      <c r="F34" s="224" t="str" cm="1">
        <f t="array" ref="F34">IF(D34="","",IGsdd(ROUND((D34-($C$3-280)),1),1))</f>
        <v>-28+2</v>
      </c>
      <c r="G34" s="220"/>
      <c r="H34" s="209" t="str" cm="1">
        <f t="array" ref="H34">IF(G34="","",IGsdd(ROUND((G34-($C$3-280)),1),1))</f>
        <v/>
      </c>
      <c r="I34" s="209"/>
      <c r="J34" s="296"/>
      <c r="K34" s="296"/>
      <c r="L34" s="296"/>
      <c r="M34" s="296"/>
      <c r="N34" s="296"/>
      <c r="O34" s="296"/>
      <c r="P34" s="296"/>
      <c r="R34" s="209" t="s">
        <v>334</v>
      </c>
      <c r="S34" s="209"/>
      <c r="T34" s="295"/>
      <c r="U34" s="295"/>
      <c r="V34" s="295"/>
      <c r="W34" s="240"/>
      <c r="X34" s="240"/>
      <c r="Y34" s="240"/>
      <c r="AA34" s="205" t="s">
        <v>303</v>
      </c>
    </row>
    <row r="35" spans="1:33" s="205" customFormat="1" ht="10.5" customHeight="1">
      <c r="A35" s="209">
        <v>2</v>
      </c>
      <c r="B35" s="296" t="s">
        <v>329</v>
      </c>
      <c r="C35" s="296"/>
      <c r="D35" s="309"/>
      <c r="E35" s="309"/>
      <c r="F35" s="209" t="str">
        <f t="shared" ref="F35:F43" si="0">IF(D35="","",ROUND((B48-($C$3-280)),1))</f>
        <v/>
      </c>
      <c r="G35" s="220"/>
      <c r="H35" s="209" t="str" cm="1">
        <f t="array" ref="H35">IF(G35="","",IGsdd(ROUND((G35-($C$3-280)),1),1))</f>
        <v/>
      </c>
      <c r="I35" s="209"/>
      <c r="J35" s="296"/>
      <c r="K35" s="296"/>
      <c r="L35" s="296"/>
      <c r="M35" s="296"/>
      <c r="N35" s="296"/>
      <c r="O35" s="296"/>
      <c r="P35" s="296"/>
      <c r="R35" s="209" t="s">
        <v>175</v>
      </c>
      <c r="S35" s="209"/>
      <c r="T35" s="209"/>
      <c r="U35" s="209"/>
      <c r="V35" s="209"/>
    </row>
    <row r="36" spans="1:33" s="205" customFormat="1" ht="10.5" customHeight="1">
      <c r="A36" s="209">
        <v>3</v>
      </c>
      <c r="B36" s="296" t="s">
        <v>330</v>
      </c>
      <c r="C36" s="296"/>
      <c r="D36" s="309"/>
      <c r="E36" s="309"/>
      <c r="F36" s="209" t="str">
        <f t="shared" si="0"/>
        <v/>
      </c>
      <c r="G36" s="220"/>
      <c r="H36" s="209" t="str" cm="1">
        <f t="array" ref="H36">IF(G36="","",IGsdd(ROUND((G36-($C$3-280)),1),1))</f>
        <v/>
      </c>
      <c r="I36" s="209"/>
      <c r="J36" s="296"/>
      <c r="K36" s="296"/>
      <c r="L36" s="296"/>
      <c r="M36" s="296"/>
      <c r="N36" s="296"/>
      <c r="O36" s="296"/>
      <c r="P36" s="296"/>
      <c r="R36" s="209" t="s">
        <v>180</v>
      </c>
      <c r="S36" s="209"/>
      <c r="T36" s="209"/>
      <c r="U36" s="209"/>
      <c r="V36" s="209"/>
    </row>
    <row r="37" spans="1:33" ht="10.5" customHeight="1">
      <c r="A37" s="209">
        <v>4</v>
      </c>
      <c r="B37" s="303" t="s">
        <v>331</v>
      </c>
      <c r="C37" s="303"/>
      <c r="D37" s="308"/>
      <c r="E37" s="308"/>
      <c r="F37" s="209" t="str">
        <f t="shared" si="0"/>
        <v/>
      </c>
      <c r="G37" s="225"/>
      <c r="H37" s="209" t="str" cm="1">
        <f t="array" ref="H37">IF(G37="","",IGsdd(ROUND((G37-($C$3-280)),1),1))</f>
        <v/>
      </c>
      <c r="I37" s="210"/>
      <c r="J37" s="303"/>
      <c r="K37" s="303"/>
      <c r="L37" s="303"/>
      <c r="M37" s="303"/>
      <c r="N37" s="303"/>
      <c r="O37" s="303"/>
      <c r="P37" s="303"/>
      <c r="Q37" s="204"/>
      <c r="R37" s="209" t="s">
        <v>276</v>
      </c>
      <c r="S37" s="226"/>
      <c r="T37" s="226"/>
      <c r="U37" s="226"/>
      <c r="V37" s="226"/>
    </row>
    <row r="38" spans="1:33" ht="10.5" hidden="1" customHeight="1" outlineLevel="1">
      <c r="A38" s="209">
        <v>5</v>
      </c>
      <c r="B38" s="303" t="s">
        <v>88</v>
      </c>
      <c r="C38" s="303"/>
      <c r="D38" s="308"/>
      <c r="E38" s="308"/>
      <c r="F38" s="209" t="str">
        <f t="shared" si="0"/>
        <v/>
      </c>
      <c r="G38" s="225"/>
      <c r="H38" s="209" t="str" cm="1">
        <f t="array" ref="H38">IF(G38="","",IGsdd(ROUND((G38-($C$3-280)),1),1))</f>
        <v/>
      </c>
      <c r="I38" s="210"/>
      <c r="J38" s="303"/>
      <c r="K38" s="303"/>
      <c r="L38" s="303"/>
      <c r="M38" s="303"/>
      <c r="N38" s="303"/>
      <c r="O38" s="303"/>
      <c r="P38" s="303"/>
      <c r="Q38" s="204"/>
    </row>
    <row r="39" spans="1:33" ht="10.5" hidden="1" customHeight="1" outlineLevel="1">
      <c r="A39" s="209">
        <v>6</v>
      </c>
      <c r="B39" s="320"/>
      <c r="C39" s="320"/>
      <c r="D39" s="308"/>
      <c r="E39" s="308"/>
      <c r="F39" s="209" t="str">
        <f t="shared" si="0"/>
        <v/>
      </c>
      <c r="G39" s="225"/>
      <c r="H39" s="209" t="str" cm="1">
        <f t="array" ref="H39">IF(G39="","",IGsdd(ROUND((G39-($C$3-280)),1),1))</f>
        <v/>
      </c>
      <c r="I39" s="210"/>
      <c r="J39" s="304"/>
      <c r="K39" s="305"/>
      <c r="L39" s="305"/>
      <c r="M39" s="305"/>
      <c r="N39" s="305"/>
      <c r="O39" s="305"/>
      <c r="P39" s="305"/>
      <c r="Q39" s="306"/>
    </row>
    <row r="40" spans="1:33" ht="10.5" hidden="1" customHeight="1" outlineLevel="1">
      <c r="A40" s="209">
        <v>7</v>
      </c>
      <c r="B40" s="303"/>
      <c r="C40" s="303"/>
      <c r="D40" s="308"/>
      <c r="E40" s="308"/>
      <c r="F40" s="209" t="str">
        <f t="shared" si="0"/>
        <v/>
      </c>
      <c r="G40" s="225"/>
      <c r="H40" s="209" t="str" cm="1">
        <f t="array" ref="H40">IF(G40="","",IGsdd(ROUND((G40-($C$3-280)),1),1))</f>
        <v/>
      </c>
      <c r="I40" s="210"/>
      <c r="J40" s="304"/>
      <c r="K40" s="305"/>
      <c r="L40" s="305"/>
      <c r="M40" s="305"/>
      <c r="N40" s="305"/>
      <c r="O40" s="305"/>
      <c r="P40" s="305"/>
      <c r="Q40" s="307"/>
    </row>
    <row r="41" spans="1:33" ht="10.5" hidden="1" customHeight="1" outlineLevel="1">
      <c r="A41" s="209">
        <v>8</v>
      </c>
      <c r="B41" s="303"/>
      <c r="C41" s="303"/>
      <c r="D41" s="308"/>
      <c r="E41" s="308"/>
      <c r="F41" s="209" t="str">
        <f t="shared" si="0"/>
        <v/>
      </c>
      <c r="G41" s="225"/>
      <c r="H41" s="209" t="str" cm="1">
        <f t="array" ref="H41">IF(G41="","",IGsdd(ROUND((G41-($C$3-280)),1),1))</f>
        <v/>
      </c>
      <c r="I41" s="210"/>
      <c r="J41" s="304"/>
      <c r="K41" s="305"/>
      <c r="L41" s="305"/>
      <c r="M41" s="305"/>
      <c r="N41" s="305"/>
      <c r="O41" s="305"/>
      <c r="P41" s="305"/>
      <c r="Q41" s="307"/>
    </row>
    <row r="42" spans="1:33" ht="10.5" hidden="1" customHeight="1" outlineLevel="1">
      <c r="A42" s="209">
        <v>9</v>
      </c>
      <c r="B42" s="303"/>
      <c r="C42" s="303"/>
      <c r="D42" s="308"/>
      <c r="E42" s="308"/>
      <c r="F42" s="209" t="str">
        <f t="shared" si="0"/>
        <v/>
      </c>
      <c r="G42" s="225"/>
      <c r="H42" s="209" t="str" cm="1">
        <f t="array" ref="H42">IF(G42="","",IGsdd(ROUND((G42-($C$3-280)),1),1))</f>
        <v/>
      </c>
      <c r="I42" s="210"/>
      <c r="J42" s="304"/>
      <c r="K42" s="305"/>
      <c r="L42" s="305"/>
      <c r="M42" s="305"/>
      <c r="N42" s="305"/>
      <c r="O42" s="305"/>
      <c r="P42" s="305"/>
      <c r="Q42" s="307"/>
    </row>
    <row r="43" spans="1:33" ht="10.5" hidden="1" customHeight="1" outlineLevel="1">
      <c r="A43" s="209">
        <v>10</v>
      </c>
      <c r="B43" s="303"/>
      <c r="C43" s="303"/>
      <c r="D43" s="308"/>
      <c r="E43" s="308"/>
      <c r="F43" s="209" t="str">
        <f t="shared" si="0"/>
        <v/>
      </c>
      <c r="G43" s="225"/>
      <c r="H43" s="209" t="str" cm="1">
        <f t="array" ref="H43">IF(G43="","",IGsdd(ROUND((G43-($C$3-280)),1),1))</f>
        <v/>
      </c>
      <c r="I43" s="210"/>
      <c r="J43" s="304"/>
      <c r="K43" s="305"/>
      <c r="L43" s="305"/>
      <c r="M43" s="305"/>
      <c r="N43" s="305"/>
      <c r="O43" s="305"/>
      <c r="P43" s="305"/>
      <c r="Q43" s="307"/>
    </row>
    <row r="44" spans="1:33" ht="6.95" customHeight="1" collapsed="1">
      <c r="G44" s="223"/>
    </row>
    <row r="45" spans="1:33" s="203" customFormat="1" ht="10.5" customHeight="1">
      <c r="A45" s="321"/>
      <c r="B45" s="322"/>
      <c r="C45" s="332" t="s">
        <v>183</v>
      </c>
      <c r="D45" s="332"/>
      <c r="E45" s="332"/>
      <c r="F45" s="332"/>
      <c r="G45" s="332"/>
      <c r="H45" s="217"/>
      <c r="I45" s="323" t="s">
        <v>322</v>
      </c>
      <c r="J45" s="324"/>
      <c r="K45" s="324"/>
      <c r="L45" s="324"/>
      <c r="M45" s="324"/>
      <c r="N45" s="324"/>
      <c r="O45" s="324"/>
      <c r="P45" s="325"/>
      <c r="Q45" s="323"/>
      <c r="R45" s="324"/>
      <c r="S45" s="324"/>
      <c r="T45" s="324"/>
      <c r="U45" s="324"/>
      <c r="V45" s="325"/>
      <c r="W45" s="241"/>
      <c r="X45" s="241"/>
      <c r="Y45" s="241"/>
      <c r="AA45" s="203" t="s">
        <v>316</v>
      </c>
      <c r="AC45" s="203" t="s">
        <v>158</v>
      </c>
    </row>
    <row r="46" spans="1:33" s="205" customFormat="1" ht="10.5" customHeight="1">
      <c r="A46" s="218" t="s">
        <v>79</v>
      </c>
      <c r="B46" s="218" t="s">
        <v>185</v>
      </c>
      <c r="C46" s="218" t="s">
        <v>186</v>
      </c>
      <c r="D46" s="218" t="s">
        <v>157</v>
      </c>
      <c r="E46" s="333" t="s">
        <v>187</v>
      </c>
      <c r="F46" s="333"/>
      <c r="G46" s="218" t="s">
        <v>188</v>
      </c>
      <c r="H46" s="218" t="s">
        <v>321</v>
      </c>
      <c r="I46" s="218" t="s">
        <v>35</v>
      </c>
      <c r="J46" s="218" t="s">
        <v>189</v>
      </c>
      <c r="K46" s="218" t="s">
        <v>34</v>
      </c>
      <c r="L46" s="218" t="s">
        <v>36</v>
      </c>
      <c r="M46" s="218" t="s">
        <v>190</v>
      </c>
      <c r="N46" s="218" t="s">
        <v>39</v>
      </c>
      <c r="O46" s="218" t="s">
        <v>77</v>
      </c>
      <c r="P46" s="218" t="s">
        <v>191</v>
      </c>
      <c r="Q46" s="218" t="s">
        <v>325</v>
      </c>
      <c r="R46" s="310" t="s">
        <v>326</v>
      </c>
      <c r="S46" s="311"/>
      <c r="T46" s="311"/>
      <c r="U46" s="311"/>
      <c r="V46" s="312"/>
      <c r="W46" s="242"/>
      <c r="X46" s="242"/>
      <c r="Y46" s="242"/>
      <c r="AC46" s="205" t="s">
        <v>324</v>
      </c>
      <c r="AD46" s="205" t="s">
        <v>325</v>
      </c>
      <c r="AE46" s="205">
        <v>10</v>
      </c>
      <c r="AF46" s="205">
        <v>50</v>
      </c>
      <c r="AG46" s="205">
        <v>90</v>
      </c>
    </row>
    <row r="47" spans="1:33" s="205" customFormat="1" ht="10.5" customHeight="1">
      <c r="A47" s="215">
        <v>1</v>
      </c>
      <c r="B47" s="212">
        <v>45566</v>
      </c>
      <c r="C47" s="211">
        <v>54</v>
      </c>
      <c r="D47" s="211">
        <f t="shared" ref="D47:D66" si="1">IF(C47="","",ROUND(C47/$S$5^2*10000,1))</f>
        <v>18.7</v>
      </c>
      <c r="E47" s="211">
        <v>121</v>
      </c>
      <c r="F47" s="211">
        <v>90</v>
      </c>
      <c r="G47" s="211"/>
      <c r="H47" s="211">
        <f>IF(B47="","",ROUND((B47-($C$3-280)),1))</f>
        <v>34</v>
      </c>
      <c r="I47" s="211" t="str" cm="1">
        <f t="array" ref="I47">IF(H47="","",IGsdd(H47,1))</f>
        <v>4+6</v>
      </c>
      <c r="J47" s="211">
        <v>123</v>
      </c>
      <c r="K47" s="211">
        <v>90</v>
      </c>
      <c r="L47" s="211">
        <v>233</v>
      </c>
      <c r="M47" s="211">
        <v>333</v>
      </c>
      <c r="N47" s="211">
        <v>23</v>
      </c>
      <c r="O47" s="211" t="str">
        <f>IF(K47="","",CONCATENATE(pesoH_4C(K47,L47,M47,N47)," g"))</f>
        <v>1614 g</v>
      </c>
      <c r="P47" s="211" t="str">
        <f>IF(N47="","",CONCATENATE(INT(6.18+(0.59*N47))," cm"))</f>
        <v>19 cm</v>
      </c>
      <c r="Q47" s="222">
        <f>IF(ISERROR(AD47),"",AD47)</f>
        <v>100</v>
      </c>
      <c r="R47" s="313" t="s">
        <v>323</v>
      </c>
      <c r="S47" s="314"/>
      <c r="T47" s="314"/>
      <c r="U47" s="314"/>
      <c r="V47" s="315"/>
      <c r="W47" s="243"/>
      <c r="X47" s="243"/>
      <c r="Y47" s="243"/>
      <c r="AA47" s="205">
        <f>VLOOKUP(INT(H47/7),pesomat[],2,FALSE)</f>
        <v>20</v>
      </c>
      <c r="AB47" s="205" cm="1">
        <f t="array" ref="AB47">pesoH_4C(K47,L47,M47,N47)</f>
        <v>1614</v>
      </c>
      <c r="AC47" s="205">
        <f>ROUND(((AB47-AF47)/(0.13*AF47)),2)</f>
        <v>1544.23</v>
      </c>
      <c r="AD47" s="205">
        <f>(NORMSDIST(AC47)*100)</f>
        <v>100</v>
      </c>
      <c r="AF47" s="205">
        <f>ROUND((EXP(0.578+0.332*(H47/7)-0.00354*(H47/7)^2)),0)</f>
        <v>8</v>
      </c>
    </row>
    <row r="48" spans="1:33" s="204" customFormat="1" ht="10.5" customHeight="1">
      <c r="A48" s="216">
        <v>2</v>
      </c>
      <c r="B48" s="214">
        <v>45596</v>
      </c>
      <c r="C48" s="213">
        <v>65</v>
      </c>
      <c r="D48" s="211">
        <f t="shared" si="1"/>
        <v>22.5</v>
      </c>
      <c r="E48" s="213">
        <v>161</v>
      </c>
      <c r="F48" s="213">
        <v>101</v>
      </c>
      <c r="G48" s="213"/>
      <c r="H48" s="211">
        <f t="shared" ref="H48:H66" si="2">IF(B48="","",ROUND((B48-($C$3-280)),1))</f>
        <v>64</v>
      </c>
      <c r="I48" s="211" t="str" cm="1">
        <f t="array" ref="I48">IF(H48="","",IGsdd(H48,1))</f>
        <v>9+1</v>
      </c>
      <c r="J48" s="213"/>
      <c r="K48" s="211">
        <v>90</v>
      </c>
      <c r="L48" s="211">
        <v>233</v>
      </c>
      <c r="M48" s="211">
        <v>333</v>
      </c>
      <c r="N48" s="211">
        <v>23</v>
      </c>
      <c r="O48" s="211" t="str">
        <f>IF(K48="","",CONCATENATE(pesoH_4C(K48,L48,M48,N48)," g"))</f>
        <v>1614 g</v>
      </c>
      <c r="P48" s="211" t="str">
        <f t="shared" ref="P48:P66" si="3">IF(N48="","",CONCATENATE(INT(6.18+(0.59*N48))," cm"))</f>
        <v>19 cm</v>
      </c>
      <c r="Q48" s="222">
        <f t="shared" ref="Q48:Q66" si="4">IF(ISERROR(AD48),"",AD48)</f>
        <v>100</v>
      </c>
      <c r="R48" s="316"/>
      <c r="S48" s="317"/>
      <c r="T48" s="317"/>
      <c r="U48" s="317"/>
      <c r="V48" s="318"/>
      <c r="W48" s="244"/>
      <c r="X48" s="244"/>
      <c r="Y48" s="244"/>
      <c r="AA48" s="205">
        <f>VLOOKUP(INT(H48/7),pesomat[],2,FALSE)</f>
        <v>20.2</v>
      </c>
      <c r="AB48" s="205" cm="1">
        <f t="array" ref="AB48">pesoH_4C(K48,L48,M48,N48)</f>
        <v>1614</v>
      </c>
      <c r="AC48" s="205">
        <f>ROUND(((AB48-AF48)/(0.13*AF48)),2)</f>
        <v>435.71</v>
      </c>
      <c r="AD48" s="205">
        <f>(NORMSDIST(AC48)*100)</f>
        <v>100</v>
      </c>
      <c r="AF48" s="205">
        <f>ROUND((EXP(0.578+0.332*(H48/7)-0.00354*(H48/7)^2)),0)</f>
        <v>28</v>
      </c>
    </row>
    <row r="49" spans="1:32" s="204" customFormat="1" ht="10.5" customHeight="1">
      <c r="A49" s="216">
        <v>3</v>
      </c>
      <c r="B49" s="214">
        <v>45606</v>
      </c>
      <c r="C49" s="213">
        <v>66</v>
      </c>
      <c r="D49" s="211">
        <f t="shared" si="1"/>
        <v>22.8</v>
      </c>
      <c r="E49" s="213">
        <v>160</v>
      </c>
      <c r="F49" s="213">
        <v>91</v>
      </c>
      <c r="G49" s="213"/>
      <c r="H49" s="211">
        <f t="shared" si="2"/>
        <v>74</v>
      </c>
      <c r="I49" s="211" t="str" cm="1">
        <f t="array" ref="I49">IF(H49="","",IGsdd(H49,1))</f>
        <v>10+4</v>
      </c>
      <c r="J49" s="213"/>
      <c r="K49" s="213">
        <v>65</v>
      </c>
      <c r="L49" s="213">
        <v>200</v>
      </c>
      <c r="M49" s="213">
        <v>149</v>
      </c>
      <c r="N49" s="213">
        <v>40</v>
      </c>
      <c r="O49" s="211" t="str">
        <f>IF(K49="","",CONCATENATE(pesoH_4C(K49,L49,M49,N49)," g"))</f>
        <v>441 g</v>
      </c>
      <c r="P49" s="211" t="str">
        <f t="shared" si="3"/>
        <v>29 cm</v>
      </c>
      <c r="Q49" s="222">
        <f t="shared" si="4"/>
        <v>100</v>
      </c>
      <c r="R49" s="316"/>
      <c r="S49" s="317"/>
      <c r="T49" s="317"/>
      <c r="U49" s="317"/>
      <c r="V49" s="318"/>
      <c r="W49" s="244"/>
      <c r="X49" s="244"/>
      <c r="Y49" s="244"/>
      <c r="AA49" s="205">
        <f>VLOOKUP(INT(H49/7),pesomat[],2,FALSE)</f>
        <v>20.3</v>
      </c>
      <c r="AB49" s="205" cm="1">
        <f t="array" ref="AB49">pesoH_4C(K49,L49,M49,N49)</f>
        <v>441</v>
      </c>
      <c r="AC49" s="205">
        <f t="shared" ref="AC49:AC67" si="5">ROUND(((AB49-AF49)/(0.13*AF49)),2)</f>
        <v>77.12</v>
      </c>
      <c r="AD49" s="205">
        <f t="shared" ref="AD49:AD67" si="6">(NORMSDIST(AC49)*100)</f>
        <v>100</v>
      </c>
      <c r="AF49" s="205">
        <f t="shared" ref="AF49:AF67" si="7">ROUND((EXP(0.578+0.332*(H49/7)-0.00354*(H49/7)^2)),0)</f>
        <v>40</v>
      </c>
    </row>
    <row r="50" spans="1:32" s="204" customFormat="1" ht="10.5" customHeight="1">
      <c r="A50" s="216">
        <v>4</v>
      </c>
      <c r="B50" s="213"/>
      <c r="C50" s="213"/>
      <c r="D50" s="211" t="str">
        <f t="shared" si="1"/>
        <v/>
      </c>
      <c r="E50" s="213">
        <v>150</v>
      </c>
      <c r="F50" s="213">
        <v>91</v>
      </c>
      <c r="G50" s="213"/>
      <c r="H50" s="211" t="str">
        <f t="shared" si="2"/>
        <v/>
      </c>
      <c r="I50" s="211" t="str" cm="1">
        <f t="array" ref="I50">IF(H50="","",IGsdd(H50,1))</f>
        <v/>
      </c>
      <c r="J50" s="213"/>
      <c r="K50" s="213"/>
      <c r="L50" s="213"/>
      <c r="M50" s="213"/>
      <c r="N50" s="213"/>
      <c r="O50" s="211" t="str">
        <f>IF(K50="","",CONCATENATE(pesoH_4C(K50,L50,M50,N50)," g"))</f>
        <v/>
      </c>
      <c r="P50" s="211" t="str">
        <f t="shared" si="3"/>
        <v/>
      </c>
      <c r="Q50" s="222" t="str">
        <f t="shared" si="4"/>
        <v/>
      </c>
      <c r="R50" s="316"/>
      <c r="S50" s="317"/>
      <c r="T50" s="317"/>
      <c r="U50" s="317"/>
      <c r="V50" s="318"/>
      <c r="W50" s="244"/>
      <c r="X50" s="244"/>
      <c r="Y50" s="244"/>
      <c r="AA50" s="205" t="e">
        <f>VLOOKUP(INT(H50/7),pesomat[],2,FALSE)</f>
        <v>#VALUE!</v>
      </c>
      <c r="AB50" s="205" cm="1">
        <f t="array" ref="AB50">pesoH_4C(K50,L50,M50,N50)</f>
        <v>23</v>
      </c>
      <c r="AC50" s="205" t="e">
        <f t="shared" si="5"/>
        <v>#VALUE!</v>
      </c>
      <c r="AD50" s="205" t="e">
        <f t="shared" si="6"/>
        <v>#VALUE!</v>
      </c>
      <c r="AF50" s="205" t="e">
        <f t="shared" si="7"/>
        <v>#VALUE!</v>
      </c>
    </row>
    <row r="51" spans="1:32" s="204" customFormat="1" ht="10.5" customHeight="1">
      <c r="A51" s="216">
        <v>5</v>
      </c>
      <c r="B51" s="213"/>
      <c r="C51" s="213"/>
      <c r="D51" s="211" t="str">
        <f t="shared" si="1"/>
        <v/>
      </c>
      <c r="E51" s="213"/>
      <c r="F51" s="213"/>
      <c r="G51" s="213"/>
      <c r="H51" s="211" t="str">
        <f t="shared" si="2"/>
        <v/>
      </c>
      <c r="I51" s="211" t="str" cm="1">
        <f t="array" ref="I51">IF(H51="","",IGsdd(H51,1))</f>
        <v/>
      </c>
      <c r="J51" s="213"/>
      <c r="K51" s="213"/>
      <c r="L51" s="213"/>
      <c r="M51" s="213"/>
      <c r="N51" s="213"/>
      <c r="O51" s="211" t="str">
        <f>IF(K51="","",CONCATENATE(pesoH_4C(K51,L51,M51,N51)," g"))</f>
        <v/>
      </c>
      <c r="P51" s="211" t="str">
        <f t="shared" si="3"/>
        <v/>
      </c>
      <c r="Q51" s="222" t="str">
        <f t="shared" si="4"/>
        <v/>
      </c>
      <c r="R51" s="316"/>
      <c r="S51" s="317"/>
      <c r="T51" s="317"/>
      <c r="U51" s="317"/>
      <c r="V51" s="318"/>
      <c r="W51" s="244"/>
      <c r="X51" s="244"/>
      <c r="Y51" s="244"/>
      <c r="AA51" s="205" t="e">
        <f>VLOOKUP(INT(H51/7),pesomat[],2,FALSE)</f>
        <v>#VALUE!</v>
      </c>
      <c r="AB51" s="205" cm="1">
        <f t="array" ref="AB51">pesoH_4C(K51,L51,M51,N51)</f>
        <v>23</v>
      </c>
      <c r="AC51" s="205" t="e">
        <f t="shared" si="5"/>
        <v>#VALUE!</v>
      </c>
      <c r="AD51" s="205" t="e">
        <f t="shared" si="6"/>
        <v>#VALUE!</v>
      </c>
      <c r="AF51" s="205" t="e">
        <f t="shared" si="7"/>
        <v>#VALUE!</v>
      </c>
    </row>
    <row r="52" spans="1:32" s="204" customFormat="1" ht="10.5" customHeight="1">
      <c r="A52" s="216">
        <v>6</v>
      </c>
      <c r="B52" s="213"/>
      <c r="C52" s="213"/>
      <c r="D52" s="211" t="str">
        <f t="shared" si="1"/>
        <v/>
      </c>
      <c r="E52" s="213"/>
      <c r="F52" s="213"/>
      <c r="G52" s="213"/>
      <c r="H52" s="211" t="str">
        <f t="shared" si="2"/>
        <v/>
      </c>
      <c r="I52" s="211" t="str" cm="1">
        <f t="array" ref="I52">IF(H52="","",IGsdd(H52,1))</f>
        <v/>
      </c>
      <c r="J52" s="213"/>
      <c r="K52" s="213"/>
      <c r="L52" s="213"/>
      <c r="M52" s="213"/>
      <c r="N52" s="213"/>
      <c r="O52" s="211" t="str">
        <f>IF(K52="","",CONCATENATE(pesoH_4C(K52,L52,M52,N52)," g"))</f>
        <v/>
      </c>
      <c r="P52" s="211" t="str">
        <f t="shared" si="3"/>
        <v/>
      </c>
      <c r="Q52" s="222" t="str">
        <f t="shared" si="4"/>
        <v/>
      </c>
      <c r="R52" s="316"/>
      <c r="S52" s="317"/>
      <c r="T52" s="317"/>
      <c r="U52" s="317"/>
      <c r="V52" s="318"/>
      <c r="W52" s="244"/>
      <c r="X52" s="244"/>
      <c r="Y52" s="244"/>
      <c r="AA52" s="205" t="e">
        <f>VLOOKUP(INT(H52/7),pesomat[],2,FALSE)</f>
        <v>#VALUE!</v>
      </c>
      <c r="AB52" s="205" cm="1">
        <f t="array" ref="AB52">pesoH_4C(K52,L52,M52,N52)</f>
        <v>23</v>
      </c>
      <c r="AC52" s="205" t="e">
        <f t="shared" si="5"/>
        <v>#VALUE!</v>
      </c>
      <c r="AD52" s="205" t="e">
        <f t="shared" si="6"/>
        <v>#VALUE!</v>
      </c>
      <c r="AF52" s="205" t="e">
        <f t="shared" si="7"/>
        <v>#VALUE!</v>
      </c>
    </row>
    <row r="53" spans="1:32" s="204" customFormat="1" ht="10.5" customHeight="1">
      <c r="A53" s="216">
        <v>7</v>
      </c>
      <c r="B53" s="213"/>
      <c r="C53" s="213"/>
      <c r="D53" s="211" t="str">
        <f t="shared" si="1"/>
        <v/>
      </c>
      <c r="E53" s="213"/>
      <c r="F53" s="213"/>
      <c r="G53" s="213"/>
      <c r="H53" s="211" t="str">
        <f t="shared" si="2"/>
        <v/>
      </c>
      <c r="I53" s="211" t="str" cm="1">
        <f t="array" ref="I53">IF(H53="","",IGsdd(H53,1))</f>
        <v/>
      </c>
      <c r="J53" s="213"/>
      <c r="K53" s="213"/>
      <c r="L53" s="213"/>
      <c r="M53" s="213"/>
      <c r="N53" s="213"/>
      <c r="O53" s="211" t="str">
        <f>IF(K53="","",CONCATENATE(pesoH_4C(K53,L53,M53,N53)," g"))</f>
        <v/>
      </c>
      <c r="P53" s="211" t="str">
        <f t="shared" si="3"/>
        <v/>
      </c>
      <c r="Q53" s="222" t="str">
        <f t="shared" si="4"/>
        <v/>
      </c>
      <c r="R53" s="316"/>
      <c r="S53" s="317"/>
      <c r="T53" s="317"/>
      <c r="U53" s="317"/>
      <c r="V53" s="318"/>
      <c r="W53" s="244"/>
      <c r="X53" s="244"/>
      <c r="Y53" s="244"/>
      <c r="AA53" s="205" t="e">
        <f>VLOOKUP(INT(H53/7),pesomat[],2,FALSE)</f>
        <v>#VALUE!</v>
      </c>
      <c r="AB53" s="205" cm="1">
        <f t="array" ref="AB53">pesoH_4C(K53,L53,M53,N53)</f>
        <v>23</v>
      </c>
      <c r="AC53" s="205" t="e">
        <f t="shared" si="5"/>
        <v>#VALUE!</v>
      </c>
      <c r="AD53" s="205" t="e">
        <f t="shared" si="6"/>
        <v>#VALUE!</v>
      </c>
      <c r="AF53" s="205" t="e">
        <f t="shared" si="7"/>
        <v>#VALUE!</v>
      </c>
    </row>
    <row r="54" spans="1:32" s="204" customFormat="1" ht="10.5" customHeight="1">
      <c r="A54" s="216">
        <v>8</v>
      </c>
      <c r="B54" s="213"/>
      <c r="C54" s="213"/>
      <c r="D54" s="211" t="str">
        <f t="shared" si="1"/>
        <v/>
      </c>
      <c r="E54" s="213"/>
      <c r="F54" s="213"/>
      <c r="G54" s="213"/>
      <c r="H54" s="211" t="str">
        <f t="shared" si="2"/>
        <v/>
      </c>
      <c r="I54" s="211" t="str" cm="1">
        <f t="array" ref="I54">IF(H54="","",IGsdd(H54,1))</f>
        <v/>
      </c>
      <c r="J54" s="213"/>
      <c r="K54" s="213"/>
      <c r="L54" s="213"/>
      <c r="M54" s="213"/>
      <c r="N54" s="213"/>
      <c r="O54" s="211" t="str">
        <f>IF(K54="","",CONCATENATE(pesoH_4C(K54,L54,M54,N54)," g"))</f>
        <v/>
      </c>
      <c r="P54" s="211" t="str">
        <f t="shared" si="3"/>
        <v/>
      </c>
      <c r="Q54" s="222" t="str">
        <f t="shared" si="4"/>
        <v/>
      </c>
      <c r="R54" s="316"/>
      <c r="S54" s="317"/>
      <c r="T54" s="317"/>
      <c r="U54" s="317"/>
      <c r="V54" s="318"/>
      <c r="W54" s="244"/>
      <c r="X54" s="244"/>
      <c r="Y54" s="244"/>
      <c r="AA54" s="205" t="e">
        <f>VLOOKUP(INT(H54/7),pesomat[],2,FALSE)</f>
        <v>#VALUE!</v>
      </c>
      <c r="AB54" s="205" cm="1">
        <f t="array" ref="AB54">pesoH_4C(K54,L54,M54,N54)</f>
        <v>23</v>
      </c>
      <c r="AC54" s="205" t="e">
        <f t="shared" si="5"/>
        <v>#VALUE!</v>
      </c>
      <c r="AD54" s="205" t="e">
        <f t="shared" si="6"/>
        <v>#VALUE!</v>
      </c>
      <c r="AF54" s="205" t="e">
        <f t="shared" si="7"/>
        <v>#VALUE!</v>
      </c>
    </row>
    <row r="55" spans="1:32" s="204" customFormat="1" ht="10.5" customHeight="1">
      <c r="A55" s="216">
        <v>9</v>
      </c>
      <c r="B55" s="213"/>
      <c r="C55" s="213"/>
      <c r="D55" s="211" t="str">
        <f t="shared" si="1"/>
        <v/>
      </c>
      <c r="E55" s="213"/>
      <c r="F55" s="213"/>
      <c r="G55" s="213"/>
      <c r="H55" s="211" t="str">
        <f t="shared" si="2"/>
        <v/>
      </c>
      <c r="I55" s="211" t="str" cm="1">
        <f t="array" ref="I55">IF(H55="","",IGsdd(H55,1))</f>
        <v/>
      </c>
      <c r="J55" s="213"/>
      <c r="K55" s="213"/>
      <c r="L55" s="213"/>
      <c r="M55" s="213"/>
      <c r="N55" s="213"/>
      <c r="O55" s="211" t="str">
        <f>IF(K55="","",CONCATENATE(pesoH_4C(K55,L55,M55,N55)," g"))</f>
        <v/>
      </c>
      <c r="P55" s="211" t="str">
        <f t="shared" si="3"/>
        <v/>
      </c>
      <c r="Q55" s="222" t="str">
        <f t="shared" si="4"/>
        <v/>
      </c>
      <c r="R55" s="316"/>
      <c r="S55" s="317"/>
      <c r="T55" s="317"/>
      <c r="U55" s="317"/>
      <c r="V55" s="318"/>
      <c r="W55" s="244"/>
      <c r="X55" s="244"/>
      <c r="Y55" s="244"/>
      <c r="AA55" s="205" t="e">
        <f>VLOOKUP(INT(H55/7),pesomat[],2,FALSE)</f>
        <v>#VALUE!</v>
      </c>
      <c r="AB55" s="205" cm="1">
        <f t="array" ref="AB55">pesoH_4C(K55,L55,M55,N55)</f>
        <v>23</v>
      </c>
      <c r="AC55" s="205" t="e">
        <f t="shared" si="5"/>
        <v>#VALUE!</v>
      </c>
      <c r="AD55" s="205" t="e">
        <f t="shared" si="6"/>
        <v>#VALUE!</v>
      </c>
      <c r="AF55" s="205" t="e">
        <f t="shared" si="7"/>
        <v>#VALUE!</v>
      </c>
    </row>
    <row r="56" spans="1:32" s="204" customFormat="1" ht="10.5" customHeight="1">
      <c r="A56" s="216">
        <v>10</v>
      </c>
      <c r="B56" s="213"/>
      <c r="C56" s="213"/>
      <c r="D56" s="211" t="str">
        <f t="shared" si="1"/>
        <v/>
      </c>
      <c r="E56" s="213"/>
      <c r="F56" s="213"/>
      <c r="G56" s="213"/>
      <c r="H56" s="211" t="str">
        <f t="shared" si="2"/>
        <v/>
      </c>
      <c r="I56" s="211" t="str" cm="1">
        <f t="array" ref="I56">IF(H56="","",IGsdd(H56,1))</f>
        <v/>
      </c>
      <c r="J56" s="213"/>
      <c r="K56" s="213"/>
      <c r="L56" s="213"/>
      <c r="M56" s="213"/>
      <c r="N56" s="213"/>
      <c r="O56" s="211" t="str">
        <f>IF(K56="","",CONCATENATE(pesoH_4C(K56,L56,M56,N56)," g"))</f>
        <v/>
      </c>
      <c r="P56" s="211" t="str">
        <f t="shared" si="3"/>
        <v/>
      </c>
      <c r="Q56" s="222" t="str">
        <f t="shared" si="4"/>
        <v/>
      </c>
      <c r="R56" s="316"/>
      <c r="S56" s="317"/>
      <c r="T56" s="317"/>
      <c r="U56" s="317"/>
      <c r="V56" s="318"/>
      <c r="W56" s="244"/>
      <c r="X56" s="244"/>
      <c r="Y56" s="244"/>
      <c r="AA56" s="205" t="e">
        <f>VLOOKUP(INT(H56/7),pesomat[],2,FALSE)</f>
        <v>#VALUE!</v>
      </c>
      <c r="AB56" s="205" cm="1">
        <f t="array" ref="AB56">pesoH_4C(K56,L56,M56,N56)</f>
        <v>23</v>
      </c>
      <c r="AC56" s="205" t="e">
        <f t="shared" si="5"/>
        <v>#VALUE!</v>
      </c>
      <c r="AD56" s="205" t="e">
        <f t="shared" si="6"/>
        <v>#VALUE!</v>
      </c>
      <c r="AF56" s="205" t="e">
        <f t="shared" si="7"/>
        <v>#VALUE!</v>
      </c>
    </row>
    <row r="57" spans="1:32" s="204" customFormat="1" ht="10.5" customHeight="1">
      <c r="A57" s="216">
        <v>11</v>
      </c>
      <c r="B57" s="213"/>
      <c r="C57" s="213"/>
      <c r="D57" s="211" t="str">
        <f t="shared" si="1"/>
        <v/>
      </c>
      <c r="E57" s="213"/>
      <c r="F57" s="213"/>
      <c r="G57" s="213"/>
      <c r="H57" s="211" t="str">
        <f t="shared" si="2"/>
        <v/>
      </c>
      <c r="I57" s="211" t="str" cm="1">
        <f t="array" ref="I57">IF(H57="","",IGsdd(H57,1))</f>
        <v/>
      </c>
      <c r="J57" s="213"/>
      <c r="K57" s="213"/>
      <c r="L57" s="213"/>
      <c r="M57" s="213"/>
      <c r="N57" s="213"/>
      <c r="O57" s="211" t="str">
        <f>IF(K57="","",CONCATENATE(pesoH_4C(K57,L57,M57,N57)," g"))</f>
        <v/>
      </c>
      <c r="P57" s="211" t="str">
        <f t="shared" si="3"/>
        <v/>
      </c>
      <c r="Q57" s="222" t="str">
        <f t="shared" si="4"/>
        <v/>
      </c>
      <c r="R57" s="316"/>
      <c r="S57" s="317"/>
      <c r="T57" s="317"/>
      <c r="U57" s="317"/>
      <c r="V57" s="318"/>
      <c r="W57" s="244"/>
      <c r="X57" s="244"/>
      <c r="Y57" s="244"/>
      <c r="AA57" s="205" t="e">
        <f>VLOOKUP(INT(H57/7),pesomat[],2,FALSE)</f>
        <v>#VALUE!</v>
      </c>
      <c r="AB57" s="205" cm="1">
        <f t="array" ref="AB57">pesoH_4C(K57,L57,M57,N57)</f>
        <v>23</v>
      </c>
      <c r="AC57" s="205" t="e">
        <f t="shared" si="5"/>
        <v>#VALUE!</v>
      </c>
      <c r="AD57" s="205" t="e">
        <f t="shared" si="6"/>
        <v>#VALUE!</v>
      </c>
      <c r="AF57" s="205" t="e">
        <f t="shared" si="7"/>
        <v>#VALUE!</v>
      </c>
    </row>
    <row r="58" spans="1:32" s="204" customFormat="1" ht="10.5" customHeight="1">
      <c r="A58" s="216">
        <v>12</v>
      </c>
      <c r="B58" s="213"/>
      <c r="C58" s="213"/>
      <c r="D58" s="211" t="str">
        <f t="shared" si="1"/>
        <v/>
      </c>
      <c r="E58" s="213"/>
      <c r="F58" s="213"/>
      <c r="G58" s="213"/>
      <c r="H58" s="211" t="str">
        <f t="shared" si="2"/>
        <v/>
      </c>
      <c r="I58" s="211" t="str" cm="1">
        <f t="array" ref="I58">IF(H58="","",IGsdd(H58,1))</f>
        <v/>
      </c>
      <c r="J58" s="213"/>
      <c r="K58" s="213"/>
      <c r="L58" s="213"/>
      <c r="M58" s="213"/>
      <c r="N58" s="213"/>
      <c r="O58" s="211" t="str">
        <f>IF(K58="","",CONCATENATE(pesoH_4C(K58,L58,M58,N58)," g"))</f>
        <v/>
      </c>
      <c r="P58" s="211" t="str">
        <f t="shared" si="3"/>
        <v/>
      </c>
      <c r="Q58" s="222" t="str">
        <f t="shared" si="4"/>
        <v/>
      </c>
      <c r="R58" s="316"/>
      <c r="S58" s="317"/>
      <c r="T58" s="317"/>
      <c r="U58" s="317"/>
      <c r="V58" s="318"/>
      <c r="W58" s="244"/>
      <c r="X58" s="244"/>
      <c r="Y58" s="244"/>
      <c r="AA58" s="205" t="e">
        <f>VLOOKUP(INT(H58/7),pesomat[],2,FALSE)</f>
        <v>#VALUE!</v>
      </c>
      <c r="AB58" s="205" cm="1">
        <f t="array" ref="AB58">pesoH_4C(K58,L58,M58,N58)</f>
        <v>23</v>
      </c>
      <c r="AC58" s="205" t="e">
        <f t="shared" si="5"/>
        <v>#VALUE!</v>
      </c>
      <c r="AD58" s="205" t="e">
        <f t="shared" si="6"/>
        <v>#VALUE!</v>
      </c>
      <c r="AF58" s="205" t="e">
        <f t="shared" si="7"/>
        <v>#VALUE!</v>
      </c>
    </row>
    <row r="59" spans="1:32" s="204" customFormat="1" ht="10.5" customHeight="1">
      <c r="A59" s="216">
        <v>13</v>
      </c>
      <c r="B59" s="213"/>
      <c r="C59" s="213"/>
      <c r="D59" s="211" t="str">
        <f t="shared" si="1"/>
        <v/>
      </c>
      <c r="E59" s="213"/>
      <c r="F59" s="213"/>
      <c r="G59" s="213"/>
      <c r="H59" s="211" t="str">
        <f t="shared" si="2"/>
        <v/>
      </c>
      <c r="I59" s="211" t="str" cm="1">
        <f t="array" ref="I59">IF(H59="","",IGsdd(H59,1))</f>
        <v/>
      </c>
      <c r="J59" s="213"/>
      <c r="K59" s="213"/>
      <c r="L59" s="213"/>
      <c r="M59" s="213"/>
      <c r="N59" s="213"/>
      <c r="O59" s="211" t="str">
        <f>IF(K59="","",CONCATENATE(pesoH_4C(K59,L59,M59,N59)," g"))</f>
        <v/>
      </c>
      <c r="P59" s="211" t="str">
        <f t="shared" si="3"/>
        <v/>
      </c>
      <c r="Q59" s="222" t="str">
        <f t="shared" si="4"/>
        <v/>
      </c>
      <c r="R59" s="316"/>
      <c r="S59" s="317"/>
      <c r="T59" s="317"/>
      <c r="U59" s="317"/>
      <c r="V59" s="318"/>
      <c r="W59" s="244"/>
      <c r="X59" s="244"/>
      <c r="Y59" s="244"/>
      <c r="AA59" s="205" t="e">
        <f>VLOOKUP(INT(H59/7),pesomat[],2,FALSE)</f>
        <v>#VALUE!</v>
      </c>
      <c r="AB59" s="205" cm="1">
        <f t="array" ref="AB59">pesoH_4C(K59,L59,M59,N59)</f>
        <v>23</v>
      </c>
      <c r="AC59" s="205" t="e">
        <f t="shared" si="5"/>
        <v>#VALUE!</v>
      </c>
      <c r="AD59" s="205" t="e">
        <f t="shared" si="6"/>
        <v>#VALUE!</v>
      </c>
      <c r="AF59" s="205" t="e">
        <f t="shared" si="7"/>
        <v>#VALUE!</v>
      </c>
    </row>
    <row r="60" spans="1:32" s="204" customFormat="1" ht="10.5" customHeight="1">
      <c r="A60" s="216">
        <v>14</v>
      </c>
      <c r="B60" s="213"/>
      <c r="C60" s="213"/>
      <c r="D60" s="211" t="str">
        <f t="shared" si="1"/>
        <v/>
      </c>
      <c r="E60" s="213"/>
      <c r="F60" s="213"/>
      <c r="G60" s="213"/>
      <c r="H60" s="211" t="str">
        <f t="shared" si="2"/>
        <v/>
      </c>
      <c r="I60" s="211" t="str" cm="1">
        <f t="array" ref="I60">IF(H60="","",IGsdd(H60,1))</f>
        <v/>
      </c>
      <c r="J60" s="213"/>
      <c r="K60" s="213"/>
      <c r="L60" s="213"/>
      <c r="M60" s="213"/>
      <c r="N60" s="213"/>
      <c r="O60" s="211" t="str">
        <f>IF(K60="","",CONCATENATE(pesoH_4C(K60,L60,M60,N60)," g"))</f>
        <v/>
      </c>
      <c r="P60" s="211" t="str">
        <f t="shared" si="3"/>
        <v/>
      </c>
      <c r="Q60" s="222" t="str">
        <f t="shared" si="4"/>
        <v/>
      </c>
      <c r="R60" s="316"/>
      <c r="S60" s="317"/>
      <c r="T60" s="317"/>
      <c r="U60" s="317"/>
      <c r="V60" s="318"/>
      <c r="W60" s="244"/>
      <c r="X60" s="244"/>
      <c r="Y60" s="244"/>
      <c r="AA60" s="205" t="e">
        <f>VLOOKUP(INT(H60/7),pesomat[],2,FALSE)</f>
        <v>#VALUE!</v>
      </c>
      <c r="AB60" s="205" cm="1">
        <f t="array" ref="AB60">pesoH_4C(K60,L60,M60,N60)</f>
        <v>23</v>
      </c>
      <c r="AC60" s="205" t="e">
        <f t="shared" si="5"/>
        <v>#VALUE!</v>
      </c>
      <c r="AD60" s="205" t="e">
        <f t="shared" si="6"/>
        <v>#VALUE!</v>
      </c>
      <c r="AF60" s="205" t="e">
        <f t="shared" si="7"/>
        <v>#VALUE!</v>
      </c>
    </row>
    <row r="61" spans="1:32" s="204" customFormat="1" ht="10.5" customHeight="1">
      <c r="A61" s="216">
        <v>15</v>
      </c>
      <c r="B61" s="213"/>
      <c r="C61" s="213"/>
      <c r="D61" s="211" t="str">
        <f t="shared" si="1"/>
        <v/>
      </c>
      <c r="E61" s="213"/>
      <c r="F61" s="213"/>
      <c r="G61" s="213"/>
      <c r="H61" s="211" t="str">
        <f t="shared" si="2"/>
        <v/>
      </c>
      <c r="I61" s="211" t="str" cm="1">
        <f t="array" ref="I61">IF(H61="","",IGsdd(H61,1))</f>
        <v/>
      </c>
      <c r="J61" s="213"/>
      <c r="K61" s="213"/>
      <c r="L61" s="213"/>
      <c r="M61" s="213"/>
      <c r="N61" s="213"/>
      <c r="O61" s="211" t="str">
        <f>IF(K61="","",CONCATENATE(pesoH_4C(K61,L61,M61,N61)," g"))</f>
        <v/>
      </c>
      <c r="P61" s="211" t="str">
        <f t="shared" si="3"/>
        <v/>
      </c>
      <c r="Q61" s="222" t="str">
        <f t="shared" si="4"/>
        <v/>
      </c>
      <c r="R61" s="316"/>
      <c r="S61" s="317"/>
      <c r="T61" s="317"/>
      <c r="U61" s="317"/>
      <c r="V61" s="318"/>
      <c r="W61" s="244"/>
      <c r="X61" s="244"/>
      <c r="Y61" s="244"/>
      <c r="AA61" s="205" t="e">
        <f>VLOOKUP(INT(H61/7),pesomat[],2,FALSE)</f>
        <v>#VALUE!</v>
      </c>
      <c r="AB61" s="205" cm="1">
        <f t="array" ref="AB61">pesoH_4C(K61,L61,M61,N61)</f>
        <v>23</v>
      </c>
      <c r="AC61" s="205" t="e">
        <f t="shared" si="5"/>
        <v>#VALUE!</v>
      </c>
      <c r="AD61" s="205" t="e">
        <f t="shared" si="6"/>
        <v>#VALUE!</v>
      </c>
      <c r="AF61" s="205" t="e">
        <f t="shared" si="7"/>
        <v>#VALUE!</v>
      </c>
    </row>
    <row r="62" spans="1:32" s="204" customFormat="1" ht="10.5" customHeight="1">
      <c r="A62" s="216">
        <v>16</v>
      </c>
      <c r="B62" s="213"/>
      <c r="C62" s="213"/>
      <c r="D62" s="211" t="str">
        <f t="shared" si="1"/>
        <v/>
      </c>
      <c r="E62" s="213"/>
      <c r="F62" s="213"/>
      <c r="G62" s="213"/>
      <c r="H62" s="211" t="str">
        <f t="shared" si="2"/>
        <v/>
      </c>
      <c r="I62" s="211" t="str" cm="1">
        <f t="array" ref="I62">IF(H62="","",IGsdd(H62,1))</f>
        <v/>
      </c>
      <c r="J62" s="213"/>
      <c r="K62" s="213"/>
      <c r="L62" s="213"/>
      <c r="M62" s="213"/>
      <c r="N62" s="213"/>
      <c r="O62" s="211" t="str">
        <f>IF(K62="","",CONCATENATE(pesoH_4C(K62,L62,M62,N62)," g"))</f>
        <v/>
      </c>
      <c r="P62" s="211" t="str">
        <f t="shared" si="3"/>
        <v/>
      </c>
      <c r="Q62" s="222" t="str">
        <f t="shared" si="4"/>
        <v/>
      </c>
      <c r="R62" s="316"/>
      <c r="S62" s="317"/>
      <c r="T62" s="317"/>
      <c r="U62" s="317"/>
      <c r="V62" s="318"/>
      <c r="W62" s="244"/>
      <c r="X62" s="244"/>
      <c r="Y62" s="244"/>
      <c r="AA62" s="205" t="e">
        <f>VLOOKUP(INT(H62/7),pesomat[],2,FALSE)</f>
        <v>#VALUE!</v>
      </c>
      <c r="AB62" s="205" cm="1">
        <f t="array" ref="AB62">pesoH_4C(K62,L62,M62,N62)</f>
        <v>23</v>
      </c>
      <c r="AC62" s="205" t="e">
        <f t="shared" si="5"/>
        <v>#VALUE!</v>
      </c>
      <c r="AD62" s="205" t="e">
        <f t="shared" si="6"/>
        <v>#VALUE!</v>
      </c>
      <c r="AF62" s="205" t="e">
        <f t="shared" si="7"/>
        <v>#VALUE!</v>
      </c>
    </row>
    <row r="63" spans="1:32" s="204" customFormat="1" ht="10.5" customHeight="1">
      <c r="A63" s="216">
        <v>17</v>
      </c>
      <c r="B63" s="213"/>
      <c r="C63" s="213"/>
      <c r="D63" s="211" t="str">
        <f t="shared" si="1"/>
        <v/>
      </c>
      <c r="E63" s="213"/>
      <c r="F63" s="213"/>
      <c r="G63" s="213"/>
      <c r="H63" s="211" t="str">
        <f t="shared" si="2"/>
        <v/>
      </c>
      <c r="I63" s="211" t="str" cm="1">
        <f t="array" ref="I63">IF(H63="","",IGsdd(H63,1))</f>
        <v/>
      </c>
      <c r="J63" s="213"/>
      <c r="K63" s="213"/>
      <c r="L63" s="213"/>
      <c r="M63" s="213"/>
      <c r="N63" s="213"/>
      <c r="O63" s="211" t="str">
        <f>IF(K63="","",CONCATENATE(pesoH_4C(K63,L63,M63,N63)," g"))</f>
        <v/>
      </c>
      <c r="P63" s="211" t="str">
        <f t="shared" si="3"/>
        <v/>
      </c>
      <c r="Q63" s="222" t="str">
        <f t="shared" si="4"/>
        <v/>
      </c>
      <c r="R63" s="316"/>
      <c r="S63" s="317"/>
      <c r="T63" s="317"/>
      <c r="U63" s="317"/>
      <c r="V63" s="318"/>
      <c r="W63" s="244"/>
      <c r="X63" s="244"/>
      <c r="Y63" s="244"/>
      <c r="AA63" s="205" t="e">
        <f>VLOOKUP(INT(H63/7),pesomat[],2,FALSE)</f>
        <v>#VALUE!</v>
      </c>
      <c r="AB63" s="205" cm="1">
        <f t="array" ref="AB63">pesoH_4C(K63,L63,M63,N63)</f>
        <v>23</v>
      </c>
      <c r="AC63" s="205" t="e">
        <f t="shared" si="5"/>
        <v>#VALUE!</v>
      </c>
      <c r="AD63" s="205" t="e">
        <f t="shared" si="6"/>
        <v>#VALUE!</v>
      </c>
      <c r="AF63" s="205" t="e">
        <f t="shared" si="7"/>
        <v>#VALUE!</v>
      </c>
    </row>
    <row r="64" spans="1:32" s="204" customFormat="1" ht="10.5" customHeight="1">
      <c r="A64" s="216">
        <v>18</v>
      </c>
      <c r="B64" s="213"/>
      <c r="C64" s="213"/>
      <c r="D64" s="211" t="str">
        <f t="shared" si="1"/>
        <v/>
      </c>
      <c r="E64" s="213"/>
      <c r="F64" s="213"/>
      <c r="G64" s="213"/>
      <c r="H64" s="211" t="str">
        <f t="shared" si="2"/>
        <v/>
      </c>
      <c r="I64" s="211" t="str" cm="1">
        <f t="array" ref="I64">IF(H64="","",IGsdd(H64,1))</f>
        <v/>
      </c>
      <c r="J64" s="213"/>
      <c r="K64" s="213"/>
      <c r="L64" s="213"/>
      <c r="M64" s="213"/>
      <c r="N64" s="213"/>
      <c r="O64" s="211" t="str">
        <f>IF(K64="","",CONCATENATE(pesoH_4C(K64,L64,M64,N64)," g"))</f>
        <v/>
      </c>
      <c r="P64" s="211" t="str">
        <f t="shared" si="3"/>
        <v/>
      </c>
      <c r="Q64" s="222" t="str">
        <f t="shared" si="4"/>
        <v/>
      </c>
      <c r="R64" s="316"/>
      <c r="S64" s="317"/>
      <c r="T64" s="317"/>
      <c r="U64" s="317"/>
      <c r="V64" s="318"/>
      <c r="W64" s="244"/>
      <c r="X64" s="244"/>
      <c r="Y64" s="244"/>
      <c r="AA64" s="205" t="e">
        <f>VLOOKUP(INT(H64/7),pesomat[],2,FALSE)</f>
        <v>#VALUE!</v>
      </c>
      <c r="AB64" s="205" cm="1">
        <f t="array" ref="AB64">pesoH_4C(K64,L64,M64,N64)</f>
        <v>23</v>
      </c>
      <c r="AC64" s="205" t="e">
        <f t="shared" si="5"/>
        <v>#VALUE!</v>
      </c>
      <c r="AD64" s="205" t="e">
        <f t="shared" si="6"/>
        <v>#VALUE!</v>
      </c>
      <c r="AF64" s="205" t="e">
        <f t="shared" si="7"/>
        <v>#VALUE!</v>
      </c>
    </row>
    <row r="65" spans="1:32" s="204" customFormat="1" ht="10.5" customHeight="1">
      <c r="A65" s="216">
        <v>19</v>
      </c>
      <c r="B65" s="213"/>
      <c r="C65" s="213"/>
      <c r="D65" s="211" t="str">
        <f t="shared" si="1"/>
        <v/>
      </c>
      <c r="E65" s="213"/>
      <c r="F65" s="213"/>
      <c r="G65" s="213"/>
      <c r="H65" s="211" t="str">
        <f t="shared" si="2"/>
        <v/>
      </c>
      <c r="I65" s="211" t="str" cm="1">
        <f t="array" ref="I65">IF(H65="","",IGsdd(H65,1))</f>
        <v/>
      </c>
      <c r="J65" s="213"/>
      <c r="K65" s="213"/>
      <c r="L65" s="213"/>
      <c r="M65" s="213"/>
      <c r="N65" s="213"/>
      <c r="O65" s="211" t="str">
        <f>IF(K65="","",CONCATENATE(pesoH_4C(K65,L65,M65,N65)," g"))</f>
        <v/>
      </c>
      <c r="P65" s="211" t="str">
        <f t="shared" si="3"/>
        <v/>
      </c>
      <c r="Q65" s="222" t="str">
        <f t="shared" si="4"/>
        <v/>
      </c>
      <c r="R65" s="316"/>
      <c r="S65" s="317"/>
      <c r="T65" s="317"/>
      <c r="U65" s="317"/>
      <c r="V65" s="318"/>
      <c r="W65" s="244"/>
      <c r="X65" s="244"/>
      <c r="Y65" s="244"/>
      <c r="AA65" s="205" t="e">
        <f>VLOOKUP(INT(H65/7),pesomat[],2,FALSE)</f>
        <v>#VALUE!</v>
      </c>
      <c r="AB65" s="205" cm="1">
        <f t="array" ref="AB65">pesoH_4C(K65,L65,M65,N65)</f>
        <v>23</v>
      </c>
      <c r="AC65" s="205" t="e">
        <f t="shared" si="5"/>
        <v>#VALUE!</v>
      </c>
      <c r="AD65" s="205" t="e">
        <f t="shared" si="6"/>
        <v>#VALUE!</v>
      </c>
      <c r="AF65" s="205" t="e">
        <f t="shared" si="7"/>
        <v>#VALUE!</v>
      </c>
    </row>
    <row r="66" spans="1:32" s="204" customFormat="1" ht="10.5" customHeight="1">
      <c r="A66" s="216">
        <v>20</v>
      </c>
      <c r="B66" s="213"/>
      <c r="C66" s="213"/>
      <c r="D66" s="211" t="str">
        <f t="shared" si="1"/>
        <v/>
      </c>
      <c r="E66" s="213"/>
      <c r="F66" s="213"/>
      <c r="G66" s="213"/>
      <c r="H66" s="211" t="str">
        <f t="shared" si="2"/>
        <v/>
      </c>
      <c r="I66" s="211" t="str" cm="1">
        <f t="array" ref="I66">IF(H66="","",IGsdd(H66,1))</f>
        <v/>
      </c>
      <c r="J66" s="213"/>
      <c r="K66" s="213"/>
      <c r="L66" s="213"/>
      <c r="M66" s="213"/>
      <c r="N66" s="213"/>
      <c r="O66" s="211" t="str">
        <f>IF(K66="","",CONCATENATE(pesoH_4C(K66,L66,M66,N66)," g"))</f>
        <v/>
      </c>
      <c r="P66" s="211" t="str">
        <f t="shared" si="3"/>
        <v/>
      </c>
      <c r="Q66" s="222" t="str">
        <f t="shared" si="4"/>
        <v/>
      </c>
      <c r="R66" s="316"/>
      <c r="S66" s="317"/>
      <c r="T66" s="317"/>
      <c r="U66" s="317"/>
      <c r="V66" s="318"/>
      <c r="W66" s="244"/>
      <c r="X66" s="244"/>
      <c r="Y66" s="244"/>
      <c r="AA66" s="205" t="e">
        <f>VLOOKUP(INT(H66/7),pesomat[],2,FALSE)</f>
        <v>#VALUE!</v>
      </c>
      <c r="AB66" s="205" cm="1">
        <f t="array" ref="AB66">pesoH_4C(K66,L66,M66,N66)</f>
        <v>23</v>
      </c>
      <c r="AC66" s="205" t="e">
        <f t="shared" si="5"/>
        <v>#VALUE!</v>
      </c>
      <c r="AD66" s="205" t="e">
        <f t="shared" si="6"/>
        <v>#VALUE!</v>
      </c>
      <c r="AF66" s="205" t="e">
        <f t="shared" si="7"/>
        <v>#VALUE!</v>
      </c>
    </row>
    <row r="67" spans="1:32" s="204" customFormat="1" ht="10.5" customHeight="1">
      <c r="H67" s="205" t="str">
        <f t="shared" ref="H67" si="8">IF(B67="","",ROUND((B67-($C$3-280)),1))</f>
        <v/>
      </c>
      <c r="R67" s="329"/>
      <c r="S67" s="329"/>
      <c r="T67" s="329"/>
      <c r="U67" s="329"/>
      <c r="V67" s="329"/>
      <c r="AA67" s="205" t="e">
        <f>VLOOKUP(INT(H67/7),pesomat[],2,FALSE)</f>
        <v>#VALUE!</v>
      </c>
      <c r="AB67" s="205" cm="1">
        <f t="array" ref="AB67">pesoH_4C(K67,L67,M67,N67)</f>
        <v>23</v>
      </c>
      <c r="AC67" s="205" t="e">
        <f t="shared" si="5"/>
        <v>#VALUE!</v>
      </c>
      <c r="AD67" s="205" t="e">
        <f t="shared" si="6"/>
        <v>#VALUE!</v>
      </c>
      <c r="AF67" s="205" t="e">
        <f t="shared" si="7"/>
        <v>#VALUE!</v>
      </c>
    </row>
    <row r="68" spans="1:32" s="205" customFormat="1" ht="10.5" customHeight="1">
      <c r="A68" s="299" t="s">
        <v>91</v>
      </c>
      <c r="B68" s="300"/>
      <c r="C68" s="319">
        <v>1</v>
      </c>
      <c r="D68" s="319"/>
      <c r="E68" s="319">
        <v>2</v>
      </c>
      <c r="F68" s="319"/>
      <c r="G68" s="319">
        <v>3</v>
      </c>
      <c r="H68" s="319"/>
      <c r="I68" s="319">
        <v>4</v>
      </c>
      <c r="J68" s="319"/>
      <c r="K68" s="319">
        <v>5</v>
      </c>
      <c r="L68" s="319"/>
      <c r="M68" s="319">
        <v>6</v>
      </c>
      <c r="N68" s="319"/>
      <c r="O68" s="319">
        <v>7</v>
      </c>
      <c r="P68" s="319"/>
      <c r="R68" s="228"/>
      <c r="S68" s="228">
        <v>1</v>
      </c>
      <c r="T68" s="228">
        <v>2</v>
      </c>
      <c r="U68" s="228">
        <v>3</v>
      </c>
      <c r="V68" s="228"/>
      <c r="W68" s="229"/>
      <c r="X68" s="229"/>
      <c r="Y68" s="229"/>
    </row>
    <row r="69" spans="1:32" s="205" customFormat="1" ht="10.5" customHeight="1">
      <c r="A69" s="209" t="s">
        <v>8</v>
      </c>
      <c r="B69" s="209"/>
      <c r="C69" s="330">
        <v>45167</v>
      </c>
      <c r="D69" s="330"/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295"/>
      <c r="P69" s="295"/>
      <c r="R69" s="209" t="s">
        <v>74</v>
      </c>
      <c r="S69" s="220">
        <v>45167</v>
      </c>
      <c r="T69" s="220"/>
      <c r="U69" s="220"/>
      <c r="V69" s="220"/>
      <c r="W69" s="207"/>
      <c r="X69" s="207"/>
      <c r="Y69" s="207"/>
      <c r="Z69" s="207"/>
      <c r="AA69" s="205" t="s">
        <v>316</v>
      </c>
      <c r="AD69" s="205" t="s">
        <v>320</v>
      </c>
    </row>
    <row r="70" spans="1:32" s="205" customFormat="1" ht="10.5" customHeight="1">
      <c r="A70" s="209"/>
      <c r="B70" s="219" t="s">
        <v>92</v>
      </c>
      <c r="C70" s="295">
        <v>12</v>
      </c>
      <c r="D70" s="295"/>
      <c r="E70" s="296"/>
      <c r="F70" s="296"/>
      <c r="G70" s="209"/>
      <c r="H70" s="209"/>
      <c r="I70" s="296"/>
      <c r="J70" s="296"/>
      <c r="K70" s="296"/>
      <c r="L70" s="296"/>
      <c r="M70" s="296"/>
      <c r="N70" s="296"/>
      <c r="O70" s="296"/>
      <c r="P70" s="296"/>
      <c r="R70" s="219" t="s">
        <v>117</v>
      </c>
      <c r="S70" s="209">
        <v>15.1</v>
      </c>
      <c r="T70" s="209"/>
      <c r="U70" s="209"/>
      <c r="V70" s="209"/>
      <c r="AA70" s="205">
        <v>12</v>
      </c>
      <c r="AB70" s="205">
        <v>16</v>
      </c>
      <c r="AD70" s="205" t="s">
        <v>286</v>
      </c>
    </row>
    <row r="71" spans="1:32" s="205" customFormat="1" ht="10.5" customHeight="1">
      <c r="A71" s="209"/>
      <c r="B71" s="219" t="s">
        <v>93</v>
      </c>
      <c r="C71" s="295">
        <v>4900</v>
      </c>
      <c r="D71" s="295"/>
      <c r="E71" s="296"/>
      <c r="F71" s="296"/>
      <c r="G71" s="209"/>
      <c r="H71" s="209"/>
      <c r="I71" s="296"/>
      <c r="J71" s="296"/>
      <c r="K71" s="296"/>
      <c r="L71" s="296"/>
      <c r="M71" s="296"/>
      <c r="N71" s="296"/>
      <c r="O71" s="296"/>
      <c r="P71" s="296"/>
      <c r="R71" s="219" t="s">
        <v>118</v>
      </c>
      <c r="S71" s="209">
        <v>0.03</v>
      </c>
      <c r="T71" s="209"/>
      <c r="U71" s="209"/>
      <c r="V71" s="209"/>
      <c r="AA71" s="205">
        <v>3500</v>
      </c>
      <c r="AB71" s="205">
        <v>10000</v>
      </c>
      <c r="AD71" s="205" t="s">
        <v>288</v>
      </c>
    </row>
    <row r="72" spans="1:32" s="205" customFormat="1" ht="10.5" customHeight="1">
      <c r="A72" s="209"/>
      <c r="B72" s="219" t="s">
        <v>95</v>
      </c>
      <c r="C72" s="295">
        <v>261</v>
      </c>
      <c r="D72" s="295"/>
      <c r="E72" s="296"/>
      <c r="F72" s="296"/>
      <c r="G72" s="209"/>
      <c r="H72" s="209"/>
      <c r="I72" s="296"/>
      <c r="J72" s="296"/>
      <c r="K72" s="296"/>
      <c r="L72" s="296"/>
      <c r="M72" s="296"/>
      <c r="N72" s="296"/>
      <c r="O72" s="296"/>
      <c r="P72" s="296"/>
      <c r="R72" s="219" t="s">
        <v>121</v>
      </c>
      <c r="S72" s="209">
        <v>0.7</v>
      </c>
      <c r="T72" s="209"/>
      <c r="U72" s="209"/>
      <c r="V72" s="209"/>
      <c r="AA72" s="205">
        <v>150</v>
      </c>
      <c r="AB72" s="205">
        <v>450</v>
      </c>
      <c r="AD72" s="205" t="s">
        <v>287</v>
      </c>
    </row>
    <row r="73" spans="1:32" s="205" customFormat="1" ht="10.5" customHeight="1">
      <c r="A73" s="209"/>
      <c r="B73" s="219" t="s">
        <v>94</v>
      </c>
      <c r="C73" s="295">
        <v>131.69999999999999</v>
      </c>
      <c r="D73" s="295"/>
      <c r="E73" s="296"/>
      <c r="F73" s="296"/>
      <c r="G73" s="209"/>
      <c r="H73" s="209"/>
      <c r="I73" s="296"/>
      <c r="J73" s="296"/>
      <c r="K73" s="296"/>
      <c r="L73" s="296"/>
      <c r="M73" s="296"/>
      <c r="N73" s="296"/>
      <c r="O73" s="296"/>
      <c r="P73" s="296"/>
      <c r="R73" s="219" t="s">
        <v>122</v>
      </c>
      <c r="S73" s="209">
        <v>0.1</v>
      </c>
      <c r="T73" s="209"/>
      <c r="U73" s="209"/>
      <c r="V73" s="209"/>
      <c r="AA73" s="205">
        <v>4</v>
      </c>
      <c r="AB73" s="205">
        <v>104</v>
      </c>
      <c r="AD73" s="205" t="s">
        <v>287</v>
      </c>
    </row>
    <row r="74" spans="1:32" s="205" customFormat="1" ht="10.5" customHeight="1">
      <c r="A74" s="219"/>
      <c r="B74" s="209" t="s">
        <v>96</v>
      </c>
      <c r="C74" s="295">
        <v>83</v>
      </c>
      <c r="D74" s="295"/>
      <c r="E74" s="296"/>
      <c r="F74" s="296"/>
      <c r="G74" s="209"/>
      <c r="H74" s="209"/>
      <c r="I74" s="296"/>
      <c r="J74" s="296"/>
      <c r="K74" s="296"/>
      <c r="L74" s="296"/>
      <c r="M74" s="296"/>
      <c r="N74" s="296"/>
      <c r="O74" s="296"/>
      <c r="P74" s="296"/>
      <c r="R74" s="219" t="s">
        <v>102</v>
      </c>
      <c r="S74" s="209">
        <v>0.34</v>
      </c>
      <c r="T74" s="209"/>
      <c r="U74" s="209"/>
      <c r="V74" s="209"/>
      <c r="AA74" s="205" t="s">
        <v>317</v>
      </c>
      <c r="AB74" s="205">
        <v>95</v>
      </c>
      <c r="AD74" s="205" t="s">
        <v>285</v>
      </c>
    </row>
    <row r="75" spans="1:32" s="205" customFormat="1" ht="10.5" customHeight="1">
      <c r="A75" s="219"/>
      <c r="B75" s="209" t="s">
        <v>277</v>
      </c>
      <c r="C75" s="295">
        <v>5.2</v>
      </c>
      <c r="D75" s="295"/>
      <c r="E75" s="296"/>
      <c r="F75" s="296"/>
      <c r="G75" s="209"/>
      <c r="H75" s="209"/>
      <c r="I75" s="296"/>
      <c r="J75" s="296"/>
      <c r="K75" s="296"/>
      <c r="L75" s="296"/>
      <c r="M75" s="296"/>
      <c r="N75" s="296"/>
      <c r="O75" s="296"/>
      <c r="P75" s="296"/>
      <c r="R75" s="219" t="s">
        <v>123</v>
      </c>
      <c r="S75" s="209">
        <v>24.81</v>
      </c>
      <c r="T75" s="209"/>
      <c r="U75" s="209"/>
      <c r="V75" s="209"/>
      <c r="AA75" s="205" t="s">
        <v>318</v>
      </c>
      <c r="AB75" s="205">
        <v>5.7</v>
      </c>
      <c r="AD75" s="205" t="s">
        <v>286</v>
      </c>
    </row>
    <row r="76" spans="1:32" s="205" customFormat="1" ht="10.5" customHeight="1">
      <c r="A76" s="209"/>
      <c r="B76" s="219" t="s">
        <v>97</v>
      </c>
      <c r="C76" s="295" t="s">
        <v>283</v>
      </c>
      <c r="D76" s="295"/>
      <c r="E76" s="296"/>
      <c r="F76" s="296"/>
      <c r="G76" s="209"/>
      <c r="H76" s="209"/>
      <c r="I76" s="296"/>
      <c r="J76" s="296"/>
      <c r="K76" s="296"/>
      <c r="L76" s="296"/>
      <c r="M76" s="296"/>
      <c r="N76" s="296"/>
      <c r="O76" s="296"/>
      <c r="P76" s="296"/>
      <c r="R76" s="219" t="s">
        <v>103</v>
      </c>
      <c r="S76" s="209">
        <v>2.0699999999999998</v>
      </c>
      <c r="T76" s="209"/>
      <c r="U76" s="209"/>
      <c r="V76" s="209"/>
      <c r="AA76" s="205" t="s">
        <v>283</v>
      </c>
      <c r="AD76" s="205" t="s">
        <v>293</v>
      </c>
    </row>
    <row r="77" spans="1:32" s="205" customFormat="1" ht="10.5" customHeight="1">
      <c r="A77" s="209"/>
      <c r="B77" s="219" t="s">
        <v>98</v>
      </c>
      <c r="C77" s="295" t="s">
        <v>283</v>
      </c>
      <c r="D77" s="295"/>
      <c r="E77" s="296"/>
      <c r="F77" s="296"/>
      <c r="G77" s="209"/>
      <c r="H77" s="209"/>
      <c r="I77" s="296"/>
      <c r="J77" s="296"/>
      <c r="K77" s="296"/>
      <c r="L77" s="296"/>
      <c r="M77" s="296"/>
      <c r="N77" s="296"/>
      <c r="O77" s="296"/>
      <c r="P77" s="296"/>
      <c r="R77" s="219" t="s">
        <v>125</v>
      </c>
      <c r="S77" s="209"/>
      <c r="T77" s="209"/>
      <c r="U77" s="209"/>
      <c r="V77" s="209"/>
      <c r="AA77" s="205" t="s">
        <v>283</v>
      </c>
    </row>
    <row r="78" spans="1:32" s="205" customFormat="1" ht="10.5" customHeight="1">
      <c r="A78" s="209"/>
      <c r="B78" s="219" t="s">
        <v>99</v>
      </c>
      <c r="C78" s="295" t="s">
        <v>291</v>
      </c>
      <c r="D78" s="295"/>
      <c r="E78" s="296"/>
      <c r="F78" s="296"/>
      <c r="G78" s="209"/>
      <c r="H78" s="209"/>
      <c r="I78" s="296"/>
      <c r="J78" s="296"/>
      <c r="K78" s="296"/>
      <c r="L78" s="296"/>
      <c r="M78" s="296"/>
      <c r="N78" s="296"/>
      <c r="O78" s="296"/>
      <c r="P78" s="296"/>
      <c r="R78" s="209" t="s">
        <v>304</v>
      </c>
      <c r="S78" s="209"/>
      <c r="T78" s="209"/>
      <c r="U78" s="209"/>
      <c r="V78" s="209"/>
      <c r="AA78" s="205" t="s">
        <v>319</v>
      </c>
    </row>
    <row r="79" spans="1:32" s="205" customFormat="1" ht="10.5" customHeight="1">
      <c r="A79" s="209"/>
      <c r="B79" s="209" t="s">
        <v>108</v>
      </c>
      <c r="E79" s="296"/>
      <c r="F79" s="296"/>
      <c r="G79" s="209"/>
      <c r="H79" s="209"/>
      <c r="I79" s="296"/>
      <c r="J79" s="296"/>
      <c r="K79" s="296"/>
      <c r="L79" s="296"/>
      <c r="M79" s="296"/>
      <c r="N79" s="296"/>
      <c r="O79" s="296"/>
      <c r="P79" s="296"/>
      <c r="R79" s="219" t="s">
        <v>119</v>
      </c>
      <c r="S79" s="209">
        <v>196</v>
      </c>
      <c r="T79" s="209"/>
      <c r="U79" s="209"/>
      <c r="V79" s="209"/>
      <c r="AA79" s="205" t="s">
        <v>285</v>
      </c>
      <c r="AB79" s="205">
        <v>1</v>
      </c>
      <c r="AD79" s="205" t="s">
        <v>284</v>
      </c>
    </row>
    <row r="80" spans="1:32" s="205" customFormat="1" ht="10.5" customHeight="1">
      <c r="A80" s="209"/>
      <c r="B80" s="209" t="s">
        <v>110</v>
      </c>
      <c r="C80" s="295">
        <v>0.71</v>
      </c>
      <c r="D80" s="295"/>
      <c r="E80" s="296"/>
      <c r="F80" s="296"/>
      <c r="G80" s="209"/>
      <c r="H80" s="209"/>
      <c r="I80" s="296"/>
      <c r="J80" s="296"/>
      <c r="K80" s="296"/>
      <c r="L80" s="296"/>
      <c r="M80" s="296"/>
      <c r="N80" s="296"/>
      <c r="O80" s="296"/>
      <c r="P80" s="296"/>
      <c r="R80" s="219" t="s">
        <v>120</v>
      </c>
      <c r="S80" s="209">
        <v>0.85</v>
      </c>
      <c r="T80" s="209"/>
      <c r="U80" s="209"/>
      <c r="V80" s="209"/>
      <c r="AD80" s="205" t="s">
        <v>285</v>
      </c>
    </row>
    <row r="81" spans="1:32" s="205" customFormat="1" ht="10.5" customHeight="1">
      <c r="A81" s="209"/>
      <c r="B81" s="209" t="s">
        <v>109</v>
      </c>
      <c r="C81" s="295"/>
      <c r="D81" s="295"/>
      <c r="E81" s="296"/>
      <c r="F81" s="296"/>
      <c r="G81" s="209"/>
      <c r="H81" s="209"/>
      <c r="I81" s="296"/>
      <c r="J81" s="296"/>
      <c r="K81" s="296"/>
      <c r="L81" s="296"/>
      <c r="M81" s="296"/>
      <c r="N81" s="296"/>
      <c r="O81" s="296"/>
      <c r="P81" s="296"/>
      <c r="R81" s="209" t="s">
        <v>281</v>
      </c>
      <c r="S81" s="209">
        <v>0.36</v>
      </c>
      <c r="T81" s="209"/>
      <c r="U81" s="209"/>
      <c r="V81" s="209"/>
      <c r="AD81" s="205" t="s">
        <v>282</v>
      </c>
    </row>
    <row r="82" spans="1:32" s="205" customFormat="1" ht="10.5" customHeight="1">
      <c r="A82" s="209"/>
      <c r="B82" s="219" t="s">
        <v>100</v>
      </c>
      <c r="C82" s="295">
        <v>0.3</v>
      </c>
      <c r="D82" s="295"/>
      <c r="E82" s="296"/>
      <c r="F82" s="296"/>
      <c r="G82" s="209"/>
      <c r="H82" s="209"/>
      <c r="I82" s="296"/>
      <c r="J82" s="296"/>
      <c r="K82" s="296"/>
      <c r="L82" s="296"/>
      <c r="M82" s="296"/>
      <c r="N82" s="296"/>
      <c r="O82" s="296"/>
      <c r="P82" s="296"/>
      <c r="R82" s="219" t="s">
        <v>112</v>
      </c>
      <c r="S82" s="209"/>
      <c r="T82" s="209"/>
      <c r="U82" s="209"/>
      <c r="V82" s="209"/>
      <c r="AA82" s="205" t="s">
        <v>289</v>
      </c>
      <c r="AB82" s="205">
        <v>3</v>
      </c>
    </row>
    <row r="83" spans="1:32" s="205" customFormat="1" ht="10.5" customHeight="1">
      <c r="A83" s="209"/>
      <c r="B83" s="219" t="s">
        <v>101</v>
      </c>
      <c r="C83" s="295">
        <v>0.19</v>
      </c>
      <c r="D83" s="295"/>
      <c r="E83" s="296"/>
      <c r="F83" s="296"/>
      <c r="G83" s="209"/>
      <c r="H83" s="209"/>
      <c r="I83" s="296"/>
      <c r="J83" s="296"/>
      <c r="K83" s="296"/>
      <c r="L83" s="296"/>
      <c r="M83" s="296"/>
      <c r="N83" s="296"/>
      <c r="O83" s="296"/>
      <c r="P83" s="296"/>
      <c r="R83" s="219" t="s">
        <v>106</v>
      </c>
      <c r="S83" s="209"/>
      <c r="T83" s="209"/>
      <c r="U83" s="209"/>
      <c r="V83" s="209"/>
      <c r="AA83" s="205" t="s">
        <v>290</v>
      </c>
      <c r="AB83" s="205">
        <v>0.6</v>
      </c>
      <c r="AE83" s="205" t="s">
        <v>328</v>
      </c>
    </row>
    <row r="84" spans="1:32" s="205" customFormat="1" ht="10.5" customHeight="1">
      <c r="A84" s="209"/>
      <c r="B84" s="219" t="s">
        <v>104</v>
      </c>
      <c r="C84" s="295">
        <v>741</v>
      </c>
      <c r="D84" s="295"/>
      <c r="E84" s="296"/>
      <c r="F84" s="296"/>
      <c r="G84" s="209"/>
      <c r="H84" s="209"/>
      <c r="I84" s="296"/>
      <c r="J84" s="296"/>
      <c r="K84" s="296"/>
      <c r="L84" s="296"/>
      <c r="M84" s="296"/>
      <c r="N84" s="296"/>
      <c r="O84" s="296"/>
      <c r="P84" s="296"/>
      <c r="R84" s="219" t="s">
        <v>107</v>
      </c>
      <c r="S84" s="209"/>
      <c r="T84" s="209"/>
      <c r="U84" s="209"/>
      <c r="V84" s="209"/>
      <c r="AA84" s="205" t="s">
        <v>294</v>
      </c>
      <c r="AB84" s="205">
        <v>300</v>
      </c>
      <c r="AE84" s="209">
        <v>1064</v>
      </c>
      <c r="AF84" s="221">
        <v>45161</v>
      </c>
    </row>
    <row r="85" spans="1:32" s="205" customFormat="1" ht="10.5" customHeight="1">
      <c r="A85" s="209"/>
      <c r="B85" s="219" t="s">
        <v>105</v>
      </c>
      <c r="C85" s="295">
        <v>36</v>
      </c>
      <c r="D85" s="295"/>
      <c r="E85" s="296"/>
      <c r="F85" s="296"/>
      <c r="G85" s="209"/>
      <c r="H85" s="209"/>
      <c r="I85" s="296"/>
      <c r="J85" s="296"/>
      <c r="K85" s="296"/>
      <c r="L85" s="296"/>
      <c r="M85" s="296"/>
      <c r="N85" s="296"/>
      <c r="O85" s="296"/>
      <c r="P85" s="296"/>
      <c r="R85" s="219" t="s">
        <v>124</v>
      </c>
      <c r="S85" s="209"/>
      <c r="T85" s="209"/>
      <c r="U85" s="209"/>
      <c r="V85" s="209"/>
      <c r="AA85" s="205" t="s">
        <v>295</v>
      </c>
      <c r="AB85" s="205">
        <v>30</v>
      </c>
      <c r="AE85" s="209">
        <v>161</v>
      </c>
      <c r="AF85" s="221">
        <v>45157</v>
      </c>
    </row>
    <row r="86" spans="1:32" s="205" customFormat="1" ht="10.5" customHeight="1">
      <c r="A86" s="209"/>
      <c r="B86" s="219" t="s">
        <v>126</v>
      </c>
      <c r="C86" s="295"/>
      <c r="D86" s="295"/>
      <c r="E86" s="296"/>
      <c r="F86" s="296"/>
      <c r="G86" s="209"/>
      <c r="H86" s="209"/>
      <c r="I86" s="296"/>
      <c r="J86" s="296"/>
      <c r="K86" s="296"/>
      <c r="L86" s="296"/>
      <c r="M86" s="296"/>
      <c r="N86" s="296"/>
      <c r="O86" s="296"/>
      <c r="P86" s="296"/>
      <c r="R86" s="209" t="s">
        <v>292</v>
      </c>
      <c r="S86" s="209">
        <v>17362</v>
      </c>
      <c r="T86" s="209"/>
      <c r="U86" s="209"/>
      <c r="V86" s="209"/>
    </row>
    <row r="87" spans="1:32" s="205" customFormat="1" ht="10.5" customHeight="1">
      <c r="A87" s="209"/>
      <c r="B87" s="219" t="s">
        <v>111</v>
      </c>
      <c r="C87" s="296"/>
      <c r="D87" s="296"/>
      <c r="E87" s="296"/>
      <c r="F87" s="296"/>
      <c r="G87" s="209"/>
      <c r="H87" s="209"/>
      <c r="I87" s="296"/>
      <c r="J87" s="296"/>
      <c r="K87" s="296"/>
      <c r="L87" s="296"/>
      <c r="M87" s="296"/>
      <c r="N87" s="296"/>
      <c r="O87" s="296"/>
      <c r="P87" s="296"/>
      <c r="R87" s="209"/>
      <c r="S87" s="209"/>
      <c r="T87" s="221"/>
      <c r="U87" s="209"/>
      <c r="V87" s="209"/>
    </row>
    <row r="88" spans="1:32" s="205" customFormat="1" ht="10.5" customHeight="1">
      <c r="A88" s="209"/>
      <c r="B88" s="209" t="s">
        <v>305</v>
      </c>
      <c r="C88" s="296"/>
      <c r="D88" s="296"/>
      <c r="E88" s="296"/>
      <c r="F88" s="296"/>
      <c r="G88" s="209"/>
      <c r="H88" s="209"/>
      <c r="I88" s="296"/>
      <c r="J88" s="296"/>
      <c r="K88" s="296"/>
      <c r="L88" s="296"/>
      <c r="M88" s="296"/>
      <c r="N88" s="296"/>
      <c r="O88" s="296"/>
      <c r="P88" s="296"/>
      <c r="R88" s="209"/>
      <c r="S88" s="209"/>
      <c r="T88" s="209"/>
      <c r="U88" s="209"/>
      <c r="V88" s="209"/>
    </row>
    <row r="89" spans="1:32" s="205" customFormat="1" ht="10.5" customHeight="1">
      <c r="A89" s="209"/>
      <c r="B89" s="219" t="s">
        <v>113</v>
      </c>
      <c r="C89" s="296"/>
      <c r="D89" s="296"/>
      <c r="E89" s="296"/>
      <c r="F89" s="296"/>
      <c r="G89" s="209"/>
      <c r="H89" s="209"/>
      <c r="I89" s="296"/>
      <c r="J89" s="296"/>
      <c r="K89" s="296"/>
      <c r="L89" s="296"/>
      <c r="M89" s="296"/>
      <c r="N89" s="296"/>
      <c r="O89" s="296"/>
      <c r="P89" s="296"/>
      <c r="R89" s="209"/>
      <c r="S89" s="209"/>
      <c r="T89" s="209"/>
      <c r="U89" s="209"/>
      <c r="V89" s="209"/>
    </row>
    <row r="90" spans="1:32" s="205" customFormat="1" ht="10.5" customHeight="1">
      <c r="A90" s="209"/>
      <c r="B90" s="219" t="s">
        <v>114</v>
      </c>
      <c r="C90" s="296"/>
      <c r="D90" s="296"/>
      <c r="E90" s="296"/>
      <c r="F90" s="296"/>
      <c r="G90" s="209"/>
      <c r="H90" s="209"/>
      <c r="I90" s="296"/>
      <c r="J90" s="296"/>
      <c r="K90" s="296"/>
      <c r="L90" s="296"/>
      <c r="M90" s="296"/>
      <c r="N90" s="296"/>
      <c r="O90" s="296"/>
      <c r="P90" s="296"/>
      <c r="R90" s="209"/>
      <c r="S90" s="209"/>
      <c r="T90" s="221"/>
      <c r="U90" s="209"/>
      <c r="V90" s="209"/>
    </row>
    <row r="91" spans="1:32" s="205" customFormat="1" ht="10.5" customHeight="1">
      <c r="A91" s="209"/>
      <c r="B91" s="219" t="s">
        <v>115</v>
      </c>
      <c r="C91" s="296"/>
      <c r="D91" s="296"/>
      <c r="E91" s="296"/>
      <c r="F91" s="296"/>
      <c r="G91" s="209"/>
      <c r="H91" s="209"/>
      <c r="I91" s="296"/>
      <c r="J91" s="296"/>
      <c r="K91" s="296"/>
      <c r="L91" s="296"/>
      <c r="M91" s="296"/>
      <c r="N91" s="296"/>
      <c r="O91" s="296"/>
      <c r="P91" s="296"/>
      <c r="R91" s="209"/>
      <c r="S91" s="209"/>
      <c r="T91" s="221"/>
      <c r="U91" s="209"/>
      <c r="V91" s="209"/>
    </row>
    <row r="92" spans="1:32" s="205" customFormat="1" ht="10.5" customHeight="1">
      <c r="A92" s="209"/>
      <c r="B92" s="219" t="s">
        <v>127</v>
      </c>
      <c r="C92" s="296"/>
      <c r="D92" s="296"/>
      <c r="E92" s="296"/>
      <c r="F92" s="296"/>
      <c r="G92" s="209"/>
      <c r="H92" s="209"/>
      <c r="I92" s="296"/>
      <c r="J92" s="296"/>
      <c r="K92" s="296"/>
      <c r="L92" s="296"/>
      <c r="M92" s="296"/>
      <c r="N92" s="296"/>
      <c r="O92" s="296"/>
      <c r="P92" s="296"/>
      <c r="R92" s="209"/>
      <c r="S92" s="209"/>
      <c r="T92" s="221"/>
      <c r="U92" s="209"/>
      <c r="V92" s="209"/>
    </row>
    <row r="93" spans="1:32" s="205" customFormat="1" ht="10.5" customHeight="1">
      <c r="A93" s="209"/>
      <c r="B93" s="219" t="s">
        <v>128</v>
      </c>
      <c r="C93" s="296"/>
      <c r="D93" s="296"/>
      <c r="E93" s="296"/>
      <c r="F93" s="296"/>
      <c r="G93" s="209"/>
      <c r="H93" s="209"/>
      <c r="I93" s="296"/>
      <c r="J93" s="296"/>
      <c r="K93" s="296"/>
      <c r="L93" s="296"/>
      <c r="M93" s="296"/>
      <c r="N93" s="296"/>
      <c r="O93" s="296"/>
      <c r="P93" s="296"/>
      <c r="R93" s="209"/>
      <c r="S93" s="209"/>
      <c r="T93" s="221"/>
      <c r="U93" s="209"/>
      <c r="V93" s="209"/>
    </row>
    <row r="94" spans="1:32" s="205" customFormat="1" ht="10.5" customHeight="1">
      <c r="A94" s="209"/>
      <c r="B94" s="219" t="s">
        <v>116</v>
      </c>
      <c r="C94" s="296"/>
      <c r="D94" s="296"/>
      <c r="E94" s="296"/>
      <c r="F94" s="296"/>
      <c r="G94" s="209"/>
      <c r="H94" s="209"/>
      <c r="I94" s="296"/>
      <c r="J94" s="296"/>
      <c r="K94" s="296"/>
      <c r="L94" s="296"/>
      <c r="M94" s="296"/>
      <c r="N94" s="296"/>
      <c r="O94" s="296"/>
      <c r="P94" s="296"/>
      <c r="R94" s="209"/>
      <c r="S94" s="209"/>
      <c r="T94" s="221"/>
      <c r="U94" s="209"/>
      <c r="V94" s="209"/>
    </row>
    <row r="95" spans="1:32" s="205" customFormat="1" ht="10.5" customHeight="1">
      <c r="A95" s="209"/>
      <c r="B95" s="209"/>
      <c r="C95" s="296"/>
      <c r="D95" s="296"/>
      <c r="E95" s="296"/>
      <c r="F95" s="296"/>
      <c r="G95" s="209"/>
      <c r="H95" s="209"/>
      <c r="I95" s="296"/>
      <c r="J95" s="296"/>
      <c r="K95" s="296"/>
      <c r="L95" s="296"/>
      <c r="M95" s="296"/>
      <c r="N95" s="296"/>
      <c r="O95" s="296"/>
      <c r="P95" s="296"/>
      <c r="R95" s="209"/>
      <c r="S95" s="209"/>
      <c r="T95" s="221"/>
      <c r="U95" s="209"/>
      <c r="V95" s="209"/>
    </row>
    <row r="96" spans="1:32" s="205" customFormat="1" ht="10.5" customHeight="1">
      <c r="A96" s="209"/>
      <c r="B96" s="209"/>
      <c r="C96" s="296"/>
      <c r="D96" s="296"/>
      <c r="E96" s="296"/>
      <c r="F96" s="296"/>
      <c r="G96" s="209"/>
      <c r="H96" s="209"/>
      <c r="I96" s="296"/>
      <c r="J96" s="296"/>
      <c r="K96" s="296"/>
      <c r="L96" s="296"/>
      <c r="M96" s="296"/>
      <c r="N96" s="296"/>
      <c r="O96" s="296"/>
      <c r="P96" s="296"/>
      <c r="R96" s="209"/>
      <c r="S96" s="209"/>
      <c r="T96" s="221"/>
      <c r="U96" s="209"/>
      <c r="V96" s="209"/>
    </row>
    <row r="97" spans="1:22" s="205" customFormat="1" ht="10.5" customHeight="1">
      <c r="A97" s="209"/>
      <c r="B97" s="209"/>
      <c r="C97" s="296"/>
      <c r="D97" s="296"/>
      <c r="E97" s="296"/>
      <c r="F97" s="296"/>
      <c r="G97" s="209"/>
      <c r="H97" s="209"/>
      <c r="I97" s="296"/>
      <c r="J97" s="296"/>
      <c r="K97" s="296"/>
      <c r="L97" s="296"/>
      <c r="M97" s="296"/>
      <c r="N97" s="296"/>
      <c r="O97" s="296"/>
      <c r="P97" s="296"/>
      <c r="R97" s="209"/>
      <c r="S97" s="209"/>
      <c r="T97" s="221"/>
      <c r="U97" s="209"/>
      <c r="V97" s="209"/>
    </row>
    <row r="98" spans="1:22" s="205" customFormat="1" ht="10.5" customHeight="1">
      <c r="C98" s="326"/>
      <c r="D98" s="326"/>
      <c r="E98" s="326"/>
      <c r="F98" s="326"/>
      <c r="I98" s="326"/>
      <c r="J98" s="326"/>
      <c r="K98" s="326"/>
      <c r="L98" s="326"/>
      <c r="M98" s="326"/>
      <c r="N98" s="326"/>
      <c r="O98" s="326"/>
      <c r="P98" s="326"/>
    </row>
    <row r="99" spans="1:22" s="205" customFormat="1" ht="10.5" customHeight="1">
      <c r="B99" s="327" t="s">
        <v>134</v>
      </c>
      <c r="C99" s="327"/>
      <c r="D99" s="327"/>
      <c r="E99" s="327"/>
      <c r="F99" s="327"/>
      <c r="G99" s="327"/>
      <c r="H99" s="327"/>
      <c r="I99" s="327"/>
      <c r="J99" s="327"/>
      <c r="K99" s="296"/>
      <c r="L99" s="296"/>
      <c r="M99" s="296"/>
      <c r="N99" s="296"/>
      <c r="O99" s="296"/>
      <c r="P99" s="296"/>
    </row>
    <row r="100" spans="1:22" s="205" customFormat="1" ht="10.5" customHeight="1">
      <c r="B100" s="327" t="s">
        <v>135</v>
      </c>
      <c r="C100" s="327"/>
      <c r="D100" s="327"/>
      <c r="E100" s="327"/>
      <c r="F100" s="327"/>
      <c r="G100" s="327"/>
      <c r="H100" s="327"/>
      <c r="I100" s="327"/>
      <c r="J100" s="327"/>
      <c r="K100" s="296"/>
      <c r="L100" s="296"/>
      <c r="M100" s="296"/>
      <c r="N100" s="296"/>
      <c r="O100" s="296"/>
      <c r="P100" s="296"/>
    </row>
    <row r="101" spans="1:22" s="205" customFormat="1" ht="10.5" customHeight="1">
      <c r="B101" s="327" t="s">
        <v>136</v>
      </c>
      <c r="C101" s="327"/>
      <c r="D101" s="327"/>
      <c r="E101" s="327"/>
      <c r="F101" s="327"/>
      <c r="G101" s="327"/>
      <c r="H101" s="327"/>
      <c r="I101" s="327"/>
      <c r="J101" s="327"/>
      <c r="K101" s="296"/>
      <c r="L101" s="296"/>
      <c r="M101" s="296"/>
      <c r="N101" s="296"/>
      <c r="O101" s="296"/>
      <c r="P101" s="296"/>
    </row>
    <row r="102" spans="1:22" s="205" customFormat="1" ht="10.5" customHeight="1">
      <c r="B102" s="327" t="s">
        <v>137</v>
      </c>
      <c r="C102" s="327"/>
      <c r="D102" s="327"/>
      <c r="E102" s="327"/>
      <c r="F102" s="327"/>
      <c r="G102" s="327"/>
      <c r="H102" s="327"/>
      <c r="I102" s="327"/>
      <c r="J102" s="327"/>
      <c r="K102" s="296"/>
      <c r="L102" s="296"/>
      <c r="M102" s="296"/>
      <c r="N102" s="296"/>
      <c r="O102" s="296"/>
      <c r="P102" s="296"/>
    </row>
    <row r="103" spans="1:22" s="205" customFormat="1" ht="10.5" customHeight="1">
      <c r="B103" s="327" t="s">
        <v>138</v>
      </c>
      <c r="C103" s="327"/>
      <c r="D103" s="327"/>
      <c r="E103" s="327"/>
      <c r="F103" s="327"/>
      <c r="G103" s="327"/>
      <c r="H103" s="327"/>
      <c r="I103" s="327"/>
      <c r="J103" s="327"/>
      <c r="K103" s="296"/>
      <c r="L103" s="296"/>
      <c r="M103" s="296"/>
      <c r="N103" s="296"/>
      <c r="O103" s="296"/>
      <c r="P103" s="296"/>
    </row>
    <row r="104" spans="1:22" s="205" customFormat="1" ht="10.5" customHeight="1">
      <c r="A104" s="206"/>
      <c r="B104" s="327" t="s">
        <v>139</v>
      </c>
      <c r="C104" s="327"/>
      <c r="D104" s="327"/>
      <c r="E104" s="327"/>
      <c r="F104" s="327"/>
      <c r="G104" s="327"/>
      <c r="H104" s="327"/>
      <c r="I104" s="327"/>
      <c r="J104" s="327"/>
      <c r="K104" s="296"/>
      <c r="L104" s="296"/>
      <c r="M104" s="296"/>
      <c r="N104" s="296"/>
      <c r="O104" s="296"/>
      <c r="P104" s="296"/>
    </row>
    <row r="105" spans="1:22" s="205" customFormat="1" ht="10.5" customHeight="1">
      <c r="B105" s="327" t="s">
        <v>140</v>
      </c>
      <c r="C105" s="327"/>
      <c r="D105" s="327"/>
      <c r="E105" s="327"/>
      <c r="F105" s="327"/>
      <c r="G105" s="327"/>
      <c r="H105" s="327"/>
      <c r="I105" s="327"/>
      <c r="J105" s="327"/>
      <c r="K105" s="296"/>
      <c r="L105" s="296"/>
      <c r="M105" s="296"/>
      <c r="N105" s="296"/>
      <c r="O105" s="296"/>
      <c r="P105" s="296"/>
    </row>
    <row r="106" spans="1:22" s="205" customFormat="1" ht="10.5" customHeight="1">
      <c r="B106" s="327" t="s">
        <v>141</v>
      </c>
      <c r="C106" s="327"/>
      <c r="D106" s="327"/>
      <c r="E106" s="327"/>
      <c r="F106" s="327"/>
      <c r="G106" s="327"/>
      <c r="H106" s="327"/>
      <c r="I106" s="327"/>
      <c r="J106" s="327"/>
      <c r="K106" s="296"/>
      <c r="L106" s="296"/>
      <c r="M106" s="296"/>
      <c r="N106" s="296"/>
      <c r="O106" s="296"/>
      <c r="P106" s="296"/>
    </row>
    <row r="107" spans="1:22" s="205" customFormat="1" ht="10.5" customHeight="1">
      <c r="B107" s="327" t="s">
        <v>142</v>
      </c>
      <c r="C107" s="327"/>
      <c r="D107" s="327"/>
      <c r="E107" s="327"/>
      <c r="F107" s="327"/>
      <c r="G107" s="327"/>
      <c r="H107" s="327"/>
      <c r="I107" s="327"/>
      <c r="J107" s="327"/>
      <c r="K107" s="296"/>
      <c r="L107" s="296"/>
      <c r="M107" s="296"/>
      <c r="N107" s="296"/>
      <c r="O107" s="296"/>
      <c r="P107" s="296"/>
    </row>
    <row r="108" spans="1:22" s="205" customFormat="1" ht="10.5" customHeight="1">
      <c r="B108" s="327" t="s">
        <v>143</v>
      </c>
      <c r="C108" s="327"/>
      <c r="D108" s="327"/>
      <c r="E108" s="327"/>
      <c r="F108" s="327"/>
      <c r="G108" s="327"/>
      <c r="H108" s="327"/>
      <c r="I108" s="327"/>
      <c r="J108" s="327"/>
      <c r="K108" s="296"/>
      <c r="L108" s="296"/>
      <c r="M108" s="296"/>
      <c r="N108" s="296"/>
      <c r="O108" s="296"/>
      <c r="P108" s="296"/>
    </row>
    <row r="109" spans="1:22" s="205" customFormat="1" ht="10.5" customHeight="1">
      <c r="B109" s="327" t="s">
        <v>144</v>
      </c>
      <c r="C109" s="327"/>
      <c r="D109" s="327"/>
      <c r="E109" s="327"/>
      <c r="F109" s="327"/>
      <c r="G109" s="327"/>
      <c r="H109" s="327"/>
      <c r="I109" s="327"/>
      <c r="J109" s="327"/>
      <c r="K109" s="296"/>
      <c r="L109" s="296"/>
      <c r="M109" s="296"/>
      <c r="N109" s="296"/>
      <c r="O109" s="296"/>
      <c r="P109" s="296"/>
    </row>
    <row r="110" spans="1:22" s="205" customFormat="1" ht="10.5" customHeight="1">
      <c r="B110" s="327" t="s">
        <v>145</v>
      </c>
      <c r="C110" s="327"/>
      <c r="D110" s="327"/>
      <c r="E110" s="327"/>
      <c r="F110" s="327"/>
      <c r="G110" s="327"/>
      <c r="H110" s="327"/>
      <c r="I110" s="327"/>
      <c r="J110" s="327"/>
      <c r="K110" s="296"/>
      <c r="L110" s="296"/>
      <c r="M110" s="296"/>
      <c r="N110" s="296"/>
      <c r="O110" s="296"/>
      <c r="P110" s="296"/>
    </row>
    <row r="111" spans="1:22" s="205" customFormat="1" ht="10.5" customHeight="1">
      <c r="B111" s="296"/>
      <c r="C111" s="296"/>
      <c r="D111" s="296"/>
      <c r="E111" s="296"/>
      <c r="F111" s="296"/>
      <c r="G111" s="296"/>
      <c r="H111" s="296"/>
      <c r="I111" s="296"/>
      <c r="J111" s="296"/>
      <c r="K111" s="296"/>
      <c r="L111" s="296"/>
      <c r="M111" s="296"/>
      <c r="N111" s="296"/>
      <c r="O111" s="296"/>
      <c r="P111" s="296"/>
    </row>
    <row r="112" spans="1:22" s="205" customFormat="1" ht="10.5" customHeight="1">
      <c r="B112" s="327" t="s">
        <v>146</v>
      </c>
      <c r="C112" s="327"/>
      <c r="D112" s="327"/>
      <c r="E112" s="327"/>
      <c r="F112" s="327"/>
      <c r="G112" s="327"/>
      <c r="H112" s="327"/>
      <c r="I112" s="327"/>
      <c r="J112" s="327"/>
      <c r="K112" s="296"/>
      <c r="L112" s="296"/>
      <c r="M112" s="296"/>
      <c r="N112" s="296"/>
      <c r="O112" s="296"/>
      <c r="P112" s="296"/>
    </row>
    <row r="113" spans="1:28" s="205" customFormat="1" ht="10.5" customHeight="1">
      <c r="B113" s="327" t="s">
        <v>147</v>
      </c>
      <c r="C113" s="327"/>
      <c r="D113" s="327"/>
      <c r="E113" s="327"/>
      <c r="F113" s="327"/>
      <c r="G113" s="327"/>
      <c r="H113" s="327"/>
      <c r="I113" s="327"/>
      <c r="J113" s="327"/>
      <c r="K113" s="296"/>
      <c r="L113" s="296"/>
      <c r="M113" s="296"/>
      <c r="N113" s="296"/>
      <c r="O113" s="296"/>
      <c r="P113" s="296"/>
    </row>
    <row r="114" spans="1:28" s="205" customFormat="1" ht="10.5" customHeight="1">
      <c r="B114" s="327" t="s">
        <v>148</v>
      </c>
      <c r="C114" s="327"/>
      <c r="D114" s="327"/>
      <c r="E114" s="327"/>
      <c r="F114" s="327"/>
      <c r="G114" s="327"/>
      <c r="H114" s="327"/>
      <c r="I114" s="327"/>
      <c r="J114" s="327"/>
      <c r="K114" s="296"/>
      <c r="L114" s="296"/>
      <c r="M114" s="296"/>
      <c r="N114" s="296"/>
      <c r="O114" s="296"/>
      <c r="P114" s="296"/>
    </row>
    <row r="115" spans="1:28" s="205" customFormat="1" ht="10.5" customHeight="1">
      <c r="B115" s="327" t="s">
        <v>149</v>
      </c>
      <c r="C115" s="327"/>
      <c r="D115" s="327"/>
      <c r="E115" s="327"/>
      <c r="F115" s="327"/>
      <c r="G115" s="327"/>
      <c r="H115" s="327"/>
      <c r="I115" s="327"/>
      <c r="J115" s="327"/>
      <c r="K115" s="296"/>
      <c r="L115" s="296"/>
      <c r="M115" s="296"/>
      <c r="N115" s="296"/>
      <c r="O115" s="296"/>
      <c r="P115" s="296"/>
    </row>
    <row r="116" spans="1:28" s="205" customFormat="1" ht="10.5" customHeight="1">
      <c r="B116" s="327" t="s">
        <v>150</v>
      </c>
      <c r="C116" s="327"/>
      <c r="D116" s="327"/>
      <c r="E116" s="327"/>
      <c r="F116" s="327"/>
      <c r="G116" s="327"/>
      <c r="H116" s="327"/>
      <c r="I116" s="327"/>
      <c r="J116" s="327"/>
      <c r="K116" s="296"/>
      <c r="L116" s="296"/>
      <c r="M116" s="296"/>
      <c r="N116" s="296"/>
      <c r="O116" s="296"/>
      <c r="P116" s="296"/>
      <c r="AB116" s="206"/>
    </row>
    <row r="117" spans="1:28" s="205" customFormat="1" ht="10.5" customHeight="1">
      <c r="B117" s="327" t="s">
        <v>151</v>
      </c>
      <c r="C117" s="327"/>
      <c r="D117" s="327"/>
      <c r="E117" s="327"/>
      <c r="F117" s="327"/>
      <c r="G117" s="327"/>
      <c r="H117" s="327"/>
      <c r="I117" s="327"/>
      <c r="J117" s="327"/>
      <c r="K117" s="296"/>
      <c r="L117" s="296"/>
      <c r="M117" s="296"/>
      <c r="N117" s="296"/>
      <c r="O117" s="296"/>
      <c r="P117" s="296"/>
    </row>
    <row r="118" spans="1:28" s="205" customFormat="1" ht="10.5" customHeight="1">
      <c r="A118" s="206"/>
      <c r="C118" s="326"/>
      <c r="D118" s="326"/>
    </row>
    <row r="119" spans="1:28" s="205" customFormat="1" ht="10.5" customHeight="1">
      <c r="B119" s="206" t="s">
        <v>129</v>
      </c>
    </row>
    <row r="120" spans="1:28" s="205" customFormat="1" ht="10.5" customHeight="1">
      <c r="B120" s="206" t="s">
        <v>130</v>
      </c>
    </row>
    <row r="121" spans="1:28" s="205" customFormat="1" ht="10.5" customHeight="1">
      <c r="B121" s="206" t="s">
        <v>131</v>
      </c>
    </row>
    <row r="122" spans="1:28" s="205" customFormat="1" ht="10.5" customHeight="1">
      <c r="B122" s="206" t="s">
        <v>132</v>
      </c>
    </row>
    <row r="123" spans="1:28" s="205" customFormat="1" ht="10.5" customHeight="1"/>
    <row r="124" spans="1:28" s="205" customFormat="1" ht="10.5" customHeight="1">
      <c r="B124" s="205" t="s">
        <v>272</v>
      </c>
    </row>
    <row r="125" spans="1:28" s="205" customFormat="1" ht="10.5" customHeight="1"/>
    <row r="126" spans="1:28" s="205" customFormat="1" ht="10.5" customHeight="1">
      <c r="B126" s="205" t="s">
        <v>278</v>
      </c>
    </row>
    <row r="127" spans="1:28" s="205" customFormat="1" ht="10.5" customHeight="1">
      <c r="B127" s="205" t="s">
        <v>279</v>
      </c>
    </row>
    <row r="128" spans="1:28" s="205" customFormat="1" ht="10.5" customHeight="1">
      <c r="B128" s="205" t="s">
        <v>56</v>
      </c>
    </row>
    <row r="129" spans="1:2" s="205" customFormat="1" ht="10.5" customHeight="1">
      <c r="B129" s="205" t="s">
        <v>280</v>
      </c>
    </row>
    <row r="130" spans="1:2" ht="10.5" customHeight="1">
      <c r="A130" s="38"/>
      <c r="B130" s="205" t="s">
        <v>133</v>
      </c>
    </row>
    <row r="137" spans="1:2" ht="9.9499999999999993" customHeight="1"/>
  </sheetData>
  <mergeCells count="329">
    <mergeCell ref="C84:D84"/>
    <mergeCell ref="C85:D85"/>
    <mergeCell ref="C86:D86"/>
    <mergeCell ref="C3:G3"/>
    <mergeCell ref="C77:D77"/>
    <mergeCell ref="C78:D78"/>
    <mergeCell ref="C80:D80"/>
    <mergeCell ref="C81:D81"/>
    <mergeCell ref="C82:D82"/>
    <mergeCell ref="C71:D71"/>
    <mergeCell ref="C72:D72"/>
    <mergeCell ref="C73:D73"/>
    <mergeCell ref="C74:D74"/>
    <mergeCell ref="C75:D75"/>
    <mergeCell ref="C76:D76"/>
    <mergeCell ref="C45:G45"/>
    <mergeCell ref="E46:F46"/>
    <mergeCell ref="C70:D70"/>
    <mergeCell ref="C69:D69"/>
    <mergeCell ref="C68:D68"/>
    <mergeCell ref="E75:F75"/>
    <mergeCell ref="E76:F76"/>
    <mergeCell ref="E77:F77"/>
    <mergeCell ref="A14:P14"/>
    <mergeCell ref="P1:R1"/>
    <mergeCell ref="C83:D83"/>
    <mergeCell ref="R67:V67"/>
    <mergeCell ref="E69:F69"/>
    <mergeCell ref="G69:H69"/>
    <mergeCell ref="I69:J69"/>
    <mergeCell ref="E68:F68"/>
    <mergeCell ref="G68:H68"/>
    <mergeCell ref="I68:J68"/>
    <mergeCell ref="K68:L68"/>
    <mergeCell ref="M68:N68"/>
    <mergeCell ref="K69:L69"/>
    <mergeCell ref="M69:N69"/>
    <mergeCell ref="O68:P68"/>
    <mergeCell ref="O69:P69"/>
    <mergeCell ref="R63:V63"/>
    <mergeCell ref="R64:V64"/>
    <mergeCell ref="R65:V65"/>
    <mergeCell ref="R66:V66"/>
    <mergeCell ref="D43:E43"/>
    <mergeCell ref="J43:Q43"/>
    <mergeCell ref="R60:V60"/>
    <mergeCell ref="R61:V61"/>
    <mergeCell ref="R62:V62"/>
    <mergeCell ref="E87:F87"/>
    <mergeCell ref="R55:V55"/>
    <mergeCell ref="R56:V56"/>
    <mergeCell ref="R57:V57"/>
    <mergeCell ref="R58:V58"/>
    <mergeCell ref="R59:V59"/>
    <mergeCell ref="R50:V50"/>
    <mergeCell ref="R51:V51"/>
    <mergeCell ref="R52:V52"/>
    <mergeCell ref="R53:V53"/>
    <mergeCell ref="R54:V54"/>
    <mergeCell ref="K79:L79"/>
    <mergeCell ref="K80:L80"/>
    <mergeCell ref="K81:L81"/>
    <mergeCell ref="K82:L82"/>
    <mergeCell ref="K83:L83"/>
    <mergeCell ref="K84:L84"/>
    <mergeCell ref="I85:J85"/>
    <mergeCell ref="I86:J86"/>
    <mergeCell ref="I87:J87"/>
    <mergeCell ref="I79:J79"/>
    <mergeCell ref="I80:J80"/>
    <mergeCell ref="I81:J81"/>
    <mergeCell ref="I82:J82"/>
    <mergeCell ref="E88:F88"/>
    <mergeCell ref="E89:F89"/>
    <mergeCell ref="E80:F80"/>
    <mergeCell ref="E81:F81"/>
    <mergeCell ref="E82:F82"/>
    <mergeCell ref="E83:F83"/>
    <mergeCell ref="E84:F84"/>
    <mergeCell ref="I70:J70"/>
    <mergeCell ref="I71:J71"/>
    <mergeCell ref="I72:J72"/>
    <mergeCell ref="I73:J73"/>
    <mergeCell ref="I74:J74"/>
    <mergeCell ref="I75:J75"/>
    <mergeCell ref="I76:J76"/>
    <mergeCell ref="I77:J77"/>
    <mergeCell ref="I78:J78"/>
    <mergeCell ref="E78:F78"/>
    <mergeCell ref="E79:F79"/>
    <mergeCell ref="E70:F70"/>
    <mergeCell ref="E71:F71"/>
    <mergeCell ref="E72:F72"/>
    <mergeCell ref="E73:F73"/>
    <mergeCell ref="E74:F74"/>
    <mergeCell ref="E86:F86"/>
    <mergeCell ref="I83:J83"/>
    <mergeCell ref="I84:J84"/>
    <mergeCell ref="K70:L70"/>
    <mergeCell ref="K71:L71"/>
    <mergeCell ref="K72:L72"/>
    <mergeCell ref="K73:L73"/>
    <mergeCell ref="K74:L74"/>
    <mergeCell ref="K75:L75"/>
    <mergeCell ref="K76:L76"/>
    <mergeCell ref="K77:L77"/>
    <mergeCell ref="K78:L78"/>
    <mergeCell ref="M70:N70"/>
    <mergeCell ref="M71:N71"/>
    <mergeCell ref="M72:N72"/>
    <mergeCell ref="M73:N73"/>
    <mergeCell ref="M74:N74"/>
    <mergeCell ref="M75:N75"/>
    <mergeCell ref="M76:N76"/>
    <mergeCell ref="M77:N77"/>
    <mergeCell ref="M78:N78"/>
    <mergeCell ref="O79:P79"/>
    <mergeCell ref="O80:P80"/>
    <mergeCell ref="O81:P81"/>
    <mergeCell ref="O82:P82"/>
    <mergeCell ref="O83:P83"/>
    <mergeCell ref="O84:P84"/>
    <mergeCell ref="M85:N85"/>
    <mergeCell ref="M86:N86"/>
    <mergeCell ref="M87:N87"/>
    <mergeCell ref="M79:N79"/>
    <mergeCell ref="M80:N80"/>
    <mergeCell ref="M81:N81"/>
    <mergeCell ref="M82:N82"/>
    <mergeCell ref="M83:N83"/>
    <mergeCell ref="M84:N84"/>
    <mergeCell ref="O70:P70"/>
    <mergeCell ref="O71:P71"/>
    <mergeCell ref="O72:P72"/>
    <mergeCell ref="O73:P73"/>
    <mergeCell ref="O74:P74"/>
    <mergeCell ref="O75:P75"/>
    <mergeCell ref="O76:P76"/>
    <mergeCell ref="O77:P77"/>
    <mergeCell ref="O78:P78"/>
    <mergeCell ref="O90:P90"/>
    <mergeCell ref="C87:D87"/>
    <mergeCell ref="C88:D88"/>
    <mergeCell ref="C89:D89"/>
    <mergeCell ref="C90:D90"/>
    <mergeCell ref="O85:P85"/>
    <mergeCell ref="O86:P86"/>
    <mergeCell ref="O87:P87"/>
    <mergeCell ref="O88:P88"/>
    <mergeCell ref="O89:P89"/>
    <mergeCell ref="M90:N90"/>
    <mergeCell ref="M88:N88"/>
    <mergeCell ref="M89:N89"/>
    <mergeCell ref="K90:L90"/>
    <mergeCell ref="K85:L85"/>
    <mergeCell ref="K86:L86"/>
    <mergeCell ref="K87:L87"/>
    <mergeCell ref="K88:L88"/>
    <mergeCell ref="K89:L89"/>
    <mergeCell ref="I90:J90"/>
    <mergeCell ref="I88:J88"/>
    <mergeCell ref="I89:J89"/>
    <mergeCell ref="E90:F90"/>
    <mergeCell ref="E85:F85"/>
    <mergeCell ref="E98:F98"/>
    <mergeCell ref="C118:D118"/>
    <mergeCell ref="B116:J116"/>
    <mergeCell ref="B117:J117"/>
    <mergeCell ref="B110:J110"/>
    <mergeCell ref="B104:J104"/>
    <mergeCell ref="B101:J101"/>
    <mergeCell ref="B102:J102"/>
    <mergeCell ref="B103:J103"/>
    <mergeCell ref="C98:D98"/>
    <mergeCell ref="B111:J111"/>
    <mergeCell ref="B112:J112"/>
    <mergeCell ref="B113:J113"/>
    <mergeCell ref="B114:J114"/>
    <mergeCell ref="B115:J115"/>
    <mergeCell ref="B105:J105"/>
    <mergeCell ref="B106:J106"/>
    <mergeCell ref="B107:J107"/>
    <mergeCell ref="B108:J108"/>
    <mergeCell ref="B109:J109"/>
    <mergeCell ref="E91:F91"/>
    <mergeCell ref="E92:F92"/>
    <mergeCell ref="E93:F93"/>
    <mergeCell ref="E94:F94"/>
    <mergeCell ref="C95:D95"/>
    <mergeCell ref="C96:D96"/>
    <mergeCell ref="C97:D97"/>
    <mergeCell ref="E95:F95"/>
    <mergeCell ref="E96:F96"/>
    <mergeCell ref="E97:F97"/>
    <mergeCell ref="C91:D91"/>
    <mergeCell ref="C92:D92"/>
    <mergeCell ref="C93:D93"/>
    <mergeCell ref="C94:D94"/>
    <mergeCell ref="K92:L92"/>
    <mergeCell ref="K93:L93"/>
    <mergeCell ref="K94:L94"/>
    <mergeCell ref="K95:L95"/>
    <mergeCell ref="I95:J95"/>
    <mergeCell ref="I96:J96"/>
    <mergeCell ref="I97:J97"/>
    <mergeCell ref="I98:J98"/>
    <mergeCell ref="I91:J91"/>
    <mergeCell ref="I92:J92"/>
    <mergeCell ref="I93:J93"/>
    <mergeCell ref="I94:J94"/>
    <mergeCell ref="O96:P96"/>
    <mergeCell ref="O97:P97"/>
    <mergeCell ref="O98:P98"/>
    <mergeCell ref="B99:J99"/>
    <mergeCell ref="B100:J100"/>
    <mergeCell ref="K99:P99"/>
    <mergeCell ref="K100:P100"/>
    <mergeCell ref="O91:P91"/>
    <mergeCell ref="O92:P92"/>
    <mergeCell ref="O93:P93"/>
    <mergeCell ref="O94:P94"/>
    <mergeCell ref="O95:P95"/>
    <mergeCell ref="K96:L96"/>
    <mergeCell ref="K97:L97"/>
    <mergeCell ref="K98:L98"/>
    <mergeCell ref="M91:N91"/>
    <mergeCell ref="M92:N92"/>
    <mergeCell ref="M93:N93"/>
    <mergeCell ref="M94:N94"/>
    <mergeCell ref="M95:N95"/>
    <mergeCell ref="M96:N96"/>
    <mergeCell ref="M97:N97"/>
    <mergeCell ref="M98:N98"/>
    <mergeCell ref="K91:L91"/>
    <mergeCell ref="K106:P106"/>
    <mergeCell ref="K107:P107"/>
    <mergeCell ref="K108:P108"/>
    <mergeCell ref="K109:P109"/>
    <mergeCell ref="K110:P110"/>
    <mergeCell ref="K101:P101"/>
    <mergeCell ref="K102:P102"/>
    <mergeCell ref="K103:P103"/>
    <mergeCell ref="K104:P104"/>
    <mergeCell ref="K105:P105"/>
    <mergeCell ref="I8:P8"/>
    <mergeCell ref="I9:P9"/>
    <mergeCell ref="I10:P10"/>
    <mergeCell ref="K116:P116"/>
    <mergeCell ref="K117:P117"/>
    <mergeCell ref="C8:D8"/>
    <mergeCell ref="C9:D9"/>
    <mergeCell ref="C10:D10"/>
    <mergeCell ref="C11:D11"/>
    <mergeCell ref="C12:D12"/>
    <mergeCell ref="F8:G8"/>
    <mergeCell ref="F9:G9"/>
    <mergeCell ref="F10:G10"/>
    <mergeCell ref="F11:G11"/>
    <mergeCell ref="F12:G12"/>
    <mergeCell ref="I11:P11"/>
    <mergeCell ref="I12:P12"/>
    <mergeCell ref="B15:P15"/>
    <mergeCell ref="B16:P16"/>
    <mergeCell ref="K111:P111"/>
    <mergeCell ref="K112:P112"/>
    <mergeCell ref="K113:P113"/>
    <mergeCell ref="K114:P114"/>
    <mergeCell ref="K115:P115"/>
    <mergeCell ref="O6:P6"/>
    <mergeCell ref="L6:M6"/>
    <mergeCell ref="A6:B6"/>
    <mergeCell ref="F7:G7"/>
    <mergeCell ref="I7:P7"/>
    <mergeCell ref="R32:U32"/>
    <mergeCell ref="T34:V34"/>
    <mergeCell ref="R49:V49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A45:B45"/>
    <mergeCell ref="I45:P45"/>
    <mergeCell ref="Q45:V45"/>
    <mergeCell ref="D36:E36"/>
    <mergeCell ref="D37:E37"/>
    <mergeCell ref="S15:V15"/>
    <mergeCell ref="D33:E33"/>
    <mergeCell ref="D34:E34"/>
    <mergeCell ref="A21:P21"/>
    <mergeCell ref="R46:V46"/>
    <mergeCell ref="R47:V47"/>
    <mergeCell ref="R48:V48"/>
    <mergeCell ref="B33:C33"/>
    <mergeCell ref="B22:P22"/>
    <mergeCell ref="B23:P23"/>
    <mergeCell ref="B24:P24"/>
    <mergeCell ref="B25:P25"/>
    <mergeCell ref="B26:P26"/>
    <mergeCell ref="D35:E35"/>
    <mergeCell ref="S6:T6"/>
    <mergeCell ref="S14:V14"/>
    <mergeCell ref="B17:P17"/>
    <mergeCell ref="B18:P18"/>
    <mergeCell ref="B19:P19"/>
    <mergeCell ref="T1:V1"/>
    <mergeCell ref="A3:B3"/>
    <mergeCell ref="A68:B68"/>
    <mergeCell ref="A32:P32"/>
    <mergeCell ref="J33:P33"/>
    <mergeCell ref="J34:P34"/>
    <mergeCell ref="J35:P35"/>
    <mergeCell ref="J36:P36"/>
    <mergeCell ref="J37:P37"/>
    <mergeCell ref="J38:P38"/>
    <mergeCell ref="J39:Q39"/>
    <mergeCell ref="J40:Q40"/>
    <mergeCell ref="J41:Q41"/>
    <mergeCell ref="J42:Q42"/>
    <mergeCell ref="D38:E38"/>
    <mergeCell ref="D39:E39"/>
    <mergeCell ref="D40:E40"/>
    <mergeCell ref="D41:E41"/>
    <mergeCell ref="D42:E42"/>
  </mergeCells>
  <conditionalFormatting sqref="E47:E66">
    <cfRule type="cellIs" dxfId="15" priority="7" operator="greaterThan">
      <formula>160</formula>
    </cfRule>
    <cfRule type="cellIs" dxfId="14" priority="8" operator="greaterThan">
      <formula>140</formula>
    </cfRule>
  </conditionalFormatting>
  <conditionalFormatting sqref="F47:F66">
    <cfRule type="cellIs" dxfId="13" priority="5" operator="between">
      <formula>101</formula>
      <formula>220</formula>
    </cfRule>
    <cfRule type="cellIs" dxfId="12" priority="6" operator="between">
      <formula>91</formula>
      <formula>100</formula>
    </cfRule>
  </conditionalFormatting>
  <conditionalFormatting sqref="D47:D66">
    <cfRule type="colorScale" priority="3">
      <colorScale>
        <cfvo type="num" val="15"/>
        <cfvo type="num" val="45"/>
        <color theme="4" tint="0.79998168889431442"/>
        <color theme="5" tint="0.59999389629810485"/>
      </colorScale>
    </cfRule>
  </conditionalFormatting>
  <conditionalFormatting sqref="O47:O66">
    <cfRule type="expression" dxfId="11" priority="2">
      <formula>$AD47&gt;90</formula>
    </cfRule>
  </conditionalFormatting>
  <conditionalFormatting sqref="A21:P21">
    <cfRule type="expression" dxfId="10" priority="1">
      <formula>$B15=""</formula>
    </cfRule>
  </conditionalFormatting>
  <pageMargins left="0.25" right="0.25" top="0.75" bottom="0.75" header="0.3" footer="0.3"/>
  <pageSetup paperSize="9" orientation="portrait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A5E3-3AF2-4D11-BB1D-3B7B13E88F7D}">
  <dimension ref="A2:AD150"/>
  <sheetViews>
    <sheetView workbookViewId="0">
      <selection activeCell="J7" sqref="J7"/>
    </sheetView>
  </sheetViews>
  <sheetFormatPr defaultColWidth="8.7109375" defaultRowHeight="10.5" customHeight="1" outlineLevelRow="1"/>
  <cols>
    <col min="1" max="1" width="2.140625" style="37" customWidth="1"/>
    <col min="2" max="2" width="9.5703125" style="37" customWidth="1"/>
    <col min="3" max="3" width="3.5703125" style="37" customWidth="1"/>
    <col min="4" max="5" width="3.42578125" style="37" customWidth="1"/>
    <col min="6" max="6" width="3.7109375" style="37" customWidth="1"/>
    <col min="7" max="7" width="5.85546875" style="37" customWidth="1"/>
    <col min="8" max="8" width="3.28515625" style="37" hidden="1" customWidth="1"/>
    <col min="9" max="10" width="3.5703125" style="37" customWidth="1"/>
    <col min="11" max="12" width="3.28515625" style="37" customWidth="1"/>
    <col min="13" max="13" width="3.7109375" style="37" customWidth="1"/>
    <col min="14" max="14" width="2.85546875" style="37" customWidth="1"/>
    <col min="15" max="16" width="4.140625" style="37" customWidth="1"/>
    <col min="17" max="17" width="3" style="37" customWidth="1"/>
    <col min="18" max="18" width="8.7109375" style="37"/>
    <col min="19" max="19" width="5.140625" style="37" customWidth="1"/>
    <col min="20" max="20" width="5.28515625" style="37" customWidth="1"/>
    <col min="21" max="21" width="4.5703125" style="37" customWidth="1"/>
    <col min="22" max="22" width="6.5703125" style="37" customWidth="1"/>
    <col min="23" max="25" width="4.5703125" style="37" hidden="1" customWidth="1"/>
    <col min="26" max="26" width="7.42578125" style="37" hidden="1" customWidth="1"/>
    <col min="27" max="27" width="3.7109375" style="37" hidden="1" customWidth="1"/>
    <col min="28" max="28" width="3.85546875" style="37" hidden="1" customWidth="1"/>
    <col min="29" max="29" width="4.85546875" style="37" hidden="1" customWidth="1"/>
    <col min="30" max="30" width="1.85546875" style="37" hidden="1" customWidth="1"/>
    <col min="31" max="31" width="1.42578125" style="37" customWidth="1"/>
    <col min="32" max="52" width="1.85546875" style="37" customWidth="1"/>
    <col min="53" max="16384" width="8.7109375" style="37"/>
  </cols>
  <sheetData>
    <row r="2" spans="1:22" ht="12" customHeight="1">
      <c r="L2" s="37" t="s">
        <v>236</v>
      </c>
    </row>
    <row r="3" spans="1:22" ht="15" customHeight="1">
      <c r="C3" s="234" t="s">
        <v>338</v>
      </c>
    </row>
    <row r="4" spans="1:22" ht="15.95" customHeight="1" thickBot="1">
      <c r="C4" s="234" t="s">
        <v>339</v>
      </c>
    </row>
    <row r="5" spans="1:22" ht="10.5" customHeight="1" thickTop="1">
      <c r="A5" s="235"/>
      <c r="B5" s="235"/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</row>
    <row r="6" spans="1:22" ht="10.5" customHeight="1">
      <c r="B6" s="230" t="str">
        <f>Start!D5</f>
        <v>Ana Carolina Silveira e Silva Streit</v>
      </c>
      <c r="O6" s="204" t="s">
        <v>3</v>
      </c>
      <c r="P6" s="328">
        <f>Start!D6</f>
        <v>33403</v>
      </c>
      <c r="Q6" s="328"/>
      <c r="R6" s="328"/>
    </row>
    <row r="7" spans="1:22" ht="12.95" customHeight="1">
      <c r="B7" s="231" t="s">
        <v>67</v>
      </c>
      <c r="C7" s="297">
        <f ca="1">TODAY()</f>
        <v>46129</v>
      </c>
      <c r="D7" s="297"/>
      <c r="E7" s="297"/>
      <c r="O7" s="204" t="str">
        <f ca="1">_xlfn.CONCAT(INT((C7-P6)/365)," anos")</f>
        <v>34 anos</v>
      </c>
    </row>
    <row r="8" spans="1:22" ht="12" customHeight="1"/>
    <row r="16" spans="1:22" ht="13.5" customHeight="1">
      <c r="A16" s="298" t="s">
        <v>68</v>
      </c>
      <c r="B16" s="298"/>
      <c r="C16" s="331">
        <f>Start!M27</f>
        <v>45812</v>
      </c>
      <c r="D16" s="331"/>
      <c r="E16" s="331"/>
      <c r="F16" s="331"/>
      <c r="G16" s="331"/>
    </row>
    <row r="17" spans="1:22" ht="10.5" customHeight="1">
      <c r="A17" s="205" t="str">
        <f>_xlfn.CONCAT(Start!I28," ",Start!I29)</f>
        <v>IG definida em 24 sem e 2 dias no dia 14-02-25 baseado em exame anterior realizado dia 10-12-24 com 14+6</v>
      </c>
    </row>
    <row r="18" spans="1:22" ht="10.5" customHeight="1">
      <c r="R18" s="209" t="s">
        <v>176</v>
      </c>
      <c r="S18" s="209">
        <v>170</v>
      </c>
      <c r="T18" s="209" t="s">
        <v>177</v>
      </c>
    </row>
    <row r="19" spans="1:22" s="205" customFormat="1" ht="10.5" customHeight="1">
      <c r="A19" s="295" t="s">
        <v>70</v>
      </c>
      <c r="B19" s="295"/>
      <c r="C19" s="209"/>
      <c r="D19" s="209" t="s">
        <v>71</v>
      </c>
      <c r="E19" s="209"/>
      <c r="F19" s="209" t="s">
        <v>72</v>
      </c>
      <c r="G19" s="209"/>
      <c r="H19" s="209"/>
      <c r="I19" s="209"/>
      <c r="J19" s="209" t="s">
        <v>73</v>
      </c>
      <c r="K19" s="209"/>
      <c r="L19" s="295"/>
      <c r="M19" s="295"/>
      <c r="N19" s="209" t="s">
        <v>78</v>
      </c>
      <c r="O19" s="295"/>
      <c r="P19" s="295"/>
      <c r="R19" s="209" t="s">
        <v>153</v>
      </c>
      <c r="S19" s="295"/>
      <c r="T19" s="295"/>
    </row>
    <row r="20" spans="1:22" s="205" customFormat="1" ht="10.5" hidden="1" customHeight="1" outlineLevel="1">
      <c r="A20" s="209"/>
      <c r="B20" s="209" t="s">
        <v>74</v>
      </c>
      <c r="C20" s="209" t="s">
        <v>76</v>
      </c>
      <c r="D20" s="209"/>
      <c r="E20" s="209" t="s">
        <v>35</v>
      </c>
      <c r="F20" s="295" t="s">
        <v>77</v>
      </c>
      <c r="G20" s="295"/>
      <c r="H20" s="209" t="s">
        <v>75</v>
      </c>
      <c r="I20" s="296" t="s">
        <v>78</v>
      </c>
      <c r="J20" s="296"/>
      <c r="K20" s="296"/>
      <c r="L20" s="296"/>
      <c r="M20" s="296"/>
      <c r="N20" s="296"/>
      <c r="O20" s="296"/>
      <c r="P20" s="296"/>
    </row>
    <row r="21" spans="1:22" s="205" customFormat="1" ht="10.5" hidden="1" customHeight="1" outlineLevel="1">
      <c r="A21" s="209">
        <v>1</v>
      </c>
      <c r="B21" s="209"/>
      <c r="C21" s="296"/>
      <c r="D21" s="296"/>
      <c r="E21" s="209"/>
      <c r="F21" s="296"/>
      <c r="G21" s="296"/>
      <c r="H21" s="209"/>
      <c r="I21" s="296"/>
      <c r="J21" s="296"/>
      <c r="K21" s="296"/>
      <c r="L21" s="296"/>
      <c r="M21" s="296"/>
      <c r="N21" s="296"/>
      <c r="O21" s="296"/>
      <c r="P21" s="296"/>
    </row>
    <row r="22" spans="1:22" s="205" customFormat="1" ht="10.5" hidden="1" customHeight="1" outlineLevel="1">
      <c r="A22" s="209">
        <v>2</v>
      </c>
      <c r="B22" s="209"/>
      <c r="C22" s="296"/>
      <c r="D22" s="296"/>
      <c r="E22" s="209"/>
      <c r="F22" s="296"/>
      <c r="G22" s="296"/>
      <c r="H22" s="209"/>
      <c r="I22" s="296"/>
      <c r="J22" s="296"/>
      <c r="K22" s="296"/>
      <c r="L22" s="296"/>
      <c r="M22" s="296"/>
      <c r="N22" s="296"/>
      <c r="O22" s="296"/>
      <c r="P22" s="296"/>
    </row>
    <row r="23" spans="1:22" s="205" customFormat="1" ht="10.5" hidden="1" customHeight="1" outlineLevel="1">
      <c r="A23" s="209">
        <v>3</v>
      </c>
      <c r="B23" s="209"/>
      <c r="C23" s="296"/>
      <c r="D23" s="296"/>
      <c r="E23" s="209"/>
      <c r="F23" s="296"/>
      <c r="G23" s="296"/>
      <c r="H23" s="209"/>
      <c r="I23" s="296"/>
      <c r="J23" s="296"/>
      <c r="K23" s="296"/>
      <c r="L23" s="296"/>
      <c r="M23" s="296"/>
      <c r="N23" s="296"/>
      <c r="O23" s="296"/>
      <c r="P23" s="296"/>
    </row>
    <row r="24" spans="1:22" s="205" customFormat="1" ht="10.5" hidden="1" customHeight="1" outlineLevel="1">
      <c r="A24" s="209">
        <v>4</v>
      </c>
      <c r="B24" s="209"/>
      <c r="C24" s="296"/>
      <c r="D24" s="296"/>
      <c r="E24" s="209"/>
      <c r="F24" s="296"/>
      <c r="G24" s="296"/>
      <c r="H24" s="209"/>
      <c r="I24" s="296"/>
      <c r="J24" s="296"/>
      <c r="K24" s="296"/>
      <c r="L24" s="296"/>
      <c r="M24" s="296"/>
      <c r="N24" s="296"/>
      <c r="O24" s="296"/>
      <c r="P24" s="296"/>
    </row>
    <row r="25" spans="1:22" s="205" customFormat="1" ht="10.5" hidden="1" customHeight="1" outlineLevel="1">
      <c r="A25" s="209">
        <v>5</v>
      </c>
      <c r="B25" s="209"/>
      <c r="C25" s="296"/>
      <c r="D25" s="296"/>
      <c r="E25" s="209"/>
      <c r="F25" s="296"/>
      <c r="G25" s="296"/>
      <c r="H25" s="209"/>
      <c r="I25" s="296"/>
      <c r="J25" s="296"/>
      <c r="K25" s="296"/>
      <c r="L25" s="296"/>
      <c r="M25" s="296"/>
      <c r="N25" s="296"/>
      <c r="O25" s="296"/>
      <c r="P25" s="296"/>
    </row>
    <row r="26" spans="1:22" s="205" customFormat="1" ht="5.45" customHeight="1" collapsed="1"/>
    <row r="27" spans="1:22" s="205" customFormat="1" ht="10.5" customHeight="1">
      <c r="A27" s="301" t="s">
        <v>274</v>
      </c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R27" s="209" t="s">
        <v>327</v>
      </c>
      <c r="S27" s="296"/>
      <c r="T27" s="296"/>
      <c r="U27" s="296"/>
      <c r="V27" s="296"/>
    </row>
    <row r="28" spans="1:22" s="205" customFormat="1" ht="10.5" customHeight="1">
      <c r="A28" s="209">
        <v>1</v>
      </c>
      <c r="B28" s="296" t="s">
        <v>315</v>
      </c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6"/>
      <c r="N28" s="296"/>
      <c r="O28" s="296"/>
      <c r="P28" s="296"/>
      <c r="R28" s="209" t="s">
        <v>153</v>
      </c>
      <c r="S28" s="296"/>
      <c r="T28" s="296"/>
      <c r="U28" s="296"/>
      <c r="V28" s="296"/>
    </row>
    <row r="29" spans="1:22" s="205" customFormat="1" ht="10.5" hidden="1" customHeight="1" outlineLevel="1">
      <c r="A29" s="209">
        <v>2</v>
      </c>
      <c r="B29" s="296"/>
      <c r="C29" s="296"/>
      <c r="D29" s="296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296"/>
      <c r="P29" s="296"/>
    </row>
    <row r="30" spans="1:22" s="205" customFormat="1" ht="10.5" hidden="1" customHeight="1" outlineLevel="1">
      <c r="A30" s="209">
        <v>3</v>
      </c>
      <c r="B30" s="296"/>
      <c r="C30" s="296"/>
      <c r="D30" s="296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</row>
    <row r="31" spans="1:22" s="205" customFormat="1" ht="10.5" hidden="1" customHeight="1" outlineLevel="1">
      <c r="A31" s="209">
        <v>4</v>
      </c>
      <c r="B31" s="296"/>
      <c r="C31" s="296"/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</row>
    <row r="32" spans="1:22" s="205" customFormat="1" ht="10.5" hidden="1" customHeight="1" outlineLevel="1">
      <c r="A32" s="209">
        <v>5</v>
      </c>
      <c r="B32" s="296"/>
      <c r="C32" s="296"/>
      <c r="D32" s="296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296"/>
      <c r="P32" s="296"/>
    </row>
    <row r="33" spans="1:24" s="205" customFormat="1" ht="6" customHeight="1" collapsed="1"/>
    <row r="34" spans="1:24" s="205" customFormat="1" ht="10.5" customHeight="1">
      <c r="A34" s="301" t="s">
        <v>275</v>
      </c>
      <c r="B34" s="301"/>
      <c r="C34" s="301"/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R34" s="205" t="s">
        <v>89</v>
      </c>
    </row>
    <row r="35" spans="1:24" s="205" customFormat="1" ht="10.5" customHeight="1">
      <c r="A35" s="209">
        <v>1</v>
      </c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6"/>
      <c r="M35" s="296"/>
      <c r="N35" s="296"/>
      <c r="O35" s="296"/>
      <c r="P35" s="296"/>
      <c r="R35" s="205" t="s">
        <v>90</v>
      </c>
    </row>
    <row r="36" spans="1:24" s="205" customFormat="1" ht="10.5" hidden="1" customHeight="1" outlineLevel="1">
      <c r="A36" s="209">
        <v>2</v>
      </c>
      <c r="B36" s="296"/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</row>
    <row r="37" spans="1:24" s="205" customFormat="1" ht="10.5" hidden="1" customHeight="1" outlineLevel="1">
      <c r="A37" s="209">
        <v>3</v>
      </c>
      <c r="B37" s="296"/>
      <c r="C37" s="296"/>
      <c r="D37" s="296"/>
      <c r="E37" s="296"/>
      <c r="F37" s="296"/>
      <c r="G37" s="296"/>
      <c r="H37" s="296"/>
      <c r="I37" s="296"/>
      <c r="J37" s="296"/>
      <c r="K37" s="296"/>
      <c r="L37" s="296"/>
      <c r="M37" s="296"/>
      <c r="N37" s="296"/>
      <c r="O37" s="296"/>
      <c r="P37" s="296"/>
    </row>
    <row r="38" spans="1:24" s="205" customFormat="1" ht="10.5" hidden="1" customHeight="1" outlineLevel="1">
      <c r="A38" s="209">
        <v>4</v>
      </c>
      <c r="B38" s="296"/>
      <c r="C38" s="296"/>
      <c r="D38" s="296"/>
      <c r="E38" s="296"/>
      <c r="F38" s="296"/>
      <c r="G38" s="296"/>
      <c r="H38" s="296"/>
      <c r="I38" s="296"/>
      <c r="J38" s="296"/>
      <c r="K38" s="296"/>
      <c r="L38" s="296"/>
      <c r="M38" s="296"/>
      <c r="N38" s="296"/>
      <c r="O38" s="296"/>
      <c r="P38" s="296"/>
    </row>
    <row r="39" spans="1:24" s="205" customFormat="1" ht="10.5" hidden="1" customHeight="1" outlineLevel="1">
      <c r="A39" s="209">
        <v>5</v>
      </c>
      <c r="B39" s="296"/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</row>
    <row r="40" spans="1:24" s="205" customFormat="1" ht="10.5" customHeight="1" collapsed="1"/>
    <row r="41" spans="1:24" s="205" customFormat="1" ht="10.5" customHeight="1">
      <c r="A41" s="229" t="s">
        <v>336</v>
      </c>
      <c r="B41" s="227"/>
      <c r="C41" s="227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R41" s="205" t="s">
        <v>83</v>
      </c>
      <c r="X41" s="205" t="s">
        <v>298</v>
      </c>
    </row>
    <row r="42" spans="1:24" s="205" customFormat="1" ht="10.5" customHeight="1">
      <c r="A42" s="205" t="s">
        <v>86</v>
      </c>
      <c r="D42" s="205" t="s">
        <v>84</v>
      </c>
      <c r="I42" s="205" t="s">
        <v>85</v>
      </c>
      <c r="X42" s="205" t="s">
        <v>299</v>
      </c>
    </row>
    <row r="43" spans="1:24" s="205" customFormat="1" ht="10.5" customHeight="1">
      <c r="R43" s="204"/>
      <c r="X43" s="205" t="s">
        <v>300</v>
      </c>
    </row>
    <row r="44" spans="1:24" s="205" customFormat="1" ht="10.5" customHeight="1"/>
    <row r="45" spans="1:24" s="205" customFormat="1" ht="10.5" customHeight="1">
      <c r="A45" s="301" t="s">
        <v>80</v>
      </c>
      <c r="B45" s="301"/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1"/>
      <c r="O45" s="301"/>
      <c r="P45" s="301"/>
      <c r="Q45" s="232"/>
      <c r="R45" s="301" t="s">
        <v>152</v>
      </c>
      <c r="S45" s="301"/>
      <c r="T45" s="301"/>
      <c r="U45" s="301"/>
      <c r="V45" s="228" t="s">
        <v>335</v>
      </c>
      <c r="X45" s="205" t="s">
        <v>301</v>
      </c>
    </row>
    <row r="46" spans="1:24" s="205" customFormat="1" ht="10.5" customHeight="1">
      <c r="A46" s="228" t="s">
        <v>79</v>
      </c>
      <c r="B46" s="319" t="s">
        <v>81</v>
      </c>
      <c r="C46" s="319"/>
      <c r="D46" s="302" t="s">
        <v>332</v>
      </c>
      <c r="E46" s="302"/>
      <c r="F46" s="228" t="s">
        <v>19</v>
      </c>
      <c r="G46" s="228" t="s">
        <v>82</v>
      </c>
      <c r="H46" s="228"/>
      <c r="I46" s="228" t="s">
        <v>19</v>
      </c>
      <c r="J46" s="302" t="s">
        <v>192</v>
      </c>
      <c r="K46" s="302"/>
      <c r="L46" s="302"/>
      <c r="M46" s="302"/>
      <c r="N46" s="302"/>
      <c r="O46" s="302"/>
      <c r="P46" s="302"/>
      <c r="Q46" s="232"/>
      <c r="R46" s="209" t="s">
        <v>333</v>
      </c>
      <c r="S46" s="209"/>
      <c r="T46" s="219"/>
      <c r="U46" s="209"/>
      <c r="V46" s="209"/>
      <c r="X46" s="205" t="s">
        <v>302</v>
      </c>
    </row>
    <row r="47" spans="1:24" s="205" customFormat="1" ht="10.5" customHeight="1">
      <c r="A47" s="209">
        <v>1</v>
      </c>
      <c r="B47" s="296" t="s">
        <v>87</v>
      </c>
      <c r="C47" s="296"/>
      <c r="D47" s="309">
        <v>45338</v>
      </c>
      <c r="E47" s="309"/>
      <c r="F47" s="224" t="str" cm="1">
        <f t="array" ref="F47">IF(D47="","",IGsdd(ROUND((D47-($C$16-280)),1),1))</f>
        <v>-28+2</v>
      </c>
      <c r="G47" s="220"/>
      <c r="H47" s="209" t="str" cm="1">
        <f t="array" ref="H47">IF(G47="","",IGsdd(ROUND((G47-($C$16-280)),1),1))</f>
        <v/>
      </c>
      <c r="I47" s="209"/>
      <c r="J47" s="296"/>
      <c r="K47" s="296"/>
      <c r="L47" s="296"/>
      <c r="M47" s="296"/>
      <c r="N47" s="296"/>
      <c r="O47" s="296"/>
      <c r="P47" s="296"/>
      <c r="R47" s="209" t="s">
        <v>334</v>
      </c>
      <c r="S47" s="209"/>
      <c r="T47" s="295"/>
      <c r="U47" s="295"/>
      <c r="V47" s="295"/>
      <c r="X47" s="205" t="s">
        <v>303</v>
      </c>
    </row>
    <row r="48" spans="1:24" s="205" customFormat="1" ht="10.5" customHeight="1">
      <c r="A48" s="209">
        <v>2</v>
      </c>
      <c r="B48" s="296" t="s">
        <v>329</v>
      </c>
      <c r="C48" s="296"/>
      <c r="D48" s="309"/>
      <c r="E48" s="309"/>
      <c r="F48" s="209" t="str">
        <f t="shared" ref="F48:F56" si="0">IF(D48="","",ROUND((B61-($C$16-280)),1))</f>
        <v/>
      </c>
      <c r="G48" s="220"/>
      <c r="H48" s="209" t="str" cm="1">
        <f t="array" ref="H48">IF(G48="","",IGsdd(ROUND((G48-($C$16-280)),1),1))</f>
        <v/>
      </c>
      <c r="I48" s="209"/>
      <c r="J48" s="296"/>
      <c r="K48" s="296"/>
      <c r="L48" s="296"/>
      <c r="M48" s="296"/>
      <c r="N48" s="296"/>
      <c r="O48" s="296"/>
      <c r="P48" s="296"/>
      <c r="R48" s="209" t="s">
        <v>175</v>
      </c>
      <c r="S48" s="209"/>
      <c r="T48" s="209"/>
      <c r="U48" s="209"/>
      <c r="V48" s="209"/>
    </row>
    <row r="49" spans="1:30" s="205" customFormat="1" ht="10.5" customHeight="1">
      <c r="A49" s="209">
        <v>3</v>
      </c>
      <c r="B49" s="296" t="s">
        <v>330</v>
      </c>
      <c r="C49" s="296"/>
      <c r="D49" s="309"/>
      <c r="E49" s="309"/>
      <c r="F49" s="209" t="str">
        <f t="shared" si="0"/>
        <v/>
      </c>
      <c r="G49" s="220"/>
      <c r="H49" s="209" t="str" cm="1">
        <f t="array" ref="H49">IF(G49="","",IGsdd(ROUND((G49-($C$16-280)),1),1))</f>
        <v/>
      </c>
      <c r="I49" s="209"/>
      <c r="J49" s="296"/>
      <c r="K49" s="296"/>
      <c r="L49" s="296"/>
      <c r="M49" s="296"/>
      <c r="N49" s="296"/>
      <c r="O49" s="296"/>
      <c r="P49" s="296"/>
      <c r="R49" s="209" t="s">
        <v>180</v>
      </c>
      <c r="S49" s="209"/>
      <c r="T49" s="209"/>
      <c r="U49" s="209"/>
      <c r="V49" s="209"/>
    </row>
    <row r="50" spans="1:30" ht="10.5" customHeight="1">
      <c r="A50" s="209">
        <v>4</v>
      </c>
      <c r="B50" s="303" t="s">
        <v>331</v>
      </c>
      <c r="C50" s="303"/>
      <c r="D50" s="308"/>
      <c r="E50" s="308"/>
      <c r="F50" s="209" t="str">
        <f t="shared" si="0"/>
        <v/>
      </c>
      <c r="G50" s="225"/>
      <c r="H50" s="209" t="str" cm="1">
        <f t="array" ref="H50">IF(G50="","",IGsdd(ROUND((G50-($C$16-280)),1),1))</f>
        <v/>
      </c>
      <c r="I50" s="210"/>
      <c r="J50" s="303"/>
      <c r="K50" s="303"/>
      <c r="L50" s="303"/>
      <c r="M50" s="303"/>
      <c r="N50" s="303"/>
      <c r="O50" s="303"/>
      <c r="P50" s="303"/>
      <c r="Q50" s="204"/>
      <c r="R50" s="209" t="s">
        <v>276</v>
      </c>
      <c r="S50" s="226"/>
      <c r="T50" s="226"/>
      <c r="U50" s="226"/>
      <c r="V50" s="226"/>
    </row>
    <row r="51" spans="1:30" ht="10.5" hidden="1" customHeight="1" outlineLevel="1">
      <c r="A51" s="209">
        <v>5</v>
      </c>
      <c r="B51" s="303" t="s">
        <v>88</v>
      </c>
      <c r="C51" s="303"/>
      <c r="D51" s="308"/>
      <c r="E51" s="308"/>
      <c r="F51" s="209" t="str">
        <f t="shared" si="0"/>
        <v/>
      </c>
      <c r="G51" s="225"/>
      <c r="H51" s="209" t="str" cm="1">
        <f t="array" ref="H51">IF(G51="","",IGsdd(ROUND((G51-($C$16-280)),1),1))</f>
        <v/>
      </c>
      <c r="I51" s="210"/>
      <c r="J51" s="303"/>
      <c r="K51" s="303"/>
      <c r="L51" s="303"/>
      <c r="M51" s="303"/>
      <c r="N51" s="303"/>
      <c r="O51" s="303"/>
      <c r="P51" s="303"/>
      <c r="Q51" s="204"/>
    </row>
    <row r="52" spans="1:30" ht="10.5" hidden="1" customHeight="1" outlineLevel="1">
      <c r="A52" s="209">
        <v>6</v>
      </c>
      <c r="B52" s="320"/>
      <c r="C52" s="320"/>
      <c r="D52" s="308"/>
      <c r="E52" s="308"/>
      <c r="F52" s="209" t="str">
        <f t="shared" si="0"/>
        <v/>
      </c>
      <c r="G52" s="225"/>
      <c r="H52" s="209" t="str" cm="1">
        <f t="array" ref="H52">IF(G52="","",IGsdd(ROUND((G52-($C$16-280)),1),1))</f>
        <v/>
      </c>
      <c r="I52" s="210"/>
      <c r="J52" s="304"/>
      <c r="K52" s="305"/>
      <c r="L52" s="305"/>
      <c r="M52" s="305"/>
      <c r="N52" s="305"/>
      <c r="O52" s="305"/>
      <c r="P52" s="305"/>
      <c r="Q52" s="306"/>
    </row>
    <row r="53" spans="1:30" ht="10.5" hidden="1" customHeight="1" outlineLevel="1">
      <c r="A53" s="209">
        <v>7</v>
      </c>
      <c r="B53" s="303"/>
      <c r="C53" s="303"/>
      <c r="D53" s="308"/>
      <c r="E53" s="308"/>
      <c r="F53" s="209" t="str">
        <f t="shared" si="0"/>
        <v/>
      </c>
      <c r="G53" s="225"/>
      <c r="H53" s="209" t="str" cm="1">
        <f t="array" ref="H53">IF(G53="","",IGsdd(ROUND((G53-($C$16-280)),1),1))</f>
        <v/>
      </c>
      <c r="I53" s="210"/>
      <c r="J53" s="304"/>
      <c r="K53" s="305"/>
      <c r="L53" s="305"/>
      <c r="M53" s="305"/>
      <c r="N53" s="305"/>
      <c r="O53" s="305"/>
      <c r="P53" s="305"/>
      <c r="Q53" s="307"/>
    </row>
    <row r="54" spans="1:30" ht="10.5" hidden="1" customHeight="1" outlineLevel="1">
      <c r="A54" s="209">
        <v>8</v>
      </c>
      <c r="B54" s="303"/>
      <c r="C54" s="303"/>
      <c r="D54" s="308"/>
      <c r="E54" s="308"/>
      <c r="F54" s="209" t="str">
        <f t="shared" si="0"/>
        <v/>
      </c>
      <c r="G54" s="225"/>
      <c r="H54" s="209" t="str" cm="1">
        <f t="array" ref="H54">IF(G54="","",IGsdd(ROUND((G54-($C$16-280)),1),1))</f>
        <v/>
      </c>
      <c r="I54" s="210"/>
      <c r="J54" s="304"/>
      <c r="K54" s="305"/>
      <c r="L54" s="305"/>
      <c r="M54" s="305"/>
      <c r="N54" s="305"/>
      <c r="O54" s="305"/>
      <c r="P54" s="305"/>
      <c r="Q54" s="307"/>
    </row>
    <row r="55" spans="1:30" ht="10.5" hidden="1" customHeight="1" outlineLevel="1">
      <c r="A55" s="209">
        <v>9</v>
      </c>
      <c r="B55" s="303"/>
      <c r="C55" s="303"/>
      <c r="D55" s="308"/>
      <c r="E55" s="308"/>
      <c r="F55" s="209" t="str">
        <f t="shared" si="0"/>
        <v/>
      </c>
      <c r="G55" s="225"/>
      <c r="H55" s="209" t="str" cm="1">
        <f t="array" ref="H55">IF(G55="","",IGsdd(ROUND((G55-($C$16-280)),1),1))</f>
        <v/>
      </c>
      <c r="I55" s="210"/>
      <c r="J55" s="304"/>
      <c r="K55" s="305"/>
      <c r="L55" s="305"/>
      <c r="M55" s="305"/>
      <c r="N55" s="305"/>
      <c r="O55" s="305"/>
      <c r="P55" s="305"/>
      <c r="Q55" s="307"/>
    </row>
    <row r="56" spans="1:30" ht="10.5" hidden="1" customHeight="1" outlineLevel="1">
      <c r="A56" s="209">
        <v>10</v>
      </c>
      <c r="B56" s="303"/>
      <c r="C56" s="303"/>
      <c r="D56" s="308"/>
      <c r="E56" s="308"/>
      <c r="F56" s="209" t="str">
        <f t="shared" si="0"/>
        <v/>
      </c>
      <c r="G56" s="225"/>
      <c r="H56" s="209" t="str" cm="1">
        <f t="array" ref="H56">IF(G56="","",IGsdd(ROUND((G56-($C$16-280)),1),1))</f>
        <v/>
      </c>
      <c r="I56" s="210"/>
      <c r="J56" s="304"/>
      <c r="K56" s="305"/>
      <c r="L56" s="305"/>
      <c r="M56" s="305"/>
      <c r="N56" s="305"/>
      <c r="O56" s="305"/>
      <c r="P56" s="305"/>
      <c r="Q56" s="307"/>
    </row>
    <row r="57" spans="1:30" ht="6.95" customHeight="1" collapsed="1">
      <c r="G57" s="223"/>
    </row>
    <row r="58" spans="1:30" s="203" customFormat="1" ht="10.5" customHeight="1">
      <c r="A58" s="321"/>
      <c r="B58" s="322"/>
      <c r="C58" s="332" t="s">
        <v>183</v>
      </c>
      <c r="D58" s="332"/>
      <c r="E58" s="332"/>
      <c r="F58" s="332"/>
      <c r="G58" s="332"/>
      <c r="H58" s="217"/>
      <c r="I58" s="323" t="s">
        <v>322</v>
      </c>
      <c r="J58" s="324"/>
      <c r="K58" s="324"/>
      <c r="L58" s="324"/>
      <c r="M58" s="324"/>
      <c r="N58" s="324"/>
      <c r="O58" s="324"/>
      <c r="P58" s="325"/>
      <c r="Q58" s="323"/>
      <c r="R58" s="324"/>
      <c r="S58" s="324"/>
      <c r="T58" s="324"/>
      <c r="U58" s="324"/>
      <c r="V58" s="325"/>
      <c r="X58" s="203" t="s">
        <v>316</v>
      </c>
      <c r="Z58" s="203" t="s">
        <v>158</v>
      </c>
    </row>
    <row r="59" spans="1:30" s="205" customFormat="1" ht="10.5" customHeight="1">
      <c r="A59" s="218" t="s">
        <v>79</v>
      </c>
      <c r="B59" s="218" t="s">
        <v>185</v>
      </c>
      <c r="C59" s="218" t="s">
        <v>186</v>
      </c>
      <c r="D59" s="218" t="s">
        <v>157</v>
      </c>
      <c r="E59" s="333" t="s">
        <v>187</v>
      </c>
      <c r="F59" s="333"/>
      <c r="G59" s="218" t="s">
        <v>188</v>
      </c>
      <c r="H59" s="218" t="s">
        <v>321</v>
      </c>
      <c r="I59" s="218" t="s">
        <v>35</v>
      </c>
      <c r="J59" s="218" t="s">
        <v>189</v>
      </c>
      <c r="K59" s="218" t="s">
        <v>34</v>
      </c>
      <c r="L59" s="218" t="s">
        <v>36</v>
      </c>
      <c r="M59" s="218" t="s">
        <v>190</v>
      </c>
      <c r="N59" s="218" t="s">
        <v>39</v>
      </c>
      <c r="O59" s="218" t="s">
        <v>77</v>
      </c>
      <c r="P59" s="218" t="s">
        <v>191</v>
      </c>
      <c r="Q59" s="218" t="s">
        <v>325</v>
      </c>
      <c r="R59" s="310" t="s">
        <v>326</v>
      </c>
      <c r="S59" s="311"/>
      <c r="T59" s="311"/>
      <c r="U59" s="311"/>
      <c r="V59" s="312"/>
      <c r="Z59" s="205" t="s">
        <v>324</v>
      </c>
      <c r="AA59" s="205" t="s">
        <v>325</v>
      </c>
      <c r="AB59" s="205">
        <v>10</v>
      </c>
      <c r="AC59" s="205">
        <v>50</v>
      </c>
      <c r="AD59" s="205">
        <v>90</v>
      </c>
    </row>
    <row r="60" spans="1:30" s="205" customFormat="1" ht="10.5" customHeight="1">
      <c r="A60" s="215">
        <v>1</v>
      </c>
      <c r="B60" s="212">
        <v>45184</v>
      </c>
      <c r="C60" s="211">
        <v>54</v>
      </c>
      <c r="D60" s="211">
        <f t="shared" ref="D60:D79" si="1">IF(C60="","",ROUND(C60/$S$18^2*10000,1))</f>
        <v>18.7</v>
      </c>
      <c r="E60" s="211">
        <v>121</v>
      </c>
      <c r="F60" s="211">
        <v>90</v>
      </c>
      <c r="G60" s="211"/>
      <c r="H60" s="211">
        <f>IF(B60="","",ROUND((B60-($C$16-280)),1))</f>
        <v>-348</v>
      </c>
      <c r="I60" s="211" t="str" cm="1">
        <f t="array" ref="I60">IF(H60="","",IGsdd(H60,1))</f>
        <v>-50+2</v>
      </c>
      <c r="J60" s="211">
        <v>123</v>
      </c>
      <c r="K60" s="211">
        <v>90</v>
      </c>
      <c r="L60" s="211">
        <v>233</v>
      </c>
      <c r="M60" s="211">
        <v>333</v>
      </c>
      <c r="N60" s="211">
        <v>23</v>
      </c>
      <c r="O60" s="211" t="str">
        <f>IF(K60="","",CONCATENATE(pesoH_4C(K60,L60,M60,N60)," g"))</f>
        <v>1614 g</v>
      </c>
      <c r="P60" s="211" t="str">
        <f>IF(N60="","",CONCATENATE(INT(6.18+(0.59*N60))," cm"))</f>
        <v>19 cm</v>
      </c>
      <c r="Q60" s="222" t="str">
        <f>IF(ISERROR(AA60),"",AA60)</f>
        <v/>
      </c>
      <c r="R60" s="313" t="s">
        <v>323</v>
      </c>
      <c r="S60" s="314"/>
      <c r="T60" s="314"/>
      <c r="U60" s="314"/>
      <c r="V60" s="315"/>
      <c r="X60" s="205" t="e">
        <f>VLOOKUP(INT(H60/7),pesomat[],2,FALSE)</f>
        <v>#N/A</v>
      </c>
      <c r="Y60" s="205" cm="1">
        <f t="array" ref="Y60">pesoH_4C(K60,L60,M60,N60)</f>
        <v>1614</v>
      </c>
      <c r="Z60" s="205" t="e">
        <f>ROUND(((Y60-AC60)/(0.13*AC60)),2)</f>
        <v>#DIV/0!</v>
      </c>
      <c r="AA60" s="205" t="e">
        <f>(NORMSDIST(Z60)*100)</f>
        <v>#DIV/0!</v>
      </c>
      <c r="AC60" s="205">
        <f>ROUND((EXP(0.578+0.332*(H60/7)-0.00354*(H60/7)^2)),0)</f>
        <v>0</v>
      </c>
    </row>
    <row r="61" spans="1:30" s="204" customFormat="1" ht="10.5" customHeight="1">
      <c r="A61" s="216">
        <v>2</v>
      </c>
      <c r="B61" s="214">
        <v>45338</v>
      </c>
      <c r="C61" s="213">
        <v>90</v>
      </c>
      <c r="D61" s="211">
        <f t="shared" si="1"/>
        <v>31.1</v>
      </c>
      <c r="E61" s="213">
        <v>161</v>
      </c>
      <c r="F61" s="213">
        <v>101</v>
      </c>
      <c r="G61" s="213"/>
      <c r="H61" s="211">
        <f t="shared" ref="H61:H80" si="2">IF(B61="","",ROUND((B61-($C$16-280)),1))</f>
        <v>-194</v>
      </c>
      <c r="I61" s="211" t="str" cm="1">
        <f t="array" ref="I61">IF(H61="","",IGsdd(H61,1))</f>
        <v>-28+2</v>
      </c>
      <c r="J61" s="213"/>
      <c r="K61" s="211">
        <v>90</v>
      </c>
      <c r="L61" s="211">
        <v>233</v>
      </c>
      <c r="M61" s="211">
        <v>333</v>
      </c>
      <c r="N61" s="211">
        <v>23</v>
      </c>
      <c r="O61" s="211" t="str">
        <f>IF(K61="","",CONCATENATE(pesoH_4C(K61,L61,M61,N61)," g"))</f>
        <v>1614 g</v>
      </c>
      <c r="P61" s="211" t="str">
        <f t="shared" ref="P61:P79" si="3">IF(N61="","",CONCATENATE(INT(6.18+(0.59*N61))," cm"))</f>
        <v>19 cm</v>
      </c>
      <c r="Q61" s="222" t="str">
        <f t="shared" ref="Q61:Q79" si="4">IF(ISERROR(AA61),"",AA61)</f>
        <v/>
      </c>
      <c r="R61" s="316"/>
      <c r="S61" s="317"/>
      <c r="T61" s="317"/>
      <c r="U61" s="317"/>
      <c r="V61" s="318"/>
      <c r="X61" s="205" t="e">
        <f>VLOOKUP(INT(H61/7),pesomat[],2,FALSE)</f>
        <v>#N/A</v>
      </c>
      <c r="Y61" s="205" cm="1">
        <f t="array" ref="Y61">pesoH_4C(K61,L61,M61,N61)</f>
        <v>1614</v>
      </c>
      <c r="Z61" s="205" t="e">
        <f>ROUND(((Y61-AC61)/(0.13*AC61)),2)</f>
        <v>#DIV/0!</v>
      </c>
      <c r="AA61" s="205" t="e">
        <f>(NORMSDIST(Z61)*100)</f>
        <v>#DIV/0!</v>
      </c>
      <c r="AC61" s="205">
        <f>ROUND((EXP(0.578+0.332*(H61/7)-0.00354*(H61/7)^2)),0)</f>
        <v>0</v>
      </c>
    </row>
    <row r="62" spans="1:30" s="204" customFormat="1" ht="10.5" customHeight="1">
      <c r="A62" s="216">
        <v>3</v>
      </c>
      <c r="B62" s="214"/>
      <c r="C62" s="213"/>
      <c r="D62" s="211" t="str">
        <f t="shared" si="1"/>
        <v/>
      </c>
      <c r="E62" s="213">
        <v>160</v>
      </c>
      <c r="F62" s="213">
        <v>111</v>
      </c>
      <c r="G62" s="213"/>
      <c r="H62" s="211" t="str">
        <f t="shared" si="2"/>
        <v/>
      </c>
      <c r="I62" s="211" t="str" cm="1">
        <f t="array" ref="I62">IF(H62="","",IGsdd(H62,1))</f>
        <v/>
      </c>
      <c r="J62" s="213"/>
      <c r="K62" s="213"/>
      <c r="L62" s="213"/>
      <c r="M62" s="213"/>
      <c r="N62" s="213"/>
      <c r="O62" s="211" t="str">
        <f>IF(K62="","",CONCATENATE(pesoH_4C(K62,L62,M62,N62)," g"))</f>
        <v/>
      </c>
      <c r="P62" s="211" t="str">
        <f t="shared" si="3"/>
        <v/>
      </c>
      <c r="Q62" s="222" t="str">
        <f t="shared" si="4"/>
        <v/>
      </c>
      <c r="R62" s="316"/>
      <c r="S62" s="317"/>
      <c r="T62" s="317"/>
      <c r="U62" s="317"/>
      <c r="V62" s="318"/>
      <c r="X62" s="205" t="e">
        <f>VLOOKUP(INT(H62/7),pesomat[],2,FALSE)</f>
        <v>#VALUE!</v>
      </c>
      <c r="Y62" s="205" cm="1">
        <f t="array" ref="Y62">pesoH_4C(K62,L62,M62,N62)</f>
        <v>23</v>
      </c>
      <c r="Z62" s="205" t="e">
        <f t="shared" ref="Z62:Z80" si="5">ROUND(((Y62-AC62)/(0.13*AC62)),2)</f>
        <v>#VALUE!</v>
      </c>
      <c r="AA62" s="205" t="e">
        <f t="shared" ref="AA62:AA80" si="6">(NORMSDIST(Z62)*100)</f>
        <v>#VALUE!</v>
      </c>
      <c r="AC62" s="205" t="e">
        <f t="shared" ref="AC62:AC80" si="7">ROUND((EXP(0.578+0.332*(H62/7)-0.00354*(H62/7)^2)),0)</f>
        <v>#VALUE!</v>
      </c>
    </row>
    <row r="63" spans="1:30" s="204" customFormat="1" ht="10.5" customHeight="1">
      <c r="A63" s="216">
        <v>4</v>
      </c>
      <c r="B63" s="213"/>
      <c r="C63" s="213"/>
      <c r="D63" s="211" t="str">
        <f t="shared" si="1"/>
        <v/>
      </c>
      <c r="E63" s="213"/>
      <c r="F63" s="213"/>
      <c r="G63" s="213"/>
      <c r="H63" s="211" t="str">
        <f t="shared" si="2"/>
        <v/>
      </c>
      <c r="I63" s="211" t="str" cm="1">
        <f t="array" ref="I63">IF(H63="","",IGsdd(H63,1))</f>
        <v/>
      </c>
      <c r="J63" s="213"/>
      <c r="K63" s="213"/>
      <c r="L63" s="213"/>
      <c r="M63" s="213"/>
      <c r="N63" s="213"/>
      <c r="O63" s="211" t="str">
        <f>IF(K63="","",CONCATENATE(pesoH_4C(K63,L63,M63,N63)," g"))</f>
        <v/>
      </c>
      <c r="P63" s="211" t="str">
        <f t="shared" si="3"/>
        <v/>
      </c>
      <c r="Q63" s="222" t="str">
        <f t="shared" si="4"/>
        <v/>
      </c>
      <c r="R63" s="316"/>
      <c r="S63" s="317"/>
      <c r="T63" s="317"/>
      <c r="U63" s="317"/>
      <c r="V63" s="318"/>
      <c r="X63" s="205" t="e">
        <f>VLOOKUP(INT(H63/7),pesomat[],2,FALSE)</f>
        <v>#VALUE!</v>
      </c>
      <c r="Y63" s="205" cm="1">
        <f t="array" ref="Y63">pesoH_4C(K63,L63,M63,N63)</f>
        <v>23</v>
      </c>
      <c r="Z63" s="205" t="e">
        <f t="shared" si="5"/>
        <v>#VALUE!</v>
      </c>
      <c r="AA63" s="205" t="e">
        <f t="shared" si="6"/>
        <v>#VALUE!</v>
      </c>
      <c r="AC63" s="205" t="e">
        <f t="shared" si="7"/>
        <v>#VALUE!</v>
      </c>
    </row>
    <row r="64" spans="1:30" s="204" customFormat="1" ht="10.5" customHeight="1">
      <c r="A64" s="216">
        <v>5</v>
      </c>
      <c r="B64" s="213"/>
      <c r="C64" s="213"/>
      <c r="D64" s="211" t="str">
        <f t="shared" si="1"/>
        <v/>
      </c>
      <c r="E64" s="213"/>
      <c r="F64" s="213"/>
      <c r="G64" s="213"/>
      <c r="H64" s="211" t="str">
        <f t="shared" si="2"/>
        <v/>
      </c>
      <c r="I64" s="211" t="str" cm="1">
        <f t="array" ref="I64">IF(H64="","",IGsdd(H64,1))</f>
        <v/>
      </c>
      <c r="J64" s="213"/>
      <c r="K64" s="213"/>
      <c r="L64" s="213"/>
      <c r="M64" s="213"/>
      <c r="N64" s="213"/>
      <c r="O64" s="211" t="str">
        <f>IF(K64="","",CONCATENATE(pesoH_4C(K64,L64,M64,N64)," g"))</f>
        <v/>
      </c>
      <c r="P64" s="211" t="str">
        <f t="shared" si="3"/>
        <v/>
      </c>
      <c r="Q64" s="222" t="str">
        <f t="shared" si="4"/>
        <v/>
      </c>
      <c r="R64" s="316"/>
      <c r="S64" s="317"/>
      <c r="T64" s="317"/>
      <c r="U64" s="317"/>
      <c r="V64" s="318"/>
      <c r="X64" s="205" t="e">
        <f>VLOOKUP(INT(H64/7),pesomat[],2,FALSE)</f>
        <v>#VALUE!</v>
      </c>
      <c r="Y64" s="205" cm="1">
        <f t="array" ref="Y64">pesoH_4C(K64,L64,M64,N64)</f>
        <v>23</v>
      </c>
      <c r="Z64" s="205" t="e">
        <f t="shared" si="5"/>
        <v>#VALUE!</v>
      </c>
      <c r="AA64" s="205" t="e">
        <f t="shared" si="6"/>
        <v>#VALUE!</v>
      </c>
      <c r="AC64" s="205" t="e">
        <f t="shared" si="7"/>
        <v>#VALUE!</v>
      </c>
    </row>
    <row r="65" spans="1:29" s="204" customFormat="1" ht="10.5" hidden="1" customHeight="1">
      <c r="A65" s="216">
        <v>6</v>
      </c>
      <c r="B65" s="213"/>
      <c r="C65" s="213"/>
      <c r="D65" s="211" t="str">
        <f t="shared" si="1"/>
        <v/>
      </c>
      <c r="E65" s="213"/>
      <c r="F65" s="213"/>
      <c r="G65" s="213"/>
      <c r="H65" s="211" t="str">
        <f t="shared" si="2"/>
        <v/>
      </c>
      <c r="I65" s="211" t="str" cm="1">
        <f t="array" ref="I65">IF(H65="","",IGsdd(H65,1))</f>
        <v/>
      </c>
      <c r="J65" s="213"/>
      <c r="K65" s="213"/>
      <c r="L65" s="213"/>
      <c r="M65" s="213"/>
      <c r="N65" s="213"/>
      <c r="O65" s="211" t="str">
        <f>IF(K65="","",CONCATENATE(pesoH_4C(K65,L65,M65,N65)," g"))</f>
        <v/>
      </c>
      <c r="P65" s="211" t="str">
        <f t="shared" si="3"/>
        <v/>
      </c>
      <c r="Q65" s="222" t="str">
        <f t="shared" si="4"/>
        <v/>
      </c>
      <c r="R65" s="316"/>
      <c r="S65" s="317"/>
      <c r="T65" s="317"/>
      <c r="U65" s="317"/>
      <c r="V65" s="318"/>
      <c r="X65" s="205" t="e">
        <f>VLOOKUP(INT(H65/7),pesomat[],2,FALSE)</f>
        <v>#VALUE!</v>
      </c>
      <c r="Y65" s="205" cm="1">
        <f t="array" ref="Y65">pesoH_4C(K65,L65,M65,N65)</f>
        <v>23</v>
      </c>
      <c r="Z65" s="205" t="e">
        <f t="shared" si="5"/>
        <v>#VALUE!</v>
      </c>
      <c r="AA65" s="205" t="e">
        <f t="shared" si="6"/>
        <v>#VALUE!</v>
      </c>
      <c r="AC65" s="205" t="e">
        <f t="shared" si="7"/>
        <v>#VALUE!</v>
      </c>
    </row>
    <row r="66" spans="1:29" s="204" customFormat="1" ht="10.5" hidden="1" customHeight="1">
      <c r="A66" s="216">
        <v>7</v>
      </c>
      <c r="B66" s="213"/>
      <c r="C66" s="213"/>
      <c r="D66" s="211" t="str">
        <f t="shared" si="1"/>
        <v/>
      </c>
      <c r="E66" s="213"/>
      <c r="F66" s="213"/>
      <c r="G66" s="213"/>
      <c r="H66" s="211" t="str">
        <f t="shared" si="2"/>
        <v/>
      </c>
      <c r="I66" s="211" t="str" cm="1">
        <f t="array" ref="I66">IF(H66="","",IGsdd(H66,1))</f>
        <v/>
      </c>
      <c r="J66" s="213"/>
      <c r="K66" s="213"/>
      <c r="L66" s="213"/>
      <c r="M66" s="213"/>
      <c r="N66" s="213"/>
      <c r="O66" s="211" t="str">
        <f>IF(K66="","",CONCATENATE(pesoH_4C(K66,L66,M66,N66)," g"))</f>
        <v/>
      </c>
      <c r="P66" s="211" t="str">
        <f t="shared" si="3"/>
        <v/>
      </c>
      <c r="Q66" s="222" t="str">
        <f t="shared" si="4"/>
        <v/>
      </c>
      <c r="R66" s="316"/>
      <c r="S66" s="317"/>
      <c r="T66" s="317"/>
      <c r="U66" s="317"/>
      <c r="V66" s="318"/>
      <c r="X66" s="205" t="e">
        <f>VLOOKUP(INT(H66/7),pesomat[],2,FALSE)</f>
        <v>#VALUE!</v>
      </c>
      <c r="Y66" s="205" cm="1">
        <f t="array" ref="Y66">pesoH_4C(K66,L66,M66,N66)</f>
        <v>23</v>
      </c>
      <c r="Z66" s="205" t="e">
        <f t="shared" si="5"/>
        <v>#VALUE!</v>
      </c>
      <c r="AA66" s="205" t="e">
        <f t="shared" si="6"/>
        <v>#VALUE!</v>
      </c>
      <c r="AC66" s="205" t="e">
        <f t="shared" si="7"/>
        <v>#VALUE!</v>
      </c>
    </row>
    <row r="67" spans="1:29" s="204" customFormat="1" ht="10.5" hidden="1" customHeight="1">
      <c r="A67" s="216">
        <v>8</v>
      </c>
      <c r="B67" s="213"/>
      <c r="C67" s="213"/>
      <c r="D67" s="211" t="str">
        <f t="shared" si="1"/>
        <v/>
      </c>
      <c r="E67" s="213"/>
      <c r="F67" s="213"/>
      <c r="G67" s="213"/>
      <c r="H67" s="211" t="str">
        <f t="shared" si="2"/>
        <v/>
      </c>
      <c r="I67" s="211" t="str" cm="1">
        <f t="array" ref="I67">IF(H67="","",IGsdd(H67,1))</f>
        <v/>
      </c>
      <c r="J67" s="213"/>
      <c r="K67" s="213"/>
      <c r="L67" s="213"/>
      <c r="M67" s="213"/>
      <c r="N67" s="213"/>
      <c r="O67" s="211" t="str">
        <f>IF(K67="","",CONCATENATE(pesoH_4C(K67,L67,M67,N67)," g"))</f>
        <v/>
      </c>
      <c r="P67" s="211" t="str">
        <f t="shared" si="3"/>
        <v/>
      </c>
      <c r="Q67" s="222" t="str">
        <f t="shared" si="4"/>
        <v/>
      </c>
      <c r="R67" s="316"/>
      <c r="S67" s="317"/>
      <c r="T67" s="317"/>
      <c r="U67" s="317"/>
      <c r="V67" s="318"/>
      <c r="X67" s="205" t="e">
        <f>VLOOKUP(INT(H67/7),pesomat[],2,FALSE)</f>
        <v>#VALUE!</v>
      </c>
      <c r="Y67" s="205" cm="1">
        <f t="array" ref="Y67">pesoH_4C(K67,L67,M67,N67)</f>
        <v>23</v>
      </c>
      <c r="Z67" s="205" t="e">
        <f t="shared" si="5"/>
        <v>#VALUE!</v>
      </c>
      <c r="AA67" s="205" t="e">
        <f t="shared" si="6"/>
        <v>#VALUE!</v>
      </c>
      <c r="AC67" s="205" t="e">
        <f t="shared" si="7"/>
        <v>#VALUE!</v>
      </c>
    </row>
    <row r="68" spans="1:29" s="204" customFormat="1" ht="10.5" hidden="1" customHeight="1">
      <c r="A68" s="216">
        <v>9</v>
      </c>
      <c r="B68" s="213"/>
      <c r="C68" s="213"/>
      <c r="D68" s="211" t="str">
        <f t="shared" si="1"/>
        <v/>
      </c>
      <c r="E68" s="213"/>
      <c r="F68" s="213"/>
      <c r="G68" s="213"/>
      <c r="H68" s="211" t="str">
        <f t="shared" si="2"/>
        <v/>
      </c>
      <c r="I68" s="211" t="str" cm="1">
        <f t="array" ref="I68">IF(H68="","",IGsdd(H68,1))</f>
        <v/>
      </c>
      <c r="J68" s="213"/>
      <c r="K68" s="213"/>
      <c r="L68" s="213"/>
      <c r="M68" s="213"/>
      <c r="N68" s="213"/>
      <c r="O68" s="211" t="str">
        <f>IF(K68="","",CONCATENATE(pesoH_4C(K68,L68,M68,N68)," g"))</f>
        <v/>
      </c>
      <c r="P68" s="211" t="str">
        <f t="shared" si="3"/>
        <v/>
      </c>
      <c r="Q68" s="222" t="str">
        <f t="shared" si="4"/>
        <v/>
      </c>
      <c r="R68" s="316"/>
      <c r="S68" s="317"/>
      <c r="T68" s="317"/>
      <c r="U68" s="317"/>
      <c r="V68" s="318"/>
      <c r="X68" s="205" t="e">
        <f>VLOOKUP(INT(H68/7),pesomat[],2,FALSE)</f>
        <v>#VALUE!</v>
      </c>
      <c r="Y68" s="205" cm="1">
        <f t="array" ref="Y68">pesoH_4C(K68,L68,M68,N68)</f>
        <v>23</v>
      </c>
      <c r="Z68" s="205" t="e">
        <f t="shared" si="5"/>
        <v>#VALUE!</v>
      </c>
      <c r="AA68" s="205" t="e">
        <f t="shared" si="6"/>
        <v>#VALUE!</v>
      </c>
      <c r="AC68" s="205" t="e">
        <f t="shared" si="7"/>
        <v>#VALUE!</v>
      </c>
    </row>
    <row r="69" spans="1:29" s="204" customFormat="1" ht="10.5" hidden="1" customHeight="1">
      <c r="A69" s="216">
        <v>10</v>
      </c>
      <c r="B69" s="213"/>
      <c r="C69" s="213"/>
      <c r="D69" s="211" t="str">
        <f t="shared" si="1"/>
        <v/>
      </c>
      <c r="E69" s="213"/>
      <c r="F69" s="213"/>
      <c r="G69" s="213"/>
      <c r="H69" s="211" t="str">
        <f t="shared" si="2"/>
        <v/>
      </c>
      <c r="I69" s="211" t="str" cm="1">
        <f t="array" ref="I69">IF(H69="","",IGsdd(H69,1))</f>
        <v/>
      </c>
      <c r="J69" s="213"/>
      <c r="K69" s="213"/>
      <c r="L69" s="213"/>
      <c r="M69" s="213"/>
      <c r="N69" s="213"/>
      <c r="O69" s="211" t="str">
        <f>IF(K69="","",CONCATENATE(pesoH_4C(K69,L69,M69,N69)," g"))</f>
        <v/>
      </c>
      <c r="P69" s="211" t="str">
        <f t="shared" si="3"/>
        <v/>
      </c>
      <c r="Q69" s="222" t="str">
        <f t="shared" si="4"/>
        <v/>
      </c>
      <c r="R69" s="316"/>
      <c r="S69" s="317"/>
      <c r="T69" s="317"/>
      <c r="U69" s="317"/>
      <c r="V69" s="318"/>
      <c r="X69" s="205" t="e">
        <f>VLOOKUP(INT(H69/7),pesomat[],2,FALSE)</f>
        <v>#VALUE!</v>
      </c>
      <c r="Y69" s="205" cm="1">
        <f t="array" ref="Y69">pesoH_4C(K69,L69,M69,N69)</f>
        <v>23</v>
      </c>
      <c r="Z69" s="205" t="e">
        <f t="shared" si="5"/>
        <v>#VALUE!</v>
      </c>
      <c r="AA69" s="205" t="e">
        <f t="shared" si="6"/>
        <v>#VALUE!</v>
      </c>
      <c r="AC69" s="205" t="e">
        <f t="shared" si="7"/>
        <v>#VALUE!</v>
      </c>
    </row>
    <row r="70" spans="1:29" s="204" customFormat="1" ht="10.5" hidden="1" customHeight="1">
      <c r="A70" s="216">
        <v>11</v>
      </c>
      <c r="B70" s="213"/>
      <c r="C70" s="213"/>
      <c r="D70" s="211" t="str">
        <f t="shared" si="1"/>
        <v/>
      </c>
      <c r="E70" s="213"/>
      <c r="F70" s="213"/>
      <c r="G70" s="213"/>
      <c r="H70" s="211" t="str">
        <f t="shared" si="2"/>
        <v/>
      </c>
      <c r="I70" s="211" t="str" cm="1">
        <f t="array" ref="I70">IF(H70="","",IGsdd(H70,1))</f>
        <v/>
      </c>
      <c r="J70" s="213"/>
      <c r="K70" s="213"/>
      <c r="L70" s="213"/>
      <c r="M70" s="213"/>
      <c r="N70" s="213"/>
      <c r="O70" s="211" t="str">
        <f>IF(K70="","",CONCATENATE(pesoH_4C(K70,L70,M70,N70)," g"))</f>
        <v/>
      </c>
      <c r="P70" s="211" t="str">
        <f t="shared" si="3"/>
        <v/>
      </c>
      <c r="Q70" s="222" t="str">
        <f t="shared" si="4"/>
        <v/>
      </c>
      <c r="R70" s="316"/>
      <c r="S70" s="317"/>
      <c r="T70" s="317"/>
      <c r="U70" s="317"/>
      <c r="V70" s="318"/>
      <c r="X70" s="205" t="e">
        <f>VLOOKUP(INT(H70/7),pesomat[],2,FALSE)</f>
        <v>#VALUE!</v>
      </c>
      <c r="Y70" s="205" cm="1">
        <f t="array" ref="Y70">pesoH_4C(K70,L70,M70,N70)</f>
        <v>23</v>
      </c>
      <c r="Z70" s="205" t="e">
        <f t="shared" si="5"/>
        <v>#VALUE!</v>
      </c>
      <c r="AA70" s="205" t="e">
        <f t="shared" si="6"/>
        <v>#VALUE!</v>
      </c>
      <c r="AC70" s="205" t="e">
        <f t="shared" si="7"/>
        <v>#VALUE!</v>
      </c>
    </row>
    <row r="71" spans="1:29" s="204" customFormat="1" ht="10.5" hidden="1" customHeight="1">
      <c r="A71" s="216">
        <v>12</v>
      </c>
      <c r="B71" s="213"/>
      <c r="C71" s="213"/>
      <c r="D71" s="211" t="str">
        <f t="shared" si="1"/>
        <v/>
      </c>
      <c r="E71" s="213"/>
      <c r="F71" s="213"/>
      <c r="G71" s="213"/>
      <c r="H71" s="211" t="str">
        <f t="shared" si="2"/>
        <v/>
      </c>
      <c r="I71" s="211" t="str" cm="1">
        <f t="array" ref="I71">IF(H71="","",IGsdd(H71,1))</f>
        <v/>
      </c>
      <c r="J71" s="213"/>
      <c r="K71" s="213"/>
      <c r="L71" s="213"/>
      <c r="M71" s="213"/>
      <c r="N71" s="213"/>
      <c r="O71" s="211" t="str">
        <f>IF(K71="","",CONCATENATE(pesoH_4C(K71,L71,M71,N71)," g"))</f>
        <v/>
      </c>
      <c r="P71" s="211" t="str">
        <f t="shared" si="3"/>
        <v/>
      </c>
      <c r="Q71" s="222" t="str">
        <f t="shared" si="4"/>
        <v/>
      </c>
      <c r="R71" s="316"/>
      <c r="S71" s="317"/>
      <c r="T71" s="317"/>
      <c r="U71" s="317"/>
      <c r="V71" s="318"/>
      <c r="X71" s="205" t="e">
        <f>VLOOKUP(INT(H71/7),pesomat[],2,FALSE)</f>
        <v>#VALUE!</v>
      </c>
      <c r="Y71" s="205" cm="1">
        <f t="array" ref="Y71">pesoH_4C(K71,L71,M71,N71)</f>
        <v>23</v>
      </c>
      <c r="Z71" s="205" t="e">
        <f t="shared" si="5"/>
        <v>#VALUE!</v>
      </c>
      <c r="AA71" s="205" t="e">
        <f t="shared" si="6"/>
        <v>#VALUE!</v>
      </c>
      <c r="AC71" s="205" t="e">
        <f t="shared" si="7"/>
        <v>#VALUE!</v>
      </c>
    </row>
    <row r="72" spans="1:29" s="204" customFormat="1" ht="10.5" hidden="1" customHeight="1">
      <c r="A72" s="216">
        <v>13</v>
      </c>
      <c r="B72" s="213"/>
      <c r="C72" s="213"/>
      <c r="D72" s="211" t="str">
        <f t="shared" si="1"/>
        <v/>
      </c>
      <c r="E72" s="213"/>
      <c r="F72" s="213"/>
      <c r="G72" s="213"/>
      <c r="H72" s="211" t="str">
        <f t="shared" si="2"/>
        <v/>
      </c>
      <c r="I72" s="211" t="str" cm="1">
        <f t="array" ref="I72">IF(H72="","",IGsdd(H72,1))</f>
        <v/>
      </c>
      <c r="J72" s="213"/>
      <c r="K72" s="213"/>
      <c r="L72" s="213"/>
      <c r="M72" s="213"/>
      <c r="N72" s="213"/>
      <c r="O72" s="211" t="str">
        <f>IF(K72="","",CONCATENATE(pesoH_4C(K72,L72,M72,N72)," g"))</f>
        <v/>
      </c>
      <c r="P72" s="211" t="str">
        <f t="shared" si="3"/>
        <v/>
      </c>
      <c r="Q72" s="222" t="str">
        <f t="shared" si="4"/>
        <v/>
      </c>
      <c r="R72" s="316"/>
      <c r="S72" s="317"/>
      <c r="T72" s="317"/>
      <c r="U72" s="317"/>
      <c r="V72" s="318"/>
      <c r="X72" s="205" t="e">
        <f>VLOOKUP(INT(H72/7),pesomat[],2,FALSE)</f>
        <v>#VALUE!</v>
      </c>
      <c r="Y72" s="205" cm="1">
        <f t="array" ref="Y72">pesoH_4C(K72,L72,M72,N72)</f>
        <v>23</v>
      </c>
      <c r="Z72" s="205" t="e">
        <f t="shared" si="5"/>
        <v>#VALUE!</v>
      </c>
      <c r="AA72" s="205" t="e">
        <f t="shared" si="6"/>
        <v>#VALUE!</v>
      </c>
      <c r="AC72" s="205" t="e">
        <f t="shared" si="7"/>
        <v>#VALUE!</v>
      </c>
    </row>
    <row r="73" spans="1:29" s="204" customFormat="1" ht="10.5" hidden="1" customHeight="1">
      <c r="A73" s="216">
        <v>14</v>
      </c>
      <c r="B73" s="213"/>
      <c r="C73" s="213"/>
      <c r="D73" s="211" t="str">
        <f t="shared" si="1"/>
        <v/>
      </c>
      <c r="E73" s="213"/>
      <c r="F73" s="213"/>
      <c r="G73" s="213"/>
      <c r="H73" s="211" t="str">
        <f t="shared" si="2"/>
        <v/>
      </c>
      <c r="I73" s="211" t="str" cm="1">
        <f t="array" ref="I73">IF(H73="","",IGsdd(H73,1))</f>
        <v/>
      </c>
      <c r="J73" s="213"/>
      <c r="K73" s="213"/>
      <c r="L73" s="213"/>
      <c r="M73" s="213"/>
      <c r="N73" s="213"/>
      <c r="O73" s="211" t="str">
        <f>IF(K73="","",CONCATENATE(pesoH_4C(K73,L73,M73,N73)," g"))</f>
        <v/>
      </c>
      <c r="P73" s="211" t="str">
        <f t="shared" si="3"/>
        <v/>
      </c>
      <c r="Q73" s="222" t="str">
        <f t="shared" si="4"/>
        <v/>
      </c>
      <c r="R73" s="316"/>
      <c r="S73" s="317"/>
      <c r="T73" s="317"/>
      <c r="U73" s="317"/>
      <c r="V73" s="318"/>
      <c r="X73" s="205" t="e">
        <f>VLOOKUP(INT(H73/7),pesomat[],2,FALSE)</f>
        <v>#VALUE!</v>
      </c>
      <c r="Y73" s="205" cm="1">
        <f t="array" ref="Y73">pesoH_4C(K73,L73,M73,N73)</f>
        <v>23</v>
      </c>
      <c r="Z73" s="205" t="e">
        <f t="shared" si="5"/>
        <v>#VALUE!</v>
      </c>
      <c r="AA73" s="205" t="e">
        <f t="shared" si="6"/>
        <v>#VALUE!</v>
      </c>
      <c r="AC73" s="205" t="e">
        <f t="shared" si="7"/>
        <v>#VALUE!</v>
      </c>
    </row>
    <row r="74" spans="1:29" s="204" customFormat="1" ht="10.5" hidden="1" customHeight="1">
      <c r="A74" s="216">
        <v>15</v>
      </c>
      <c r="B74" s="213"/>
      <c r="C74" s="213"/>
      <c r="D74" s="211" t="str">
        <f t="shared" si="1"/>
        <v/>
      </c>
      <c r="E74" s="213"/>
      <c r="F74" s="213"/>
      <c r="G74" s="213"/>
      <c r="H74" s="211" t="str">
        <f t="shared" si="2"/>
        <v/>
      </c>
      <c r="I74" s="211" t="str" cm="1">
        <f t="array" ref="I74">IF(H74="","",IGsdd(H74,1))</f>
        <v/>
      </c>
      <c r="J74" s="213"/>
      <c r="K74" s="213"/>
      <c r="L74" s="213"/>
      <c r="M74" s="213"/>
      <c r="N74" s="213"/>
      <c r="O74" s="211" t="str">
        <f>IF(K74="","",CONCATENATE(pesoH_4C(K74,L74,M74,N74)," g"))</f>
        <v/>
      </c>
      <c r="P74" s="211" t="str">
        <f t="shared" si="3"/>
        <v/>
      </c>
      <c r="Q74" s="222" t="str">
        <f t="shared" si="4"/>
        <v/>
      </c>
      <c r="R74" s="316"/>
      <c r="S74" s="317"/>
      <c r="T74" s="317"/>
      <c r="U74" s="317"/>
      <c r="V74" s="318"/>
      <c r="X74" s="205" t="e">
        <f>VLOOKUP(INT(H74/7),pesomat[],2,FALSE)</f>
        <v>#VALUE!</v>
      </c>
      <c r="Y74" s="205" cm="1">
        <f t="array" ref="Y74">pesoH_4C(K74,L74,M74,N74)</f>
        <v>23</v>
      </c>
      <c r="Z74" s="205" t="e">
        <f t="shared" si="5"/>
        <v>#VALUE!</v>
      </c>
      <c r="AA74" s="205" t="e">
        <f t="shared" si="6"/>
        <v>#VALUE!</v>
      </c>
      <c r="AC74" s="205" t="e">
        <f t="shared" si="7"/>
        <v>#VALUE!</v>
      </c>
    </row>
    <row r="75" spans="1:29" s="204" customFormat="1" ht="10.5" hidden="1" customHeight="1">
      <c r="A75" s="216">
        <v>16</v>
      </c>
      <c r="B75" s="213"/>
      <c r="C75" s="213"/>
      <c r="D75" s="211" t="str">
        <f t="shared" si="1"/>
        <v/>
      </c>
      <c r="E75" s="213"/>
      <c r="F75" s="213"/>
      <c r="G75" s="213"/>
      <c r="H75" s="211" t="str">
        <f t="shared" si="2"/>
        <v/>
      </c>
      <c r="I75" s="211" t="str" cm="1">
        <f t="array" ref="I75">IF(H75="","",IGsdd(H75,1))</f>
        <v/>
      </c>
      <c r="J75" s="213"/>
      <c r="K75" s="213"/>
      <c r="L75" s="213"/>
      <c r="M75" s="213"/>
      <c r="N75" s="213"/>
      <c r="O75" s="211" t="str">
        <f>IF(K75="","",CONCATENATE(pesoH_4C(K75,L75,M75,N75)," g"))</f>
        <v/>
      </c>
      <c r="P75" s="211" t="str">
        <f t="shared" si="3"/>
        <v/>
      </c>
      <c r="Q75" s="222" t="str">
        <f t="shared" si="4"/>
        <v/>
      </c>
      <c r="R75" s="316"/>
      <c r="S75" s="317"/>
      <c r="T75" s="317"/>
      <c r="U75" s="317"/>
      <c r="V75" s="318"/>
      <c r="X75" s="205" t="e">
        <f>VLOOKUP(INT(H75/7),pesomat[],2,FALSE)</f>
        <v>#VALUE!</v>
      </c>
      <c r="Y75" s="205" cm="1">
        <f t="array" ref="Y75">pesoH_4C(K75,L75,M75,N75)</f>
        <v>23</v>
      </c>
      <c r="Z75" s="205" t="e">
        <f t="shared" si="5"/>
        <v>#VALUE!</v>
      </c>
      <c r="AA75" s="205" t="e">
        <f t="shared" si="6"/>
        <v>#VALUE!</v>
      </c>
      <c r="AC75" s="205" t="e">
        <f t="shared" si="7"/>
        <v>#VALUE!</v>
      </c>
    </row>
    <row r="76" spans="1:29" s="204" customFormat="1" ht="10.5" hidden="1" customHeight="1">
      <c r="A76" s="216">
        <v>17</v>
      </c>
      <c r="B76" s="213"/>
      <c r="C76" s="213"/>
      <c r="D76" s="211" t="str">
        <f t="shared" si="1"/>
        <v/>
      </c>
      <c r="E76" s="213"/>
      <c r="F76" s="213"/>
      <c r="G76" s="213"/>
      <c r="H76" s="211" t="str">
        <f t="shared" si="2"/>
        <v/>
      </c>
      <c r="I76" s="211" t="str" cm="1">
        <f t="array" ref="I76">IF(H76="","",IGsdd(H76,1))</f>
        <v/>
      </c>
      <c r="J76" s="213"/>
      <c r="K76" s="213"/>
      <c r="L76" s="213"/>
      <c r="M76" s="213"/>
      <c r="N76" s="213"/>
      <c r="O76" s="211" t="str">
        <f>IF(K76="","",CONCATENATE(pesoH_4C(K76,L76,M76,N76)," g"))</f>
        <v/>
      </c>
      <c r="P76" s="211" t="str">
        <f t="shared" si="3"/>
        <v/>
      </c>
      <c r="Q76" s="222" t="str">
        <f t="shared" si="4"/>
        <v/>
      </c>
      <c r="R76" s="316"/>
      <c r="S76" s="317"/>
      <c r="T76" s="317"/>
      <c r="U76" s="317"/>
      <c r="V76" s="318"/>
      <c r="X76" s="205" t="e">
        <f>VLOOKUP(INT(H76/7),pesomat[],2,FALSE)</f>
        <v>#VALUE!</v>
      </c>
      <c r="Y76" s="205" cm="1">
        <f t="array" ref="Y76">pesoH_4C(K76,L76,M76,N76)</f>
        <v>23</v>
      </c>
      <c r="Z76" s="205" t="e">
        <f t="shared" si="5"/>
        <v>#VALUE!</v>
      </c>
      <c r="AA76" s="205" t="e">
        <f t="shared" si="6"/>
        <v>#VALUE!</v>
      </c>
      <c r="AC76" s="205" t="e">
        <f t="shared" si="7"/>
        <v>#VALUE!</v>
      </c>
    </row>
    <row r="77" spans="1:29" s="204" customFormat="1" ht="10.5" hidden="1" customHeight="1">
      <c r="A77" s="216">
        <v>18</v>
      </c>
      <c r="B77" s="213"/>
      <c r="C77" s="213"/>
      <c r="D77" s="211" t="str">
        <f t="shared" si="1"/>
        <v/>
      </c>
      <c r="E77" s="213"/>
      <c r="F77" s="213"/>
      <c r="G77" s="213"/>
      <c r="H77" s="211" t="str">
        <f t="shared" si="2"/>
        <v/>
      </c>
      <c r="I77" s="211" t="str" cm="1">
        <f t="array" ref="I77">IF(H77="","",IGsdd(H77,1))</f>
        <v/>
      </c>
      <c r="J77" s="213"/>
      <c r="K77" s="213"/>
      <c r="L77" s="213"/>
      <c r="M77" s="213"/>
      <c r="N77" s="213"/>
      <c r="O77" s="211" t="str">
        <f>IF(K77="","",CONCATENATE(pesoH_4C(K77,L77,M77,N77)," g"))</f>
        <v/>
      </c>
      <c r="P77" s="211" t="str">
        <f t="shared" si="3"/>
        <v/>
      </c>
      <c r="Q77" s="222" t="str">
        <f t="shared" si="4"/>
        <v/>
      </c>
      <c r="R77" s="316"/>
      <c r="S77" s="317"/>
      <c r="T77" s="317"/>
      <c r="U77" s="317"/>
      <c r="V77" s="318"/>
      <c r="X77" s="205" t="e">
        <f>VLOOKUP(INT(H77/7),pesomat[],2,FALSE)</f>
        <v>#VALUE!</v>
      </c>
      <c r="Y77" s="205" cm="1">
        <f t="array" ref="Y77">pesoH_4C(K77,L77,M77,N77)</f>
        <v>23</v>
      </c>
      <c r="Z77" s="205" t="e">
        <f t="shared" si="5"/>
        <v>#VALUE!</v>
      </c>
      <c r="AA77" s="205" t="e">
        <f t="shared" si="6"/>
        <v>#VALUE!</v>
      </c>
      <c r="AC77" s="205" t="e">
        <f t="shared" si="7"/>
        <v>#VALUE!</v>
      </c>
    </row>
    <row r="78" spans="1:29" s="204" customFormat="1" ht="10.5" hidden="1" customHeight="1">
      <c r="A78" s="216">
        <v>19</v>
      </c>
      <c r="B78" s="213"/>
      <c r="C78" s="213"/>
      <c r="D78" s="211" t="str">
        <f t="shared" si="1"/>
        <v/>
      </c>
      <c r="E78" s="213"/>
      <c r="F78" s="213"/>
      <c r="G78" s="213"/>
      <c r="H78" s="211" t="str">
        <f t="shared" si="2"/>
        <v/>
      </c>
      <c r="I78" s="211" t="str" cm="1">
        <f t="array" ref="I78">IF(H78="","",IGsdd(H78,1))</f>
        <v/>
      </c>
      <c r="J78" s="213"/>
      <c r="K78" s="213"/>
      <c r="L78" s="213"/>
      <c r="M78" s="213"/>
      <c r="N78" s="213"/>
      <c r="O78" s="211" t="str">
        <f>IF(K78="","",CONCATENATE(pesoH_4C(K78,L78,M78,N78)," g"))</f>
        <v/>
      </c>
      <c r="P78" s="211" t="str">
        <f t="shared" si="3"/>
        <v/>
      </c>
      <c r="Q78" s="222" t="str">
        <f t="shared" si="4"/>
        <v/>
      </c>
      <c r="R78" s="316"/>
      <c r="S78" s="317"/>
      <c r="T78" s="317"/>
      <c r="U78" s="317"/>
      <c r="V78" s="318"/>
      <c r="X78" s="205" t="e">
        <f>VLOOKUP(INT(H78/7),pesomat[],2,FALSE)</f>
        <v>#VALUE!</v>
      </c>
      <c r="Y78" s="205" cm="1">
        <f t="array" ref="Y78">pesoH_4C(K78,L78,M78,N78)</f>
        <v>23</v>
      </c>
      <c r="Z78" s="205" t="e">
        <f t="shared" si="5"/>
        <v>#VALUE!</v>
      </c>
      <c r="AA78" s="205" t="e">
        <f t="shared" si="6"/>
        <v>#VALUE!</v>
      </c>
      <c r="AC78" s="205" t="e">
        <f t="shared" si="7"/>
        <v>#VALUE!</v>
      </c>
    </row>
    <row r="79" spans="1:29" s="204" customFormat="1" ht="10.5" hidden="1" customHeight="1">
      <c r="A79" s="216">
        <v>20</v>
      </c>
      <c r="B79" s="213"/>
      <c r="C79" s="213"/>
      <c r="D79" s="211" t="str">
        <f t="shared" si="1"/>
        <v/>
      </c>
      <c r="E79" s="213"/>
      <c r="F79" s="213"/>
      <c r="G79" s="213"/>
      <c r="H79" s="211" t="str">
        <f t="shared" si="2"/>
        <v/>
      </c>
      <c r="I79" s="211" t="str" cm="1">
        <f t="array" ref="I79">IF(H79="","",IGsdd(H79,1))</f>
        <v/>
      </c>
      <c r="J79" s="213"/>
      <c r="K79" s="213"/>
      <c r="L79" s="213"/>
      <c r="M79" s="213"/>
      <c r="N79" s="213"/>
      <c r="O79" s="211" t="str">
        <f>IF(K79="","",CONCATENATE(pesoH_4C(K79,L79,M79,N79)," g"))</f>
        <v/>
      </c>
      <c r="P79" s="211" t="str">
        <f t="shared" si="3"/>
        <v/>
      </c>
      <c r="Q79" s="222" t="str">
        <f t="shared" si="4"/>
        <v/>
      </c>
      <c r="R79" s="316"/>
      <c r="S79" s="317"/>
      <c r="T79" s="317"/>
      <c r="U79" s="317"/>
      <c r="V79" s="318"/>
      <c r="X79" s="205" t="e">
        <f>VLOOKUP(INT(H79/7),pesomat[],2,FALSE)</f>
        <v>#VALUE!</v>
      </c>
      <c r="Y79" s="205" cm="1">
        <f t="array" ref="Y79">pesoH_4C(K79,L79,M79,N79)</f>
        <v>23</v>
      </c>
      <c r="Z79" s="205" t="e">
        <f t="shared" si="5"/>
        <v>#VALUE!</v>
      </c>
      <c r="AA79" s="205" t="e">
        <f t="shared" si="6"/>
        <v>#VALUE!</v>
      </c>
      <c r="AC79" s="205" t="e">
        <f t="shared" si="7"/>
        <v>#VALUE!</v>
      </c>
    </row>
    <row r="80" spans="1:29" s="204" customFormat="1" ht="10.5" customHeight="1">
      <c r="H80" s="205" t="str">
        <f t="shared" si="2"/>
        <v/>
      </c>
      <c r="R80" s="329"/>
      <c r="S80" s="329"/>
      <c r="T80" s="329"/>
      <c r="U80" s="329"/>
      <c r="V80" s="329"/>
      <c r="X80" s="205" t="e">
        <f>VLOOKUP(INT(H80/7),pesomat[],2,FALSE)</f>
        <v>#VALUE!</v>
      </c>
      <c r="Y80" s="205" cm="1">
        <f t="array" ref="Y80">pesoH_4C(K80,L80,M80,N80)</f>
        <v>23</v>
      </c>
      <c r="Z80" s="205" t="e">
        <f t="shared" si="5"/>
        <v>#VALUE!</v>
      </c>
      <c r="AA80" s="205" t="e">
        <f t="shared" si="6"/>
        <v>#VALUE!</v>
      </c>
      <c r="AC80" s="205" t="e">
        <f t="shared" si="7"/>
        <v>#VALUE!</v>
      </c>
    </row>
    <row r="81" spans="1:28" s="205" customFormat="1" ht="10.5" customHeight="1">
      <c r="A81" s="299" t="s">
        <v>91</v>
      </c>
      <c r="B81" s="300"/>
      <c r="C81" s="319">
        <v>1</v>
      </c>
      <c r="D81" s="319"/>
      <c r="E81" s="319">
        <v>2</v>
      </c>
      <c r="F81" s="319"/>
      <c r="G81" s="319">
        <v>3</v>
      </c>
      <c r="H81" s="319"/>
      <c r="I81" s="319">
        <v>4</v>
      </c>
      <c r="J81" s="319"/>
      <c r="K81" s="319">
        <v>5</v>
      </c>
      <c r="L81" s="319"/>
      <c r="M81" s="319">
        <v>6</v>
      </c>
      <c r="N81" s="319"/>
      <c r="O81" s="319">
        <v>7</v>
      </c>
      <c r="P81" s="319"/>
      <c r="R81" s="228"/>
      <c r="S81" s="228">
        <v>1</v>
      </c>
      <c r="T81" s="228">
        <v>2</v>
      </c>
      <c r="U81" s="228">
        <v>3</v>
      </c>
      <c r="V81" s="228"/>
    </row>
    <row r="82" spans="1:28" s="205" customFormat="1" ht="10.5" customHeight="1">
      <c r="A82" s="209" t="s">
        <v>8</v>
      </c>
      <c r="B82" s="209"/>
      <c r="C82" s="330">
        <v>45167</v>
      </c>
      <c r="D82" s="330"/>
      <c r="E82" s="330"/>
      <c r="F82" s="330"/>
      <c r="G82" s="330"/>
      <c r="H82" s="330"/>
      <c r="I82" s="330"/>
      <c r="J82" s="330"/>
      <c r="K82" s="330"/>
      <c r="L82" s="330"/>
      <c r="M82" s="330"/>
      <c r="N82" s="330"/>
      <c r="O82" s="295"/>
      <c r="P82" s="295"/>
      <c r="R82" s="209" t="s">
        <v>74</v>
      </c>
      <c r="S82" s="220">
        <v>45167</v>
      </c>
      <c r="T82" s="220"/>
      <c r="U82" s="220"/>
      <c r="V82" s="220"/>
      <c r="W82" s="207"/>
      <c r="X82" s="205" t="s">
        <v>316</v>
      </c>
      <c r="AA82" s="205" t="s">
        <v>320</v>
      </c>
    </row>
    <row r="83" spans="1:28" s="205" customFormat="1" ht="10.5" customHeight="1">
      <c r="A83" s="209"/>
      <c r="B83" s="219" t="s">
        <v>92</v>
      </c>
      <c r="C83" s="295">
        <v>12</v>
      </c>
      <c r="D83" s="295"/>
      <c r="E83" s="296"/>
      <c r="F83" s="296"/>
      <c r="G83" s="209"/>
      <c r="H83" s="209"/>
      <c r="I83" s="296"/>
      <c r="J83" s="296"/>
      <c r="K83" s="296"/>
      <c r="L83" s="296"/>
      <c r="M83" s="296"/>
      <c r="N83" s="296"/>
      <c r="O83" s="296"/>
      <c r="P83" s="296"/>
      <c r="R83" s="219" t="s">
        <v>117</v>
      </c>
      <c r="S83" s="209">
        <v>15.1</v>
      </c>
      <c r="T83" s="209"/>
      <c r="U83" s="209"/>
      <c r="V83" s="209"/>
      <c r="X83" s="205">
        <v>12</v>
      </c>
      <c r="Y83" s="205">
        <v>16</v>
      </c>
      <c r="AA83" s="205" t="s">
        <v>286</v>
      </c>
    </row>
    <row r="84" spans="1:28" s="205" customFormat="1" ht="10.5" customHeight="1">
      <c r="A84" s="209"/>
      <c r="B84" s="219" t="s">
        <v>93</v>
      </c>
      <c r="C84" s="295">
        <v>4900</v>
      </c>
      <c r="D84" s="295"/>
      <c r="E84" s="296"/>
      <c r="F84" s="296"/>
      <c r="G84" s="209"/>
      <c r="H84" s="209"/>
      <c r="I84" s="296"/>
      <c r="J84" s="296"/>
      <c r="K84" s="296"/>
      <c r="L84" s="296"/>
      <c r="M84" s="296"/>
      <c r="N84" s="296"/>
      <c r="O84" s="296"/>
      <c r="P84" s="296"/>
      <c r="R84" s="219" t="s">
        <v>118</v>
      </c>
      <c r="S84" s="209">
        <v>0.03</v>
      </c>
      <c r="T84" s="209"/>
      <c r="U84" s="209"/>
      <c r="V84" s="209"/>
      <c r="X84" s="205">
        <v>3500</v>
      </c>
      <c r="Y84" s="205">
        <v>10000</v>
      </c>
      <c r="AA84" s="205" t="s">
        <v>288</v>
      </c>
    </row>
    <row r="85" spans="1:28" s="205" customFormat="1" ht="10.5" customHeight="1">
      <c r="A85" s="209"/>
      <c r="B85" s="219" t="s">
        <v>95</v>
      </c>
      <c r="C85" s="295">
        <v>261</v>
      </c>
      <c r="D85" s="295"/>
      <c r="E85" s="296"/>
      <c r="F85" s="296"/>
      <c r="G85" s="209"/>
      <c r="H85" s="209"/>
      <c r="I85" s="296"/>
      <c r="J85" s="296"/>
      <c r="K85" s="296"/>
      <c r="L85" s="296"/>
      <c r="M85" s="296"/>
      <c r="N85" s="296"/>
      <c r="O85" s="296"/>
      <c r="P85" s="296"/>
      <c r="R85" s="219" t="s">
        <v>121</v>
      </c>
      <c r="S85" s="209">
        <v>0.7</v>
      </c>
      <c r="T85" s="209"/>
      <c r="U85" s="209"/>
      <c r="V85" s="209"/>
      <c r="X85" s="205">
        <v>150</v>
      </c>
      <c r="Y85" s="205">
        <v>450</v>
      </c>
      <c r="AA85" s="205" t="s">
        <v>287</v>
      </c>
    </row>
    <row r="86" spans="1:28" s="205" customFormat="1" ht="10.5" customHeight="1">
      <c r="A86" s="209"/>
      <c r="B86" s="219" t="s">
        <v>94</v>
      </c>
      <c r="C86" s="295">
        <v>131.69999999999999</v>
      </c>
      <c r="D86" s="295"/>
      <c r="E86" s="296"/>
      <c r="F86" s="296"/>
      <c r="G86" s="209"/>
      <c r="H86" s="209"/>
      <c r="I86" s="296"/>
      <c r="J86" s="296"/>
      <c r="K86" s="296"/>
      <c r="L86" s="296"/>
      <c r="M86" s="296"/>
      <c r="N86" s="296"/>
      <c r="O86" s="296"/>
      <c r="P86" s="296"/>
      <c r="R86" s="219" t="s">
        <v>122</v>
      </c>
      <c r="S86" s="209">
        <v>0.1</v>
      </c>
      <c r="T86" s="209"/>
      <c r="U86" s="209"/>
      <c r="V86" s="209"/>
      <c r="X86" s="205">
        <v>4</v>
      </c>
      <c r="Y86" s="205">
        <v>104</v>
      </c>
      <c r="AA86" s="205" t="s">
        <v>287</v>
      </c>
    </row>
    <row r="87" spans="1:28" s="205" customFormat="1" ht="10.5" customHeight="1">
      <c r="A87" s="219"/>
      <c r="B87" s="209" t="s">
        <v>96</v>
      </c>
      <c r="C87" s="295">
        <v>83</v>
      </c>
      <c r="D87" s="295"/>
      <c r="E87" s="296"/>
      <c r="F87" s="296"/>
      <c r="G87" s="209"/>
      <c r="H87" s="209"/>
      <c r="I87" s="296"/>
      <c r="J87" s="296"/>
      <c r="K87" s="296"/>
      <c r="L87" s="296"/>
      <c r="M87" s="296"/>
      <c r="N87" s="296"/>
      <c r="O87" s="296"/>
      <c r="P87" s="296"/>
      <c r="R87" s="219" t="s">
        <v>102</v>
      </c>
      <c r="S87" s="209">
        <v>0.34</v>
      </c>
      <c r="T87" s="209"/>
      <c r="U87" s="209"/>
      <c r="V87" s="209"/>
      <c r="X87" s="205" t="s">
        <v>317</v>
      </c>
      <c r="Y87" s="205">
        <v>95</v>
      </c>
      <c r="AA87" s="205" t="s">
        <v>285</v>
      </c>
    </row>
    <row r="88" spans="1:28" s="205" customFormat="1" ht="10.5" customHeight="1">
      <c r="A88" s="219"/>
      <c r="B88" s="209" t="s">
        <v>277</v>
      </c>
      <c r="C88" s="295">
        <v>5.2</v>
      </c>
      <c r="D88" s="295"/>
      <c r="E88" s="296"/>
      <c r="F88" s="296"/>
      <c r="G88" s="209"/>
      <c r="H88" s="209"/>
      <c r="I88" s="296"/>
      <c r="J88" s="296"/>
      <c r="K88" s="296"/>
      <c r="L88" s="296"/>
      <c r="M88" s="296"/>
      <c r="N88" s="296"/>
      <c r="O88" s="296"/>
      <c r="P88" s="296"/>
      <c r="R88" s="219" t="s">
        <v>123</v>
      </c>
      <c r="S88" s="209">
        <v>24.81</v>
      </c>
      <c r="T88" s="209"/>
      <c r="U88" s="209"/>
      <c r="V88" s="209"/>
      <c r="X88" s="205" t="s">
        <v>318</v>
      </c>
      <c r="Y88" s="205">
        <v>5.7</v>
      </c>
      <c r="AA88" s="205" t="s">
        <v>286</v>
      </c>
    </row>
    <row r="89" spans="1:28" s="205" customFormat="1" ht="10.5" customHeight="1">
      <c r="A89" s="209"/>
      <c r="B89" s="219" t="s">
        <v>97</v>
      </c>
      <c r="C89" s="295" t="s">
        <v>283</v>
      </c>
      <c r="D89" s="295"/>
      <c r="E89" s="296"/>
      <c r="F89" s="296"/>
      <c r="G89" s="209"/>
      <c r="H89" s="209"/>
      <c r="I89" s="296"/>
      <c r="J89" s="296"/>
      <c r="K89" s="296"/>
      <c r="L89" s="296"/>
      <c r="M89" s="296"/>
      <c r="N89" s="296"/>
      <c r="O89" s="296"/>
      <c r="P89" s="296"/>
      <c r="R89" s="219" t="s">
        <v>103</v>
      </c>
      <c r="S89" s="209">
        <v>2.0699999999999998</v>
      </c>
      <c r="T89" s="209"/>
      <c r="U89" s="209"/>
      <c r="V89" s="209"/>
      <c r="X89" s="205" t="s">
        <v>283</v>
      </c>
      <c r="AA89" s="205" t="s">
        <v>293</v>
      </c>
    </row>
    <row r="90" spans="1:28" s="205" customFormat="1" ht="10.5" customHeight="1">
      <c r="A90" s="209"/>
      <c r="B90" s="219" t="s">
        <v>98</v>
      </c>
      <c r="C90" s="295" t="s">
        <v>283</v>
      </c>
      <c r="D90" s="295"/>
      <c r="E90" s="296"/>
      <c r="F90" s="296"/>
      <c r="G90" s="209"/>
      <c r="H90" s="209"/>
      <c r="I90" s="296"/>
      <c r="J90" s="296"/>
      <c r="K90" s="296"/>
      <c r="L90" s="296"/>
      <c r="M90" s="296"/>
      <c r="N90" s="296"/>
      <c r="O90" s="296"/>
      <c r="P90" s="296"/>
      <c r="R90" s="219" t="s">
        <v>125</v>
      </c>
      <c r="S90" s="209"/>
      <c r="T90" s="209"/>
      <c r="U90" s="209"/>
      <c r="V90" s="209"/>
      <c r="X90" s="205" t="s">
        <v>283</v>
      </c>
    </row>
    <row r="91" spans="1:28" s="205" customFormat="1" ht="10.5" customHeight="1">
      <c r="A91" s="209"/>
      <c r="B91" s="219" t="s">
        <v>99</v>
      </c>
      <c r="C91" s="295" t="s">
        <v>291</v>
      </c>
      <c r="D91" s="295"/>
      <c r="E91" s="296"/>
      <c r="F91" s="296"/>
      <c r="G91" s="209"/>
      <c r="H91" s="209"/>
      <c r="I91" s="296"/>
      <c r="J91" s="296"/>
      <c r="K91" s="296"/>
      <c r="L91" s="296"/>
      <c r="M91" s="296"/>
      <c r="N91" s="296"/>
      <c r="O91" s="296"/>
      <c r="P91" s="296"/>
      <c r="R91" s="209" t="s">
        <v>304</v>
      </c>
      <c r="S91" s="209"/>
      <c r="T91" s="209"/>
      <c r="U91" s="209"/>
      <c r="V91" s="209"/>
      <c r="X91" s="205" t="s">
        <v>319</v>
      </c>
    </row>
    <row r="92" spans="1:28" s="205" customFormat="1" ht="10.5" customHeight="1">
      <c r="A92" s="209"/>
      <c r="B92" s="209" t="s">
        <v>108</v>
      </c>
      <c r="C92" s="295">
        <v>0.71</v>
      </c>
      <c r="D92" s="295"/>
      <c r="E92" s="296"/>
      <c r="F92" s="296"/>
      <c r="G92" s="209"/>
      <c r="H92" s="209"/>
      <c r="I92" s="296"/>
      <c r="J92" s="296"/>
      <c r="K92" s="296"/>
      <c r="L92" s="296"/>
      <c r="M92" s="296"/>
      <c r="N92" s="296"/>
      <c r="O92" s="296"/>
      <c r="P92" s="296"/>
      <c r="R92" s="219" t="s">
        <v>119</v>
      </c>
      <c r="S92" s="209">
        <v>196</v>
      </c>
      <c r="T92" s="209"/>
      <c r="U92" s="209"/>
      <c r="V92" s="209"/>
      <c r="X92" s="205" t="s">
        <v>285</v>
      </c>
      <c r="Y92" s="205">
        <v>1</v>
      </c>
      <c r="AA92" s="205" t="s">
        <v>284</v>
      </c>
    </row>
    <row r="93" spans="1:28" s="205" customFormat="1" ht="10.5" customHeight="1">
      <c r="A93" s="209"/>
      <c r="B93" s="209" t="s">
        <v>110</v>
      </c>
      <c r="C93" s="295"/>
      <c r="D93" s="295"/>
      <c r="E93" s="296"/>
      <c r="F93" s="296"/>
      <c r="G93" s="209"/>
      <c r="H93" s="209"/>
      <c r="I93" s="296"/>
      <c r="J93" s="296"/>
      <c r="K93" s="296"/>
      <c r="L93" s="296"/>
      <c r="M93" s="296"/>
      <c r="N93" s="296"/>
      <c r="O93" s="296"/>
      <c r="P93" s="296"/>
      <c r="R93" s="219" t="s">
        <v>120</v>
      </c>
      <c r="S93" s="209">
        <v>0.85</v>
      </c>
      <c r="T93" s="209"/>
      <c r="U93" s="209"/>
      <c r="V93" s="209"/>
      <c r="AA93" s="205" t="s">
        <v>285</v>
      </c>
    </row>
    <row r="94" spans="1:28" s="205" customFormat="1" ht="10.5" customHeight="1">
      <c r="A94" s="209"/>
      <c r="B94" s="209" t="s">
        <v>109</v>
      </c>
      <c r="C94" s="295"/>
      <c r="D94" s="295"/>
      <c r="E94" s="296"/>
      <c r="F94" s="296"/>
      <c r="G94" s="209"/>
      <c r="H94" s="209"/>
      <c r="I94" s="296"/>
      <c r="J94" s="296"/>
      <c r="K94" s="296"/>
      <c r="L94" s="296"/>
      <c r="M94" s="296"/>
      <c r="N94" s="296"/>
      <c r="O94" s="296"/>
      <c r="P94" s="296"/>
      <c r="R94" s="209" t="s">
        <v>281</v>
      </c>
      <c r="S94" s="209">
        <v>0.36</v>
      </c>
      <c r="T94" s="209"/>
      <c r="U94" s="209"/>
      <c r="V94" s="209"/>
      <c r="AA94" s="205" t="s">
        <v>282</v>
      </c>
    </row>
    <row r="95" spans="1:28" s="205" customFormat="1" ht="10.5" customHeight="1">
      <c r="A95" s="209"/>
      <c r="B95" s="219" t="s">
        <v>100</v>
      </c>
      <c r="C95" s="295">
        <v>0.3</v>
      </c>
      <c r="D95" s="295"/>
      <c r="E95" s="296"/>
      <c r="F95" s="296"/>
      <c r="G95" s="209"/>
      <c r="H95" s="209"/>
      <c r="I95" s="296"/>
      <c r="J95" s="296"/>
      <c r="K95" s="296"/>
      <c r="L95" s="296"/>
      <c r="M95" s="296"/>
      <c r="N95" s="296"/>
      <c r="O95" s="296"/>
      <c r="P95" s="296"/>
      <c r="R95" s="219" t="s">
        <v>112</v>
      </c>
      <c r="S95" s="209"/>
      <c r="T95" s="209"/>
      <c r="U95" s="209"/>
      <c r="V95" s="209"/>
      <c r="X95" s="205" t="s">
        <v>289</v>
      </c>
      <c r="Y95" s="205">
        <v>3</v>
      </c>
    </row>
    <row r="96" spans="1:28" s="205" customFormat="1" ht="10.5" customHeight="1">
      <c r="A96" s="209"/>
      <c r="B96" s="219" t="s">
        <v>101</v>
      </c>
      <c r="C96" s="295">
        <v>0.19</v>
      </c>
      <c r="D96" s="295"/>
      <c r="E96" s="296"/>
      <c r="F96" s="296"/>
      <c r="G96" s="209"/>
      <c r="H96" s="209"/>
      <c r="I96" s="296"/>
      <c r="J96" s="296"/>
      <c r="K96" s="296"/>
      <c r="L96" s="296"/>
      <c r="M96" s="296"/>
      <c r="N96" s="296"/>
      <c r="O96" s="296"/>
      <c r="P96" s="296"/>
      <c r="R96" s="219" t="s">
        <v>106</v>
      </c>
      <c r="S96" s="209"/>
      <c r="T96" s="209"/>
      <c r="U96" s="209"/>
      <c r="V96" s="209"/>
      <c r="X96" s="205" t="s">
        <v>290</v>
      </c>
      <c r="Y96" s="205">
        <v>0.6</v>
      </c>
      <c r="AB96" s="205" t="s">
        <v>328</v>
      </c>
    </row>
    <row r="97" spans="1:29" s="205" customFormat="1" ht="10.5" customHeight="1">
      <c r="A97" s="209"/>
      <c r="B97" s="219" t="s">
        <v>104</v>
      </c>
      <c r="C97" s="295">
        <v>741</v>
      </c>
      <c r="D97" s="295"/>
      <c r="E97" s="296"/>
      <c r="F97" s="296"/>
      <c r="G97" s="209"/>
      <c r="H97" s="209"/>
      <c r="I97" s="296"/>
      <c r="J97" s="296"/>
      <c r="K97" s="296"/>
      <c r="L97" s="296"/>
      <c r="M97" s="296"/>
      <c r="N97" s="296"/>
      <c r="O97" s="296"/>
      <c r="P97" s="296"/>
      <c r="R97" s="219" t="s">
        <v>107</v>
      </c>
      <c r="S97" s="209"/>
      <c r="T97" s="209"/>
      <c r="U97" s="209"/>
      <c r="V97" s="209"/>
      <c r="X97" s="205" t="s">
        <v>294</v>
      </c>
      <c r="Y97" s="205">
        <v>300</v>
      </c>
      <c r="AB97" s="209">
        <v>1064</v>
      </c>
      <c r="AC97" s="221">
        <v>45161</v>
      </c>
    </row>
    <row r="98" spans="1:29" s="205" customFormat="1" ht="10.5" customHeight="1">
      <c r="A98" s="209"/>
      <c r="B98" s="219" t="s">
        <v>105</v>
      </c>
      <c r="C98" s="295">
        <v>36</v>
      </c>
      <c r="D98" s="295"/>
      <c r="E98" s="296"/>
      <c r="F98" s="296"/>
      <c r="G98" s="209"/>
      <c r="H98" s="209"/>
      <c r="I98" s="296"/>
      <c r="J98" s="296"/>
      <c r="K98" s="296"/>
      <c r="L98" s="296"/>
      <c r="M98" s="296"/>
      <c r="N98" s="296"/>
      <c r="O98" s="296"/>
      <c r="P98" s="296"/>
      <c r="R98" s="219" t="s">
        <v>124</v>
      </c>
      <c r="S98" s="209"/>
      <c r="T98" s="209"/>
      <c r="U98" s="209"/>
      <c r="V98" s="209"/>
      <c r="X98" s="205" t="s">
        <v>295</v>
      </c>
      <c r="Y98" s="205">
        <v>30</v>
      </c>
      <c r="AB98" s="209">
        <v>161</v>
      </c>
      <c r="AC98" s="221">
        <v>45157</v>
      </c>
    </row>
    <row r="99" spans="1:29" s="205" customFormat="1" ht="10.5" customHeight="1">
      <c r="A99" s="209"/>
      <c r="B99" s="219" t="s">
        <v>126</v>
      </c>
      <c r="C99" s="295"/>
      <c r="D99" s="295"/>
      <c r="E99" s="296"/>
      <c r="F99" s="296"/>
      <c r="G99" s="209"/>
      <c r="H99" s="209"/>
      <c r="I99" s="296"/>
      <c r="J99" s="296"/>
      <c r="K99" s="296"/>
      <c r="L99" s="296"/>
      <c r="M99" s="296"/>
      <c r="N99" s="296"/>
      <c r="O99" s="296"/>
      <c r="P99" s="296"/>
      <c r="R99" s="209" t="s">
        <v>292</v>
      </c>
      <c r="S99" s="209">
        <v>17362</v>
      </c>
      <c r="T99" s="209"/>
      <c r="U99" s="209"/>
      <c r="V99" s="209"/>
    </row>
    <row r="100" spans="1:29" s="205" customFormat="1" ht="10.5" hidden="1" customHeight="1">
      <c r="A100" s="209"/>
      <c r="B100" s="219" t="s">
        <v>113</v>
      </c>
      <c r="C100" s="296"/>
      <c r="D100" s="296"/>
      <c r="E100" s="296"/>
      <c r="F100" s="296"/>
      <c r="G100" s="209"/>
      <c r="H100" s="209"/>
      <c r="I100" s="296"/>
      <c r="J100" s="296"/>
      <c r="K100" s="296"/>
      <c r="L100" s="296"/>
      <c r="M100" s="296"/>
      <c r="N100" s="296"/>
      <c r="O100" s="296"/>
      <c r="P100" s="296"/>
      <c r="R100" s="209"/>
      <c r="S100" s="209"/>
      <c r="T100" s="221"/>
      <c r="U100" s="209"/>
      <c r="V100" s="209"/>
    </row>
    <row r="101" spans="1:29" s="205" customFormat="1" ht="10.5" hidden="1" customHeight="1">
      <c r="A101" s="209"/>
      <c r="B101" s="219" t="s">
        <v>114</v>
      </c>
      <c r="C101" s="296"/>
      <c r="D101" s="296"/>
      <c r="E101" s="296"/>
      <c r="F101" s="296"/>
      <c r="G101" s="209"/>
      <c r="H101" s="209"/>
      <c r="I101" s="296"/>
      <c r="J101" s="296"/>
      <c r="K101" s="296"/>
      <c r="L101" s="296"/>
      <c r="M101" s="296"/>
      <c r="N101" s="296"/>
      <c r="O101" s="296"/>
      <c r="P101" s="296"/>
      <c r="R101" s="209"/>
      <c r="S101" s="209"/>
      <c r="T101" s="209"/>
      <c r="U101" s="209"/>
      <c r="V101" s="209"/>
    </row>
    <row r="102" spans="1:29" s="205" customFormat="1" ht="10.5" hidden="1" customHeight="1">
      <c r="A102" s="209"/>
      <c r="B102" s="219" t="s">
        <v>115</v>
      </c>
      <c r="C102" s="296"/>
      <c r="D102" s="296"/>
      <c r="E102" s="296"/>
      <c r="F102" s="296"/>
      <c r="G102" s="209"/>
      <c r="H102" s="209"/>
      <c r="I102" s="296"/>
      <c r="J102" s="296"/>
      <c r="K102" s="296"/>
      <c r="L102" s="296"/>
      <c r="M102" s="296"/>
      <c r="N102" s="296"/>
      <c r="O102" s="296"/>
      <c r="P102" s="296"/>
      <c r="R102" s="209"/>
      <c r="S102" s="209"/>
      <c r="T102" s="209"/>
      <c r="U102" s="209"/>
      <c r="V102" s="209"/>
    </row>
    <row r="103" spans="1:29" s="205" customFormat="1" ht="10.5" hidden="1" customHeight="1">
      <c r="A103" s="209"/>
      <c r="B103" s="219" t="s">
        <v>111</v>
      </c>
      <c r="C103" s="296"/>
      <c r="D103" s="296"/>
      <c r="E103" s="296"/>
      <c r="F103" s="296"/>
      <c r="G103" s="209"/>
      <c r="H103" s="209"/>
      <c r="I103" s="296"/>
      <c r="J103" s="296"/>
      <c r="K103" s="296"/>
      <c r="L103" s="296"/>
      <c r="M103" s="296"/>
      <c r="N103" s="296"/>
      <c r="O103" s="296"/>
      <c r="P103" s="296"/>
      <c r="R103" s="209"/>
      <c r="S103" s="209"/>
      <c r="T103" s="221"/>
      <c r="U103" s="209"/>
      <c r="V103" s="209"/>
    </row>
    <row r="104" spans="1:29" s="205" customFormat="1" ht="10.5" hidden="1" customHeight="1">
      <c r="A104" s="209"/>
      <c r="B104" s="209" t="s">
        <v>305</v>
      </c>
      <c r="C104" s="296"/>
      <c r="D104" s="296"/>
      <c r="E104" s="296"/>
      <c r="F104" s="296"/>
      <c r="G104" s="209"/>
      <c r="H104" s="209"/>
      <c r="I104" s="296"/>
      <c r="J104" s="296"/>
      <c r="K104" s="296"/>
      <c r="L104" s="296"/>
      <c r="M104" s="296"/>
      <c r="N104" s="296"/>
      <c r="O104" s="296"/>
      <c r="P104" s="296"/>
      <c r="R104" s="209"/>
      <c r="S104" s="209"/>
      <c r="T104" s="221"/>
      <c r="U104" s="209"/>
      <c r="V104" s="209"/>
    </row>
    <row r="105" spans="1:29" s="205" customFormat="1" ht="10.5" hidden="1" customHeight="1">
      <c r="A105" s="209"/>
      <c r="B105" s="219" t="s">
        <v>127</v>
      </c>
      <c r="C105" s="296"/>
      <c r="D105" s="296"/>
      <c r="E105" s="296"/>
      <c r="F105" s="296"/>
      <c r="G105" s="209"/>
      <c r="H105" s="209"/>
      <c r="I105" s="296"/>
      <c r="J105" s="296"/>
      <c r="K105" s="296"/>
      <c r="L105" s="296"/>
      <c r="M105" s="296"/>
      <c r="N105" s="296"/>
      <c r="O105" s="296"/>
      <c r="P105" s="296"/>
      <c r="R105" s="209"/>
      <c r="S105" s="209"/>
      <c r="T105" s="221"/>
      <c r="U105" s="209"/>
      <c r="V105" s="209"/>
    </row>
    <row r="106" spans="1:29" s="205" customFormat="1" ht="10.5" hidden="1" customHeight="1">
      <c r="A106" s="209"/>
      <c r="B106" s="219" t="s">
        <v>128</v>
      </c>
      <c r="C106" s="296"/>
      <c r="D106" s="296"/>
      <c r="E106" s="296"/>
      <c r="F106" s="296"/>
      <c r="G106" s="209"/>
      <c r="H106" s="209"/>
      <c r="I106" s="296"/>
      <c r="J106" s="296"/>
      <c r="K106" s="296"/>
      <c r="L106" s="296"/>
      <c r="M106" s="296"/>
      <c r="N106" s="296"/>
      <c r="O106" s="296"/>
      <c r="P106" s="296"/>
      <c r="R106" s="209"/>
      <c r="S106" s="209"/>
      <c r="T106" s="221"/>
      <c r="U106" s="209"/>
      <c r="V106" s="209"/>
    </row>
    <row r="107" spans="1:29" s="205" customFormat="1" ht="10.5" hidden="1" customHeight="1">
      <c r="A107" s="209"/>
      <c r="B107" s="219" t="s">
        <v>116</v>
      </c>
      <c r="C107" s="296"/>
      <c r="D107" s="296"/>
      <c r="E107" s="296"/>
      <c r="F107" s="296"/>
      <c r="G107" s="209"/>
      <c r="H107" s="209"/>
      <c r="I107" s="296"/>
      <c r="J107" s="296"/>
      <c r="K107" s="296"/>
      <c r="L107" s="296"/>
      <c r="M107" s="296"/>
      <c r="N107" s="296"/>
      <c r="O107" s="296"/>
      <c r="P107" s="296"/>
      <c r="R107" s="209"/>
      <c r="S107" s="209"/>
      <c r="T107" s="221"/>
      <c r="U107" s="209"/>
      <c r="V107" s="209"/>
    </row>
    <row r="108" spans="1:29" s="205" customFormat="1" ht="10.5" hidden="1" customHeight="1">
      <c r="A108" s="209"/>
      <c r="B108" s="219"/>
      <c r="C108" s="296"/>
      <c r="D108" s="296"/>
      <c r="E108" s="296"/>
      <c r="F108" s="296"/>
      <c r="G108" s="209"/>
      <c r="H108" s="209"/>
      <c r="I108" s="296"/>
      <c r="J108" s="296"/>
      <c r="K108" s="296"/>
      <c r="L108" s="296"/>
      <c r="M108" s="296"/>
      <c r="N108" s="296"/>
      <c r="O108" s="296"/>
      <c r="P108" s="296"/>
      <c r="R108" s="209"/>
      <c r="S108" s="209"/>
      <c r="T108" s="221"/>
      <c r="U108" s="209"/>
      <c r="V108" s="209"/>
    </row>
    <row r="109" spans="1:29" s="205" customFormat="1" ht="10.5" hidden="1" customHeight="1">
      <c r="A109" s="209"/>
      <c r="B109" s="219"/>
      <c r="C109" s="296"/>
      <c r="D109" s="296"/>
      <c r="E109" s="296"/>
      <c r="F109" s="296"/>
      <c r="G109" s="209"/>
      <c r="H109" s="209"/>
      <c r="I109" s="296"/>
      <c r="J109" s="296"/>
      <c r="K109" s="296"/>
      <c r="L109" s="296"/>
      <c r="M109" s="296"/>
      <c r="N109" s="296"/>
      <c r="O109" s="296"/>
      <c r="P109" s="296"/>
      <c r="R109" s="209"/>
      <c r="S109" s="209"/>
      <c r="T109" s="221"/>
      <c r="U109" s="209"/>
      <c r="V109" s="209"/>
    </row>
    <row r="110" spans="1:29" s="205" customFormat="1" ht="10.5" hidden="1" customHeight="1">
      <c r="A110" s="209"/>
      <c r="B110" s="219"/>
      <c r="C110" s="296"/>
      <c r="D110" s="296"/>
      <c r="E110" s="296"/>
      <c r="F110" s="296"/>
      <c r="G110" s="209"/>
      <c r="H110" s="209"/>
      <c r="I110" s="296"/>
      <c r="J110" s="296"/>
      <c r="K110" s="296"/>
      <c r="L110" s="296"/>
      <c r="M110" s="296"/>
      <c r="N110" s="296"/>
      <c r="O110" s="296"/>
      <c r="P110" s="296"/>
      <c r="R110" s="209"/>
      <c r="S110" s="209"/>
      <c r="T110" s="221"/>
      <c r="U110" s="209"/>
      <c r="V110" s="209"/>
    </row>
    <row r="111" spans="1:29" s="205" customFormat="1" ht="10.5" hidden="1" customHeight="1">
      <c r="C111" s="326"/>
      <c r="D111" s="326"/>
      <c r="E111" s="326"/>
      <c r="F111" s="326"/>
      <c r="I111" s="326"/>
      <c r="J111" s="326"/>
      <c r="K111" s="326"/>
      <c r="L111" s="326"/>
      <c r="M111" s="326"/>
      <c r="N111" s="326"/>
      <c r="O111" s="326"/>
      <c r="P111" s="326"/>
    </row>
    <row r="112" spans="1:29" s="205" customFormat="1" ht="10.5" hidden="1" customHeight="1">
      <c r="B112" s="327" t="s">
        <v>134</v>
      </c>
      <c r="C112" s="327"/>
      <c r="D112" s="327"/>
      <c r="E112" s="327"/>
      <c r="F112" s="327"/>
      <c r="G112" s="327"/>
      <c r="H112" s="327"/>
      <c r="I112" s="327"/>
      <c r="J112" s="327"/>
      <c r="K112" s="296"/>
      <c r="L112" s="296"/>
      <c r="M112" s="296"/>
      <c r="N112" s="296"/>
      <c r="O112" s="296"/>
      <c r="P112" s="296"/>
    </row>
    <row r="113" spans="1:16" s="205" customFormat="1" ht="10.5" hidden="1" customHeight="1">
      <c r="B113" s="327" t="s">
        <v>135</v>
      </c>
      <c r="C113" s="327"/>
      <c r="D113" s="327"/>
      <c r="E113" s="327"/>
      <c r="F113" s="327"/>
      <c r="G113" s="327"/>
      <c r="H113" s="327"/>
      <c r="I113" s="327"/>
      <c r="J113" s="327"/>
      <c r="K113" s="296"/>
      <c r="L113" s="296"/>
      <c r="M113" s="296"/>
      <c r="N113" s="296"/>
      <c r="O113" s="296"/>
      <c r="P113" s="296"/>
    </row>
    <row r="114" spans="1:16" s="205" customFormat="1" ht="10.5" hidden="1" customHeight="1">
      <c r="B114" s="327" t="s">
        <v>136</v>
      </c>
      <c r="C114" s="327"/>
      <c r="D114" s="327"/>
      <c r="E114" s="327"/>
      <c r="F114" s="327"/>
      <c r="G114" s="327"/>
      <c r="H114" s="327"/>
      <c r="I114" s="327"/>
      <c r="J114" s="327"/>
      <c r="K114" s="296"/>
      <c r="L114" s="296"/>
      <c r="M114" s="296"/>
      <c r="N114" s="296"/>
      <c r="O114" s="296"/>
      <c r="P114" s="296"/>
    </row>
    <row r="115" spans="1:16" s="205" customFormat="1" ht="10.5" hidden="1" customHeight="1">
      <c r="B115" s="327" t="s">
        <v>137</v>
      </c>
      <c r="C115" s="327"/>
      <c r="D115" s="327"/>
      <c r="E115" s="327"/>
      <c r="F115" s="327"/>
      <c r="G115" s="327"/>
      <c r="H115" s="327"/>
      <c r="I115" s="327"/>
      <c r="J115" s="327"/>
      <c r="K115" s="296"/>
      <c r="L115" s="296"/>
      <c r="M115" s="296"/>
      <c r="N115" s="296"/>
      <c r="O115" s="296"/>
      <c r="P115" s="296"/>
    </row>
    <row r="116" spans="1:16" s="205" customFormat="1" ht="10.5" hidden="1" customHeight="1">
      <c r="B116" s="327" t="s">
        <v>138</v>
      </c>
      <c r="C116" s="327"/>
      <c r="D116" s="327"/>
      <c r="E116" s="327"/>
      <c r="F116" s="327"/>
      <c r="G116" s="327"/>
      <c r="H116" s="327"/>
      <c r="I116" s="327"/>
      <c r="J116" s="327"/>
      <c r="K116" s="296"/>
      <c r="L116" s="296"/>
      <c r="M116" s="296"/>
      <c r="N116" s="296"/>
      <c r="O116" s="296"/>
      <c r="P116" s="296"/>
    </row>
    <row r="117" spans="1:16" s="205" customFormat="1" ht="10.5" hidden="1" customHeight="1">
      <c r="A117" s="206"/>
      <c r="B117" s="327" t="s">
        <v>139</v>
      </c>
      <c r="C117" s="327"/>
      <c r="D117" s="327"/>
      <c r="E117" s="327"/>
      <c r="F117" s="327"/>
      <c r="G117" s="327"/>
      <c r="H117" s="327"/>
      <c r="I117" s="327"/>
      <c r="J117" s="327"/>
      <c r="K117" s="296"/>
      <c r="L117" s="296"/>
      <c r="M117" s="296"/>
      <c r="N117" s="296"/>
      <c r="O117" s="296"/>
      <c r="P117" s="296"/>
    </row>
    <row r="118" spans="1:16" s="205" customFormat="1" ht="10.5" hidden="1" customHeight="1">
      <c r="B118" s="327" t="s">
        <v>140</v>
      </c>
      <c r="C118" s="327"/>
      <c r="D118" s="327"/>
      <c r="E118" s="327"/>
      <c r="F118" s="327"/>
      <c r="G118" s="327"/>
      <c r="H118" s="327"/>
      <c r="I118" s="327"/>
      <c r="J118" s="327"/>
      <c r="K118" s="296"/>
      <c r="L118" s="296"/>
      <c r="M118" s="296"/>
      <c r="N118" s="296"/>
      <c r="O118" s="296"/>
      <c r="P118" s="296"/>
    </row>
    <row r="119" spans="1:16" s="205" customFormat="1" ht="10.5" hidden="1" customHeight="1">
      <c r="B119" s="327" t="s">
        <v>141</v>
      </c>
      <c r="C119" s="327"/>
      <c r="D119" s="327"/>
      <c r="E119" s="327"/>
      <c r="F119" s="327"/>
      <c r="G119" s="327"/>
      <c r="H119" s="327"/>
      <c r="I119" s="327"/>
      <c r="J119" s="327"/>
      <c r="K119" s="296"/>
      <c r="L119" s="296"/>
      <c r="M119" s="296"/>
      <c r="N119" s="296"/>
      <c r="O119" s="296"/>
      <c r="P119" s="296"/>
    </row>
    <row r="120" spans="1:16" s="205" customFormat="1" ht="10.5" hidden="1" customHeight="1">
      <c r="B120" s="327" t="s">
        <v>142</v>
      </c>
      <c r="C120" s="327"/>
      <c r="D120" s="327"/>
      <c r="E120" s="327"/>
      <c r="F120" s="327"/>
      <c r="G120" s="327"/>
      <c r="H120" s="327"/>
      <c r="I120" s="327"/>
      <c r="J120" s="327"/>
      <c r="K120" s="296"/>
      <c r="L120" s="296"/>
      <c r="M120" s="296"/>
      <c r="N120" s="296"/>
      <c r="O120" s="296"/>
      <c r="P120" s="296"/>
    </row>
    <row r="121" spans="1:16" s="205" customFormat="1" ht="10.5" hidden="1" customHeight="1">
      <c r="B121" s="327" t="s">
        <v>143</v>
      </c>
      <c r="C121" s="327"/>
      <c r="D121" s="327"/>
      <c r="E121" s="327"/>
      <c r="F121" s="327"/>
      <c r="G121" s="327"/>
      <c r="H121" s="327"/>
      <c r="I121" s="327"/>
      <c r="J121" s="327"/>
      <c r="K121" s="296"/>
      <c r="L121" s="296"/>
      <c r="M121" s="296"/>
      <c r="N121" s="296"/>
      <c r="O121" s="296"/>
      <c r="P121" s="296"/>
    </row>
    <row r="122" spans="1:16" s="205" customFormat="1" ht="10.5" hidden="1" customHeight="1">
      <c r="B122" s="327" t="s">
        <v>144</v>
      </c>
      <c r="C122" s="327"/>
      <c r="D122" s="327"/>
      <c r="E122" s="327"/>
      <c r="F122" s="327"/>
      <c r="G122" s="327"/>
      <c r="H122" s="327"/>
      <c r="I122" s="327"/>
      <c r="J122" s="327"/>
      <c r="K122" s="296"/>
      <c r="L122" s="296"/>
      <c r="M122" s="296"/>
      <c r="N122" s="296"/>
      <c r="O122" s="296"/>
      <c r="P122" s="296"/>
    </row>
    <row r="123" spans="1:16" s="205" customFormat="1" ht="10.5" hidden="1" customHeight="1">
      <c r="B123" s="327" t="s">
        <v>145</v>
      </c>
      <c r="C123" s="327"/>
      <c r="D123" s="327"/>
      <c r="E123" s="327"/>
      <c r="F123" s="327"/>
      <c r="G123" s="327"/>
      <c r="H123" s="327"/>
      <c r="I123" s="327"/>
      <c r="J123" s="327"/>
      <c r="K123" s="296"/>
      <c r="L123" s="296"/>
      <c r="M123" s="296"/>
      <c r="N123" s="296"/>
      <c r="O123" s="296"/>
      <c r="P123" s="296"/>
    </row>
    <row r="124" spans="1:16" s="205" customFormat="1" ht="10.5" hidden="1" customHeight="1">
      <c r="B124" s="296"/>
      <c r="C124" s="296"/>
      <c r="D124" s="296"/>
      <c r="E124" s="296"/>
      <c r="F124" s="296"/>
      <c r="G124" s="296"/>
      <c r="H124" s="296"/>
      <c r="I124" s="296"/>
      <c r="J124" s="296"/>
      <c r="K124" s="296"/>
      <c r="L124" s="296"/>
      <c r="M124" s="296"/>
      <c r="N124" s="296"/>
      <c r="O124" s="296"/>
      <c r="P124" s="296"/>
    </row>
    <row r="125" spans="1:16" s="205" customFormat="1" ht="10.5" hidden="1" customHeight="1">
      <c r="B125" s="327" t="s">
        <v>146</v>
      </c>
      <c r="C125" s="327"/>
      <c r="D125" s="327"/>
      <c r="E125" s="327"/>
      <c r="F125" s="327"/>
      <c r="G125" s="327"/>
      <c r="H125" s="327"/>
      <c r="I125" s="327"/>
      <c r="J125" s="327"/>
      <c r="K125" s="296"/>
      <c r="L125" s="296"/>
      <c r="M125" s="296"/>
      <c r="N125" s="296"/>
      <c r="O125" s="296"/>
      <c r="P125" s="296"/>
    </row>
    <row r="126" spans="1:16" s="205" customFormat="1" ht="10.5" hidden="1" customHeight="1">
      <c r="B126" s="327" t="s">
        <v>147</v>
      </c>
      <c r="C126" s="327"/>
      <c r="D126" s="327"/>
      <c r="E126" s="327"/>
      <c r="F126" s="327"/>
      <c r="G126" s="327"/>
      <c r="H126" s="327"/>
      <c r="I126" s="327"/>
      <c r="J126" s="327"/>
      <c r="K126" s="296"/>
      <c r="L126" s="296"/>
      <c r="M126" s="296"/>
      <c r="N126" s="296"/>
      <c r="O126" s="296"/>
      <c r="P126" s="296"/>
    </row>
    <row r="127" spans="1:16" s="205" customFormat="1" ht="10.5" hidden="1" customHeight="1">
      <c r="B127" s="327" t="s">
        <v>148</v>
      </c>
      <c r="C127" s="327"/>
      <c r="D127" s="327"/>
      <c r="E127" s="327"/>
      <c r="F127" s="327"/>
      <c r="G127" s="327"/>
      <c r="H127" s="327"/>
      <c r="I127" s="327"/>
      <c r="J127" s="327"/>
      <c r="K127" s="296"/>
      <c r="L127" s="296"/>
      <c r="M127" s="296"/>
      <c r="N127" s="296"/>
      <c r="O127" s="296"/>
      <c r="P127" s="296"/>
    </row>
    <row r="128" spans="1:16" s="205" customFormat="1" ht="10.5" hidden="1" customHeight="1">
      <c r="B128" s="327" t="s">
        <v>149</v>
      </c>
      <c r="C128" s="327"/>
      <c r="D128" s="327"/>
      <c r="E128" s="327"/>
      <c r="F128" s="327"/>
      <c r="G128" s="327"/>
      <c r="H128" s="327"/>
      <c r="I128" s="327"/>
      <c r="J128" s="327"/>
      <c r="K128" s="296"/>
      <c r="L128" s="296"/>
      <c r="M128" s="296"/>
      <c r="N128" s="296"/>
      <c r="O128" s="296"/>
      <c r="P128" s="296"/>
    </row>
    <row r="129" spans="1:25" s="205" customFormat="1" ht="10.5" hidden="1" customHeight="1">
      <c r="B129" s="327" t="s">
        <v>150</v>
      </c>
      <c r="C129" s="327"/>
      <c r="D129" s="327"/>
      <c r="E129" s="327"/>
      <c r="F129" s="327"/>
      <c r="G129" s="327"/>
      <c r="H129" s="327"/>
      <c r="I129" s="327"/>
      <c r="J129" s="327"/>
      <c r="K129" s="296"/>
      <c r="L129" s="296"/>
      <c r="M129" s="296"/>
      <c r="N129" s="296"/>
      <c r="O129" s="296"/>
      <c r="P129" s="296"/>
      <c r="Y129" s="206"/>
    </row>
    <row r="130" spans="1:25" s="205" customFormat="1" ht="10.5" hidden="1" customHeight="1">
      <c r="B130" s="327" t="s">
        <v>151</v>
      </c>
      <c r="C130" s="327"/>
      <c r="D130" s="327"/>
      <c r="E130" s="327"/>
      <c r="F130" s="327"/>
      <c r="G130" s="327"/>
      <c r="H130" s="327"/>
      <c r="I130" s="327"/>
      <c r="J130" s="327"/>
      <c r="K130" s="296"/>
      <c r="L130" s="296"/>
      <c r="M130" s="296"/>
      <c r="N130" s="296"/>
      <c r="O130" s="296"/>
      <c r="P130" s="296"/>
    </row>
    <row r="131" spans="1:25" s="205" customFormat="1" ht="10.5" customHeight="1">
      <c r="A131" s="206"/>
      <c r="C131" s="326"/>
      <c r="D131" s="326"/>
    </row>
    <row r="132" spans="1:25" s="205" customFormat="1" ht="10.5" customHeight="1">
      <c r="B132" s="206" t="s">
        <v>129</v>
      </c>
    </row>
    <row r="133" spans="1:25" s="205" customFormat="1" ht="10.5" customHeight="1">
      <c r="B133" s="206" t="s">
        <v>130</v>
      </c>
    </row>
    <row r="134" spans="1:25" s="205" customFormat="1" ht="10.5" customHeight="1">
      <c r="B134" s="206" t="s">
        <v>131</v>
      </c>
    </row>
    <row r="135" spans="1:25" s="205" customFormat="1" ht="10.5" customHeight="1">
      <c r="B135" s="206" t="s">
        <v>132</v>
      </c>
    </row>
    <row r="136" spans="1:25" s="205" customFormat="1" ht="10.5" customHeight="1"/>
    <row r="137" spans="1:25" s="205" customFormat="1" ht="10.5" customHeight="1">
      <c r="B137" s="205" t="s">
        <v>272</v>
      </c>
    </row>
    <row r="138" spans="1:25" s="205" customFormat="1" ht="10.5" customHeight="1"/>
    <row r="139" spans="1:25" s="205" customFormat="1" ht="10.5" customHeight="1">
      <c r="B139" s="205" t="s">
        <v>278</v>
      </c>
    </row>
    <row r="140" spans="1:25" s="205" customFormat="1" ht="10.5" customHeight="1">
      <c r="B140" s="205" t="s">
        <v>279</v>
      </c>
    </row>
    <row r="141" spans="1:25" s="205" customFormat="1" ht="10.5" customHeight="1">
      <c r="B141" s="205" t="s">
        <v>56</v>
      </c>
    </row>
    <row r="142" spans="1:25" s="205" customFormat="1" ht="10.5" customHeight="1">
      <c r="B142" s="205" t="s">
        <v>280</v>
      </c>
    </row>
    <row r="143" spans="1:25" ht="10.5" customHeight="1">
      <c r="A143" s="38"/>
      <c r="B143" s="205" t="s">
        <v>133</v>
      </c>
    </row>
    <row r="150" ht="9.9499999999999993" customHeight="1"/>
  </sheetData>
  <mergeCells count="330">
    <mergeCell ref="S19:T19"/>
    <mergeCell ref="F20:G20"/>
    <mergeCell ref="I20:P20"/>
    <mergeCell ref="C21:D21"/>
    <mergeCell ref="F21:G21"/>
    <mergeCell ref="I21:P21"/>
    <mergeCell ref="P6:R6"/>
    <mergeCell ref="C7:E7"/>
    <mergeCell ref="A16:B16"/>
    <mergeCell ref="C16:G16"/>
    <mergeCell ref="A19:B19"/>
    <mergeCell ref="L19:M19"/>
    <mergeCell ref="O19:P19"/>
    <mergeCell ref="C24:D24"/>
    <mergeCell ref="F24:G24"/>
    <mergeCell ref="I24:P24"/>
    <mergeCell ref="C25:D25"/>
    <mergeCell ref="F25:G25"/>
    <mergeCell ref="I25:P25"/>
    <mergeCell ref="C22:D22"/>
    <mergeCell ref="F22:G22"/>
    <mergeCell ref="I22:P22"/>
    <mergeCell ref="C23:D23"/>
    <mergeCell ref="F23:G23"/>
    <mergeCell ref="I23:P23"/>
    <mergeCell ref="B31:P31"/>
    <mergeCell ref="B32:P32"/>
    <mergeCell ref="A34:P34"/>
    <mergeCell ref="B35:P35"/>
    <mergeCell ref="B36:P36"/>
    <mergeCell ref="B37:P37"/>
    <mergeCell ref="A27:P27"/>
    <mergeCell ref="S27:V27"/>
    <mergeCell ref="B28:P28"/>
    <mergeCell ref="S28:V28"/>
    <mergeCell ref="B29:P29"/>
    <mergeCell ref="B30:P30"/>
    <mergeCell ref="T47:V47"/>
    <mergeCell ref="B48:C48"/>
    <mergeCell ref="D48:E48"/>
    <mergeCell ref="J48:P48"/>
    <mergeCell ref="B38:P38"/>
    <mergeCell ref="B39:P39"/>
    <mergeCell ref="A45:P45"/>
    <mergeCell ref="R45:U45"/>
    <mergeCell ref="B46:C46"/>
    <mergeCell ref="D46:E46"/>
    <mergeCell ref="J46:P46"/>
    <mergeCell ref="B49:C49"/>
    <mergeCell ref="D49:E49"/>
    <mergeCell ref="J49:P49"/>
    <mergeCell ref="B50:C50"/>
    <mergeCell ref="D50:E50"/>
    <mergeCell ref="J50:P50"/>
    <mergeCell ref="B47:C47"/>
    <mergeCell ref="D47:E47"/>
    <mergeCell ref="J47:P47"/>
    <mergeCell ref="B53:C53"/>
    <mergeCell ref="D53:E53"/>
    <mergeCell ref="J53:Q53"/>
    <mergeCell ref="B54:C54"/>
    <mergeCell ref="D54:E54"/>
    <mergeCell ref="J54:Q54"/>
    <mergeCell ref="B51:C51"/>
    <mergeCell ref="D51:E51"/>
    <mergeCell ref="J51:P51"/>
    <mergeCell ref="B52:C52"/>
    <mergeCell ref="D52:E52"/>
    <mergeCell ref="J52:Q52"/>
    <mergeCell ref="A58:B58"/>
    <mergeCell ref="C58:G58"/>
    <mergeCell ref="I58:P58"/>
    <mergeCell ref="Q58:V58"/>
    <mergeCell ref="E59:F59"/>
    <mergeCell ref="R59:V59"/>
    <mergeCell ref="B55:C55"/>
    <mergeCell ref="D55:E55"/>
    <mergeCell ref="J55:Q55"/>
    <mergeCell ref="B56:C56"/>
    <mergeCell ref="D56:E56"/>
    <mergeCell ref="J56:Q56"/>
    <mergeCell ref="R66:V66"/>
    <mergeCell ref="R67:V67"/>
    <mergeCell ref="R68:V68"/>
    <mergeCell ref="R69:V69"/>
    <mergeCell ref="R70:V70"/>
    <mergeCell ref="R71:V71"/>
    <mergeCell ref="R60:V60"/>
    <mergeCell ref="R61:V61"/>
    <mergeCell ref="R62:V62"/>
    <mergeCell ref="R63:V63"/>
    <mergeCell ref="R64:V64"/>
    <mergeCell ref="R65:V65"/>
    <mergeCell ref="A81:B81"/>
    <mergeCell ref="C81:D81"/>
    <mergeCell ref="E81:F81"/>
    <mergeCell ref="G81:H81"/>
    <mergeCell ref="I81:J81"/>
    <mergeCell ref="K81:L81"/>
    <mergeCell ref="M81:N81"/>
    <mergeCell ref="R72:V72"/>
    <mergeCell ref="R73:V73"/>
    <mergeCell ref="R74:V74"/>
    <mergeCell ref="R75:V75"/>
    <mergeCell ref="R76:V76"/>
    <mergeCell ref="R77:V77"/>
    <mergeCell ref="O81:P81"/>
    <mergeCell ref="C82:D82"/>
    <mergeCell ref="E82:F82"/>
    <mergeCell ref="G82:H82"/>
    <mergeCell ref="I82:J82"/>
    <mergeCell ref="K82:L82"/>
    <mergeCell ref="M82:N82"/>
    <mergeCell ref="O82:P82"/>
    <mergeCell ref="R78:V78"/>
    <mergeCell ref="R79:V79"/>
    <mergeCell ref="R80:V80"/>
    <mergeCell ref="C84:D84"/>
    <mergeCell ref="E84:F84"/>
    <mergeCell ref="I84:J84"/>
    <mergeCell ref="K84:L84"/>
    <mergeCell ref="M84:N84"/>
    <mergeCell ref="O84:P84"/>
    <mergeCell ref="C83:D83"/>
    <mergeCell ref="E83:F83"/>
    <mergeCell ref="I83:J83"/>
    <mergeCell ref="K83:L83"/>
    <mergeCell ref="M83:N83"/>
    <mergeCell ref="O83:P83"/>
    <mergeCell ref="C86:D86"/>
    <mergeCell ref="E86:F86"/>
    <mergeCell ref="I86:J86"/>
    <mergeCell ref="K86:L86"/>
    <mergeCell ref="M86:N86"/>
    <mergeCell ref="O86:P86"/>
    <mergeCell ref="C85:D85"/>
    <mergeCell ref="E85:F85"/>
    <mergeCell ref="I85:J85"/>
    <mergeCell ref="K85:L85"/>
    <mergeCell ref="M85:N85"/>
    <mergeCell ref="O85:P85"/>
    <mergeCell ref="C88:D88"/>
    <mergeCell ref="E88:F88"/>
    <mergeCell ref="I88:J88"/>
    <mergeCell ref="K88:L88"/>
    <mergeCell ref="M88:N88"/>
    <mergeCell ref="O88:P88"/>
    <mergeCell ref="C87:D87"/>
    <mergeCell ref="E87:F87"/>
    <mergeCell ref="I87:J87"/>
    <mergeCell ref="K87:L87"/>
    <mergeCell ref="M87:N87"/>
    <mergeCell ref="O87:P87"/>
    <mergeCell ref="C90:D90"/>
    <mergeCell ref="E90:F90"/>
    <mergeCell ref="I90:J90"/>
    <mergeCell ref="K90:L90"/>
    <mergeCell ref="M90:N90"/>
    <mergeCell ref="O90:P90"/>
    <mergeCell ref="C89:D89"/>
    <mergeCell ref="E89:F89"/>
    <mergeCell ref="I89:J89"/>
    <mergeCell ref="K89:L89"/>
    <mergeCell ref="M89:N89"/>
    <mergeCell ref="O89:P89"/>
    <mergeCell ref="C92:D92"/>
    <mergeCell ref="E92:F92"/>
    <mergeCell ref="I92:J92"/>
    <mergeCell ref="K92:L92"/>
    <mergeCell ref="M92:N92"/>
    <mergeCell ref="O92:P92"/>
    <mergeCell ref="C91:D91"/>
    <mergeCell ref="E91:F91"/>
    <mergeCell ref="I91:J91"/>
    <mergeCell ref="K91:L91"/>
    <mergeCell ref="M91:N91"/>
    <mergeCell ref="O91:P91"/>
    <mergeCell ref="C94:D94"/>
    <mergeCell ref="E94:F94"/>
    <mergeCell ref="I94:J94"/>
    <mergeCell ref="K94:L94"/>
    <mergeCell ref="M94:N94"/>
    <mergeCell ref="O94:P94"/>
    <mergeCell ref="C93:D93"/>
    <mergeCell ref="E93:F93"/>
    <mergeCell ref="I93:J93"/>
    <mergeCell ref="K93:L93"/>
    <mergeCell ref="M93:N93"/>
    <mergeCell ref="O93:P93"/>
    <mergeCell ref="C96:D96"/>
    <mergeCell ref="E96:F96"/>
    <mergeCell ref="I96:J96"/>
    <mergeCell ref="K96:L96"/>
    <mergeCell ref="M96:N96"/>
    <mergeCell ref="O96:P96"/>
    <mergeCell ref="C95:D95"/>
    <mergeCell ref="E95:F95"/>
    <mergeCell ref="I95:J95"/>
    <mergeCell ref="K95:L95"/>
    <mergeCell ref="M95:N95"/>
    <mergeCell ref="O95:P95"/>
    <mergeCell ref="C98:D98"/>
    <mergeCell ref="E98:F98"/>
    <mergeCell ref="I98:J98"/>
    <mergeCell ref="K98:L98"/>
    <mergeCell ref="M98:N98"/>
    <mergeCell ref="O98:P98"/>
    <mergeCell ref="C97:D97"/>
    <mergeCell ref="E97:F97"/>
    <mergeCell ref="I97:J97"/>
    <mergeCell ref="K97:L97"/>
    <mergeCell ref="M97:N97"/>
    <mergeCell ref="O97:P97"/>
    <mergeCell ref="C100:D100"/>
    <mergeCell ref="E100:F100"/>
    <mergeCell ref="I100:J100"/>
    <mergeCell ref="K100:L100"/>
    <mergeCell ref="M100:N100"/>
    <mergeCell ref="O100:P100"/>
    <mergeCell ref="C99:D99"/>
    <mergeCell ref="E99:F99"/>
    <mergeCell ref="I99:J99"/>
    <mergeCell ref="K99:L99"/>
    <mergeCell ref="M99:N99"/>
    <mergeCell ref="O99:P99"/>
    <mergeCell ref="C102:D102"/>
    <mergeCell ref="E102:F102"/>
    <mergeCell ref="I102:J102"/>
    <mergeCell ref="K102:L102"/>
    <mergeCell ref="M102:N102"/>
    <mergeCell ref="O102:P102"/>
    <mergeCell ref="C101:D101"/>
    <mergeCell ref="E101:F101"/>
    <mergeCell ref="I101:J101"/>
    <mergeCell ref="K101:L101"/>
    <mergeCell ref="M101:N101"/>
    <mergeCell ref="O101:P101"/>
    <mergeCell ref="C104:D104"/>
    <mergeCell ref="E104:F104"/>
    <mergeCell ref="I104:J104"/>
    <mergeCell ref="K104:L104"/>
    <mergeCell ref="M104:N104"/>
    <mergeCell ref="O104:P104"/>
    <mergeCell ref="C103:D103"/>
    <mergeCell ref="E103:F103"/>
    <mergeCell ref="I103:J103"/>
    <mergeCell ref="K103:L103"/>
    <mergeCell ref="M103:N103"/>
    <mergeCell ref="O103:P103"/>
    <mergeCell ref="C106:D106"/>
    <mergeCell ref="E106:F106"/>
    <mergeCell ref="I106:J106"/>
    <mergeCell ref="K106:L106"/>
    <mergeCell ref="M106:N106"/>
    <mergeCell ref="O106:P106"/>
    <mergeCell ref="C105:D105"/>
    <mergeCell ref="E105:F105"/>
    <mergeCell ref="I105:J105"/>
    <mergeCell ref="K105:L105"/>
    <mergeCell ref="M105:N105"/>
    <mergeCell ref="O105:P105"/>
    <mergeCell ref="C108:D108"/>
    <mergeCell ref="E108:F108"/>
    <mergeCell ref="I108:J108"/>
    <mergeCell ref="K108:L108"/>
    <mergeCell ref="M108:N108"/>
    <mergeCell ref="O108:P108"/>
    <mergeCell ref="C107:D107"/>
    <mergeCell ref="E107:F107"/>
    <mergeCell ref="I107:J107"/>
    <mergeCell ref="K107:L107"/>
    <mergeCell ref="M107:N107"/>
    <mergeCell ref="O107:P107"/>
    <mergeCell ref="C110:D110"/>
    <mergeCell ref="E110:F110"/>
    <mergeCell ref="I110:J110"/>
    <mergeCell ref="K110:L110"/>
    <mergeCell ref="M110:N110"/>
    <mergeCell ref="O110:P110"/>
    <mergeCell ref="C109:D109"/>
    <mergeCell ref="E109:F109"/>
    <mergeCell ref="I109:J109"/>
    <mergeCell ref="K109:L109"/>
    <mergeCell ref="M109:N109"/>
    <mergeCell ref="O109:P109"/>
    <mergeCell ref="B112:J112"/>
    <mergeCell ref="K112:P112"/>
    <mergeCell ref="B113:J113"/>
    <mergeCell ref="K113:P113"/>
    <mergeCell ref="B114:J114"/>
    <mergeCell ref="K114:P114"/>
    <mergeCell ref="C111:D111"/>
    <mergeCell ref="E111:F111"/>
    <mergeCell ref="I111:J111"/>
    <mergeCell ref="K111:L111"/>
    <mergeCell ref="M111:N111"/>
    <mergeCell ref="O111:P111"/>
    <mergeCell ref="B118:J118"/>
    <mergeCell ref="K118:P118"/>
    <mergeCell ref="B119:J119"/>
    <mergeCell ref="K119:P119"/>
    <mergeCell ref="B120:J120"/>
    <mergeCell ref="K120:P120"/>
    <mergeCell ref="B115:J115"/>
    <mergeCell ref="K115:P115"/>
    <mergeCell ref="B116:J116"/>
    <mergeCell ref="K116:P116"/>
    <mergeCell ref="B117:J117"/>
    <mergeCell ref="K117:P117"/>
    <mergeCell ref="B124:J124"/>
    <mergeCell ref="K124:P124"/>
    <mergeCell ref="B125:J125"/>
    <mergeCell ref="K125:P125"/>
    <mergeCell ref="B126:J126"/>
    <mergeCell ref="K126:P126"/>
    <mergeCell ref="B121:J121"/>
    <mergeCell ref="K121:P121"/>
    <mergeCell ref="B122:J122"/>
    <mergeCell ref="K122:P122"/>
    <mergeCell ref="B123:J123"/>
    <mergeCell ref="K123:P123"/>
    <mergeCell ref="B130:J130"/>
    <mergeCell ref="K130:P130"/>
    <mergeCell ref="C131:D131"/>
    <mergeCell ref="B127:J127"/>
    <mergeCell ref="K127:P127"/>
    <mergeCell ref="B128:J128"/>
    <mergeCell ref="K128:P128"/>
    <mergeCell ref="B129:J129"/>
    <mergeCell ref="K129:P129"/>
  </mergeCells>
  <conditionalFormatting sqref="E60:E79">
    <cfRule type="cellIs" dxfId="9" priority="6" operator="greaterThan">
      <formula>160</formula>
    </cfRule>
    <cfRule type="cellIs" dxfId="8" priority="7" operator="greaterThan">
      <formula>140</formula>
    </cfRule>
  </conditionalFormatting>
  <conditionalFormatting sqref="F60:F79">
    <cfRule type="cellIs" dxfId="7" priority="4" operator="between">
      <formula>101</formula>
      <formula>220</formula>
    </cfRule>
    <cfRule type="cellIs" dxfId="6" priority="5" operator="between">
      <formula>91</formula>
      <formula>100</formula>
    </cfRule>
  </conditionalFormatting>
  <conditionalFormatting sqref="D60:D79">
    <cfRule type="colorScale" priority="3">
      <colorScale>
        <cfvo type="num" val="15"/>
        <cfvo type="num" val="45"/>
        <color theme="4" tint="0.79998168889431442"/>
        <color theme="5" tint="0.59999389629810485"/>
      </colorScale>
    </cfRule>
  </conditionalFormatting>
  <conditionalFormatting sqref="O60:O79">
    <cfRule type="expression" dxfId="5" priority="2">
      <formula>$AA60&gt;90</formula>
    </cfRule>
  </conditionalFormatting>
  <conditionalFormatting sqref="A34:P34">
    <cfRule type="expression" dxfId="4" priority="1">
      <formula>$B28=""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7C953-E57F-48C3-93D9-0463CFC825B3}">
  <sheetPr codeName="Planilha3"/>
  <dimension ref="E5:W53"/>
  <sheetViews>
    <sheetView topLeftCell="A7" workbookViewId="0">
      <selection activeCell="I46" sqref="I46"/>
    </sheetView>
  </sheetViews>
  <sheetFormatPr defaultColWidth="8.7109375" defaultRowHeight="15"/>
  <cols>
    <col min="1" max="3" width="8.7109375" style="39"/>
    <col min="4" max="4" width="7.140625" style="39" customWidth="1"/>
    <col min="5" max="5" width="7.28515625" style="39" customWidth="1"/>
    <col min="6" max="6" width="21.5703125" style="39" bestFit="1" customWidth="1"/>
    <col min="7" max="7" width="23.85546875" style="39" bestFit="1" customWidth="1"/>
    <col min="8" max="8" width="10.5703125" style="39" bestFit="1" customWidth="1"/>
    <col min="9" max="9" width="10.5703125" style="39" customWidth="1"/>
    <col min="10" max="12" width="8.7109375" style="39"/>
    <col min="13" max="13" width="10.7109375" style="39" bestFit="1" customWidth="1"/>
    <col min="14" max="14" width="10.42578125" style="39" customWidth="1"/>
    <col min="15" max="15" width="8.7109375" style="39"/>
    <col min="16" max="16" width="6" style="39" customWidth="1"/>
    <col min="17" max="16384" width="8.7109375" style="39"/>
  </cols>
  <sheetData>
    <row r="5" spans="5:16">
      <c r="M5" s="39" t="s">
        <v>154</v>
      </c>
      <c r="N5" s="40">
        <f ca="1">TODAY()</f>
        <v>46129</v>
      </c>
    </row>
    <row r="6" spans="5:16">
      <c r="M6" s="39" t="s">
        <v>3</v>
      </c>
      <c r="N6" s="40">
        <v>0</v>
      </c>
    </row>
    <row r="7" spans="5:16">
      <c r="M7" s="39" t="s">
        <v>155</v>
      </c>
      <c r="N7" s="39">
        <f ca="1">INT((N5-N6)/365)</f>
        <v>126</v>
      </c>
    </row>
    <row r="8" spans="5:16">
      <c r="N8" s="39" t="s">
        <v>156</v>
      </c>
      <c r="O8" s="39">
        <v>0</v>
      </c>
      <c r="P8" s="39" t="s">
        <v>157</v>
      </c>
    </row>
    <row r="9" spans="5:16">
      <c r="M9" s="39" t="s">
        <v>158</v>
      </c>
      <c r="N9" s="39">
        <v>1</v>
      </c>
      <c r="O9" s="39">
        <v>0</v>
      </c>
      <c r="P9" s="39" t="e">
        <f t="shared" ref="P9:P21" si="0">ROUND(O9/$O$8^2*10000,1)</f>
        <v>#DIV/0!</v>
      </c>
    </row>
    <row r="10" spans="5:16">
      <c r="M10" s="39">
        <v>1</v>
      </c>
      <c r="N10" s="39" t="s">
        <v>337</v>
      </c>
      <c r="O10" s="39">
        <v>0</v>
      </c>
      <c r="P10" s="39" t="e">
        <f t="shared" si="0"/>
        <v>#DIV/0!</v>
      </c>
    </row>
    <row r="11" spans="5:16">
      <c r="E11" s="39" t="s">
        <v>35</v>
      </c>
      <c r="F11" s="39" t="s">
        <v>159</v>
      </c>
      <c r="G11" s="39" t="s">
        <v>160</v>
      </c>
      <c r="H11" s="39" t="s">
        <v>161</v>
      </c>
      <c r="I11" s="39" t="s">
        <v>162</v>
      </c>
      <c r="K11" s="39" t="s">
        <v>163</v>
      </c>
      <c r="L11" s="39" t="s">
        <v>164</v>
      </c>
      <c r="M11" s="39">
        <v>2</v>
      </c>
      <c r="N11" s="39" t="s">
        <v>337</v>
      </c>
      <c r="O11" s="39">
        <v>0</v>
      </c>
      <c r="P11" s="39" t="e">
        <f t="shared" si="0"/>
        <v>#DIV/0!</v>
      </c>
    </row>
    <row r="12" spans="5:16">
      <c r="E12" s="39">
        <v>1</v>
      </c>
      <c r="F12" s="39">
        <v>20</v>
      </c>
      <c r="G12" s="39">
        <v>25</v>
      </c>
      <c r="H12" s="39">
        <v>30</v>
      </c>
      <c r="I12" s="39">
        <v>45</v>
      </c>
      <c r="K12" s="39">
        <v>20</v>
      </c>
      <c r="L12" s="39">
        <v>12</v>
      </c>
      <c r="M12" s="39">
        <v>3</v>
      </c>
      <c r="N12" s="39" t="s">
        <v>337</v>
      </c>
      <c r="O12" s="39">
        <v>0</v>
      </c>
      <c r="P12" s="39" t="e">
        <f t="shared" si="0"/>
        <v>#DIV/0!</v>
      </c>
    </row>
    <row r="13" spans="5:16">
      <c r="E13" s="39">
        <v>2</v>
      </c>
      <c r="F13" s="39">
        <v>20</v>
      </c>
      <c r="G13" s="39">
        <v>25</v>
      </c>
      <c r="H13" s="39">
        <v>30</v>
      </c>
      <c r="I13" s="39">
        <v>45</v>
      </c>
      <c r="K13" s="39">
        <v>22</v>
      </c>
      <c r="L13" s="39">
        <v>22</v>
      </c>
      <c r="M13" s="39">
        <v>4</v>
      </c>
      <c r="N13" s="39" t="s">
        <v>337</v>
      </c>
      <c r="O13" s="39">
        <v>0</v>
      </c>
      <c r="P13" s="39" t="e">
        <f t="shared" si="0"/>
        <v>#DIV/0!</v>
      </c>
    </row>
    <row r="14" spans="5:16">
      <c r="E14" s="39">
        <v>3</v>
      </c>
      <c r="F14" s="39">
        <v>20</v>
      </c>
      <c r="G14" s="39">
        <v>25</v>
      </c>
      <c r="H14" s="39">
        <v>30</v>
      </c>
      <c r="I14" s="39">
        <v>45</v>
      </c>
      <c r="K14" s="39">
        <v>40</v>
      </c>
      <c r="L14" s="39">
        <v>41</v>
      </c>
      <c r="M14" s="39">
        <v>5</v>
      </c>
      <c r="N14" s="39" t="s">
        <v>337</v>
      </c>
      <c r="O14" s="39">
        <v>0</v>
      </c>
      <c r="P14" s="39" t="e">
        <f t="shared" si="0"/>
        <v>#DIV/0!</v>
      </c>
    </row>
    <row r="15" spans="5:16">
      <c r="E15" s="39">
        <v>4</v>
      </c>
      <c r="F15" s="39">
        <v>20</v>
      </c>
      <c r="G15" s="39">
        <v>25</v>
      </c>
      <c r="H15" s="39">
        <v>30</v>
      </c>
      <c r="I15" s="39">
        <v>45</v>
      </c>
      <c r="J15" s="39" t="str">
        <f t="shared" ref="J15:J53" si="1">IF(ISERROR(VLOOKUP(E15,imc,3,FALSE)),"",VLOOKUP(E15,imc,3,FALSE))</f>
        <v/>
      </c>
      <c r="K15" s="39">
        <v>39</v>
      </c>
      <c r="L15" s="39">
        <v>30</v>
      </c>
      <c r="M15" s="39">
        <v>6</v>
      </c>
      <c r="N15" s="39" t="s">
        <v>337</v>
      </c>
      <c r="O15" s="39">
        <v>0</v>
      </c>
      <c r="P15" s="39" t="e">
        <f t="shared" si="0"/>
        <v>#DIV/0!</v>
      </c>
    </row>
    <row r="16" spans="5:16">
      <c r="E16" s="39">
        <v>5</v>
      </c>
      <c r="F16" s="39">
        <v>20</v>
      </c>
      <c r="G16" s="39">
        <v>25</v>
      </c>
      <c r="H16" s="39">
        <v>30</v>
      </c>
      <c r="I16" s="39">
        <v>45</v>
      </c>
      <c r="J16" s="39" t="str">
        <f t="shared" si="1"/>
        <v/>
      </c>
      <c r="K16" s="39">
        <v>30</v>
      </c>
      <c r="L16" s="39">
        <v>39</v>
      </c>
      <c r="M16" s="39">
        <v>7</v>
      </c>
      <c r="N16" s="39" t="s">
        <v>337</v>
      </c>
      <c r="O16" s="39">
        <v>0</v>
      </c>
      <c r="P16" s="39" t="e">
        <f t="shared" si="0"/>
        <v>#DIV/0!</v>
      </c>
    </row>
    <row r="17" spans="5:23">
      <c r="E17" s="39">
        <v>6</v>
      </c>
      <c r="F17" s="39">
        <v>20</v>
      </c>
      <c r="G17" s="39">
        <v>25</v>
      </c>
      <c r="H17" s="39">
        <v>30</v>
      </c>
      <c r="I17" s="39">
        <v>45</v>
      </c>
      <c r="J17" s="39" t="str">
        <f t="shared" si="1"/>
        <v/>
      </c>
      <c r="M17" s="39">
        <v>8</v>
      </c>
      <c r="N17" s="39" t="s">
        <v>337</v>
      </c>
      <c r="O17" s="39">
        <v>0</v>
      </c>
      <c r="P17" s="39" t="e">
        <f t="shared" si="0"/>
        <v>#DIV/0!</v>
      </c>
    </row>
    <row r="18" spans="5:23">
      <c r="E18" s="39">
        <v>7</v>
      </c>
      <c r="F18" s="39">
        <v>20</v>
      </c>
      <c r="G18" s="39">
        <v>25</v>
      </c>
      <c r="H18" s="39">
        <v>30</v>
      </c>
      <c r="I18" s="39">
        <v>45</v>
      </c>
      <c r="J18" s="39" t="str">
        <f t="shared" si="1"/>
        <v/>
      </c>
      <c r="M18" s="39">
        <v>9</v>
      </c>
      <c r="N18" s="39" t="s">
        <v>337</v>
      </c>
      <c r="O18" s="39">
        <v>0</v>
      </c>
      <c r="P18" s="39" t="e">
        <f t="shared" si="0"/>
        <v>#DIV/0!</v>
      </c>
    </row>
    <row r="19" spans="5:23">
      <c r="E19" s="39">
        <v>8</v>
      </c>
      <c r="F19" s="39">
        <v>20.2</v>
      </c>
      <c r="G19" s="39">
        <v>25.1</v>
      </c>
      <c r="H19" s="39">
        <v>30.2</v>
      </c>
      <c r="I19" s="39">
        <v>45</v>
      </c>
      <c r="J19" s="39" t="str">
        <f t="shared" si="1"/>
        <v/>
      </c>
      <c r="M19" s="39">
        <v>10</v>
      </c>
      <c r="N19" s="39" t="s">
        <v>337</v>
      </c>
      <c r="O19" s="39">
        <v>0</v>
      </c>
      <c r="P19" s="39" t="e">
        <f t="shared" si="0"/>
        <v>#DIV/0!</v>
      </c>
    </row>
    <row r="20" spans="5:23">
      <c r="E20" s="39">
        <v>9</v>
      </c>
      <c r="F20" s="39">
        <v>20.2</v>
      </c>
      <c r="G20" s="39">
        <v>25.2</v>
      </c>
      <c r="H20" s="39">
        <v>30.2</v>
      </c>
      <c r="I20" s="39">
        <v>45</v>
      </c>
      <c r="J20" s="39" t="str">
        <f t="shared" si="1"/>
        <v/>
      </c>
      <c r="M20" s="39">
        <v>11</v>
      </c>
      <c r="N20" s="39" t="s">
        <v>337</v>
      </c>
      <c r="O20" s="39">
        <v>0</v>
      </c>
      <c r="P20" s="39" t="e">
        <f t="shared" si="0"/>
        <v>#DIV/0!</v>
      </c>
    </row>
    <row r="21" spans="5:23">
      <c r="E21" s="39">
        <v>10</v>
      </c>
      <c r="F21" s="39">
        <v>20.3</v>
      </c>
      <c r="G21" s="39">
        <v>25.3</v>
      </c>
      <c r="H21" s="39">
        <v>30.3</v>
      </c>
      <c r="I21" s="39">
        <v>45</v>
      </c>
      <c r="J21" s="39" t="str">
        <f t="shared" si="1"/>
        <v/>
      </c>
      <c r="M21" s="39">
        <v>12</v>
      </c>
      <c r="N21" s="39" t="s">
        <v>337</v>
      </c>
      <c r="O21" s="39">
        <v>0</v>
      </c>
      <c r="P21" s="39" t="e">
        <f t="shared" si="0"/>
        <v>#DIV/0!</v>
      </c>
    </row>
    <row r="22" spans="5:23">
      <c r="E22" s="39">
        <v>11</v>
      </c>
      <c r="F22" s="39">
        <v>20.399999999999999</v>
      </c>
      <c r="G22" s="39">
        <v>25.4</v>
      </c>
      <c r="H22" s="39">
        <v>30.4</v>
      </c>
      <c r="I22" s="39">
        <v>45</v>
      </c>
      <c r="J22" s="39" t="str">
        <f t="shared" si="1"/>
        <v/>
      </c>
    </row>
    <row r="23" spans="5:23">
      <c r="E23" s="39">
        <v>12</v>
      </c>
      <c r="F23" s="39">
        <v>20.5</v>
      </c>
      <c r="G23" s="39">
        <v>25.5</v>
      </c>
      <c r="H23" s="39">
        <v>30.4</v>
      </c>
      <c r="I23" s="39">
        <v>45</v>
      </c>
      <c r="J23" s="39" t="str">
        <f t="shared" si="1"/>
        <v/>
      </c>
    </row>
    <row r="24" spans="5:23">
      <c r="E24" s="39">
        <v>13</v>
      </c>
      <c r="F24" s="39">
        <v>20.7</v>
      </c>
      <c r="G24" s="39">
        <v>25.7</v>
      </c>
      <c r="H24" s="39">
        <v>30.5</v>
      </c>
      <c r="I24" s="39">
        <v>45</v>
      </c>
      <c r="J24" s="39" t="str">
        <f t="shared" si="1"/>
        <v/>
      </c>
    </row>
    <row r="25" spans="5:23">
      <c r="E25" s="39">
        <v>14</v>
      </c>
      <c r="F25" s="39">
        <v>20.8</v>
      </c>
      <c r="G25" s="39">
        <v>25.8</v>
      </c>
      <c r="H25" s="39">
        <v>30.6</v>
      </c>
      <c r="I25" s="39">
        <v>45</v>
      </c>
      <c r="J25" s="39" t="str">
        <f t="shared" si="1"/>
        <v/>
      </c>
    </row>
    <row r="26" spans="5:23">
      <c r="E26" s="39">
        <v>15</v>
      </c>
      <c r="F26" s="39">
        <v>20.9</v>
      </c>
      <c r="G26" s="39">
        <v>25.9</v>
      </c>
      <c r="H26" s="39">
        <v>30.7</v>
      </c>
      <c r="I26" s="39">
        <v>45</v>
      </c>
      <c r="J26" s="39" t="str">
        <f t="shared" si="1"/>
        <v/>
      </c>
    </row>
    <row r="27" spans="5:23">
      <c r="E27" s="39">
        <v>16</v>
      </c>
      <c r="F27" s="39">
        <v>21.1</v>
      </c>
      <c r="G27" s="39">
        <v>26</v>
      </c>
      <c r="H27" s="39">
        <v>30.8</v>
      </c>
      <c r="I27" s="39">
        <v>45</v>
      </c>
      <c r="J27" s="39" t="str">
        <f t="shared" si="1"/>
        <v/>
      </c>
    </row>
    <row r="28" spans="5:23">
      <c r="E28" s="39">
        <v>17</v>
      </c>
      <c r="F28" s="39">
        <v>21.2</v>
      </c>
      <c r="G28" s="39">
        <v>26.1</v>
      </c>
      <c r="H28" s="39">
        <v>30.9</v>
      </c>
      <c r="I28" s="39">
        <v>45</v>
      </c>
      <c r="J28" s="39" t="str">
        <f t="shared" si="1"/>
        <v/>
      </c>
    </row>
    <row r="29" spans="5:23">
      <c r="E29" s="39">
        <v>18</v>
      </c>
      <c r="F29" s="39">
        <v>21.3</v>
      </c>
      <c r="G29" s="39">
        <v>26.2</v>
      </c>
      <c r="H29" s="39">
        <v>31</v>
      </c>
      <c r="I29" s="39">
        <v>45</v>
      </c>
      <c r="J29" s="39" t="str">
        <f t="shared" si="1"/>
        <v/>
      </c>
    </row>
    <row r="30" spans="5:23">
      <c r="E30" s="39">
        <v>19</v>
      </c>
      <c r="F30" s="39">
        <v>21.5</v>
      </c>
      <c r="G30" s="39">
        <v>26.3</v>
      </c>
      <c r="H30" s="39">
        <v>31</v>
      </c>
      <c r="I30" s="39">
        <v>45</v>
      </c>
      <c r="J30" s="39" t="str">
        <f t="shared" si="1"/>
        <v/>
      </c>
    </row>
    <row r="31" spans="5:23">
      <c r="E31" s="39">
        <v>20</v>
      </c>
      <c r="F31" s="39">
        <v>21.6</v>
      </c>
      <c r="G31" s="39">
        <v>26.4</v>
      </c>
      <c r="H31" s="39">
        <v>31.1</v>
      </c>
      <c r="I31" s="39">
        <v>45</v>
      </c>
      <c r="J31" s="39" t="str">
        <f t="shared" si="1"/>
        <v/>
      </c>
      <c r="V31" s="39" t="s">
        <v>165</v>
      </c>
      <c r="W31" s="39" t="s">
        <v>166</v>
      </c>
    </row>
    <row r="32" spans="5:23">
      <c r="E32" s="39">
        <v>21</v>
      </c>
      <c r="F32" s="39">
        <v>21.8</v>
      </c>
      <c r="G32" s="39">
        <v>26.5</v>
      </c>
      <c r="H32" s="39">
        <v>31.2</v>
      </c>
      <c r="I32" s="39">
        <v>45</v>
      </c>
      <c r="J32" s="39" t="str">
        <f t="shared" si="1"/>
        <v/>
      </c>
      <c r="V32" s="39">
        <v>1</v>
      </c>
      <c r="W32" s="39">
        <v>2</v>
      </c>
    </row>
    <row r="33" spans="5:23">
      <c r="E33" s="39">
        <v>22</v>
      </c>
      <c r="F33" s="39">
        <v>21.9</v>
      </c>
      <c r="G33" s="39">
        <v>26.7</v>
      </c>
      <c r="H33" s="39">
        <v>31.3</v>
      </c>
      <c r="I33" s="39">
        <v>45</v>
      </c>
      <c r="J33" s="39" t="str">
        <f t="shared" si="1"/>
        <v/>
      </c>
      <c r="V33" s="39">
        <v>2</v>
      </c>
      <c r="W33" s="39">
        <v>3</v>
      </c>
    </row>
    <row r="34" spans="5:23">
      <c r="E34" s="39">
        <v>23</v>
      </c>
      <c r="F34" s="39">
        <v>22.1</v>
      </c>
      <c r="G34" s="39">
        <v>26.9</v>
      </c>
      <c r="H34" s="39">
        <v>31.4</v>
      </c>
      <c r="I34" s="39">
        <v>45</v>
      </c>
      <c r="J34" s="39" t="str">
        <f t="shared" si="1"/>
        <v/>
      </c>
      <c r="V34" s="39">
        <v>3</v>
      </c>
      <c r="W34" s="39">
        <v>1</v>
      </c>
    </row>
    <row r="35" spans="5:23">
      <c r="E35" s="39">
        <v>24</v>
      </c>
      <c r="F35" s="39">
        <v>22.3</v>
      </c>
      <c r="G35" s="39">
        <v>27</v>
      </c>
      <c r="H35" s="39">
        <v>31.6</v>
      </c>
      <c r="I35" s="39">
        <v>45</v>
      </c>
      <c r="J35" s="39" t="str">
        <f t="shared" si="1"/>
        <v/>
      </c>
    </row>
    <row r="36" spans="5:23">
      <c r="E36" s="39">
        <v>25</v>
      </c>
      <c r="F36" s="39">
        <v>22.4</v>
      </c>
      <c r="G36" s="39">
        <v>27.1</v>
      </c>
      <c r="H36" s="39">
        <v>31.7</v>
      </c>
      <c r="I36" s="39">
        <v>45</v>
      </c>
      <c r="J36" s="39" t="str">
        <f t="shared" si="1"/>
        <v/>
      </c>
    </row>
    <row r="37" spans="5:23">
      <c r="E37" s="39">
        <v>26</v>
      </c>
      <c r="F37" s="39">
        <v>22.7</v>
      </c>
      <c r="G37" s="39">
        <v>27.3</v>
      </c>
      <c r="H37" s="39">
        <v>31.8</v>
      </c>
      <c r="I37" s="39">
        <v>45</v>
      </c>
      <c r="J37" s="39" t="str">
        <f t="shared" si="1"/>
        <v/>
      </c>
    </row>
    <row r="38" spans="5:23">
      <c r="E38" s="39">
        <v>27</v>
      </c>
      <c r="F38" s="39">
        <v>22.8</v>
      </c>
      <c r="G38" s="39">
        <v>27.4</v>
      </c>
      <c r="H38" s="39">
        <v>31.9</v>
      </c>
      <c r="I38" s="39">
        <v>45</v>
      </c>
      <c r="J38" s="39" t="str">
        <f t="shared" si="1"/>
        <v/>
      </c>
    </row>
    <row r="39" spans="5:23">
      <c r="E39" s="39">
        <v>28</v>
      </c>
      <c r="F39" s="39">
        <v>23</v>
      </c>
      <c r="G39" s="39">
        <v>27.6</v>
      </c>
      <c r="H39" s="39">
        <v>32</v>
      </c>
      <c r="I39" s="39">
        <v>45</v>
      </c>
      <c r="J39" s="39" t="str">
        <f t="shared" si="1"/>
        <v/>
      </c>
    </row>
    <row r="40" spans="5:23">
      <c r="E40" s="39">
        <v>29</v>
      </c>
      <c r="F40" s="39">
        <v>23.2</v>
      </c>
      <c r="G40" s="39">
        <v>27.7</v>
      </c>
      <c r="H40" s="39">
        <v>32.1</v>
      </c>
      <c r="I40" s="39">
        <v>45</v>
      </c>
      <c r="J40" s="39" t="str">
        <f t="shared" si="1"/>
        <v/>
      </c>
    </row>
    <row r="41" spans="5:23">
      <c r="E41" s="39">
        <v>30</v>
      </c>
      <c r="F41" s="39">
        <v>23.4</v>
      </c>
      <c r="G41" s="39">
        <v>27.9</v>
      </c>
      <c r="H41" s="39">
        <v>32.200000000000003</v>
      </c>
      <c r="I41" s="39">
        <v>45</v>
      </c>
      <c r="J41" s="39" t="str">
        <f t="shared" si="1"/>
        <v/>
      </c>
    </row>
    <row r="42" spans="5:23">
      <c r="E42" s="39">
        <v>31</v>
      </c>
      <c r="F42" s="39">
        <v>23.5</v>
      </c>
      <c r="G42" s="39">
        <v>28</v>
      </c>
      <c r="H42" s="39">
        <v>32.299999999999997</v>
      </c>
      <c r="I42" s="39">
        <v>45</v>
      </c>
      <c r="J42" s="39" t="str">
        <f t="shared" si="1"/>
        <v/>
      </c>
    </row>
    <row r="43" spans="5:23">
      <c r="E43" s="39">
        <v>32</v>
      </c>
      <c r="F43" s="39">
        <v>23.7</v>
      </c>
      <c r="G43" s="39">
        <v>28.1</v>
      </c>
      <c r="H43" s="39">
        <v>32.4</v>
      </c>
      <c r="I43" s="39">
        <v>45</v>
      </c>
      <c r="J43" s="39" t="str">
        <f t="shared" si="1"/>
        <v/>
      </c>
    </row>
    <row r="44" spans="5:23">
      <c r="E44" s="39">
        <v>33</v>
      </c>
      <c r="F44" s="39">
        <v>23.9</v>
      </c>
      <c r="G44" s="39">
        <v>28.2</v>
      </c>
      <c r="H44" s="39">
        <v>32.5</v>
      </c>
      <c r="I44" s="39">
        <v>45</v>
      </c>
      <c r="J44" s="39" t="str">
        <f t="shared" si="1"/>
        <v/>
      </c>
    </row>
    <row r="45" spans="5:23">
      <c r="E45" s="39">
        <v>34</v>
      </c>
      <c r="F45" s="39">
        <v>24</v>
      </c>
      <c r="G45" s="39">
        <v>28.4</v>
      </c>
      <c r="H45" s="39">
        <v>32.6</v>
      </c>
      <c r="I45" s="39">
        <v>45</v>
      </c>
      <c r="J45" s="39" t="str">
        <f t="shared" si="1"/>
        <v/>
      </c>
    </row>
    <row r="46" spans="5:23">
      <c r="E46" s="39">
        <v>35</v>
      </c>
      <c r="F46" s="39">
        <v>24.2</v>
      </c>
      <c r="G46" s="39">
        <v>28.5</v>
      </c>
      <c r="H46" s="39">
        <v>32.700000000000003</v>
      </c>
      <c r="I46" s="39">
        <v>45</v>
      </c>
      <c r="J46" s="39" t="str">
        <f t="shared" si="1"/>
        <v/>
      </c>
    </row>
    <row r="47" spans="5:23">
      <c r="E47" s="39">
        <v>36</v>
      </c>
      <c r="F47" s="39">
        <v>24.3</v>
      </c>
      <c r="G47" s="39">
        <v>28.6</v>
      </c>
      <c r="H47" s="39">
        <v>32.799999999999997</v>
      </c>
      <c r="I47" s="39">
        <v>45</v>
      </c>
    </row>
    <row r="48" spans="5:23">
      <c r="E48" s="39">
        <v>37</v>
      </c>
      <c r="F48" s="39">
        <v>24.5</v>
      </c>
      <c r="G48" s="39">
        <v>28.8</v>
      </c>
      <c r="H48" s="39">
        <v>32.9</v>
      </c>
      <c r="I48" s="39">
        <v>45</v>
      </c>
      <c r="J48" s="39" t="str">
        <f t="shared" si="1"/>
        <v/>
      </c>
    </row>
    <row r="49" spans="5:10">
      <c r="E49" s="39">
        <v>38</v>
      </c>
      <c r="F49" s="39">
        <v>24.6</v>
      </c>
      <c r="G49" s="39">
        <v>28.9</v>
      </c>
      <c r="H49" s="39">
        <v>33</v>
      </c>
      <c r="I49" s="39">
        <v>45</v>
      </c>
      <c r="J49" s="39" t="str">
        <f t="shared" si="1"/>
        <v/>
      </c>
    </row>
    <row r="50" spans="5:10">
      <c r="E50" s="39">
        <v>39</v>
      </c>
      <c r="F50" s="39">
        <v>24.8</v>
      </c>
      <c r="G50" s="39">
        <v>29</v>
      </c>
      <c r="H50" s="39">
        <v>33.1</v>
      </c>
      <c r="I50" s="39">
        <v>45</v>
      </c>
      <c r="J50" s="39" t="str">
        <f t="shared" si="1"/>
        <v/>
      </c>
    </row>
    <row r="51" spans="5:10">
      <c r="E51" s="39">
        <v>40</v>
      </c>
      <c r="F51" s="39">
        <v>25</v>
      </c>
      <c r="G51" s="39">
        <v>29.2</v>
      </c>
      <c r="H51" s="39">
        <v>33.200000000000003</v>
      </c>
      <c r="I51" s="39">
        <v>45</v>
      </c>
      <c r="J51" s="39" t="str">
        <f t="shared" si="1"/>
        <v/>
      </c>
    </row>
    <row r="52" spans="5:10">
      <c r="E52" s="39">
        <v>41</v>
      </c>
      <c r="F52" s="39">
        <v>25.1</v>
      </c>
      <c r="G52" s="39">
        <v>29.3</v>
      </c>
      <c r="H52" s="39">
        <v>33.299999999999997</v>
      </c>
      <c r="I52" s="39">
        <v>45</v>
      </c>
      <c r="J52" s="39" t="str">
        <f t="shared" si="1"/>
        <v/>
      </c>
    </row>
    <row r="53" spans="5:10">
      <c r="E53" s="39">
        <v>42</v>
      </c>
      <c r="F53" s="39">
        <v>25.1</v>
      </c>
      <c r="G53" s="39">
        <v>29.3</v>
      </c>
      <c r="H53" s="39">
        <v>33.299999999999997</v>
      </c>
      <c r="I53" s="39">
        <v>45</v>
      </c>
      <c r="J53" s="39" t="str">
        <f t="shared" si="1"/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0D7E-6BEC-4182-B298-38637C6A77F2}">
  <sheetPr codeName="Planilha4"/>
  <dimension ref="A1:AS46"/>
  <sheetViews>
    <sheetView topLeftCell="H1" workbookViewId="0">
      <selection activeCell="Q11" sqref="Q11"/>
    </sheetView>
  </sheetViews>
  <sheetFormatPr defaultColWidth="8.7109375" defaultRowHeight="15"/>
  <cols>
    <col min="1" max="1" width="5.28515625" style="39" customWidth="1"/>
    <col min="2" max="2" width="9.85546875" style="39" customWidth="1"/>
    <col min="3" max="4" width="7.85546875" style="39" customWidth="1"/>
    <col min="5" max="5" width="4.42578125" style="39" customWidth="1"/>
    <col min="6" max="6" width="4.5703125" style="39" customWidth="1"/>
    <col min="7" max="7" width="7.140625" style="39" customWidth="1"/>
    <col min="8" max="8" width="7.5703125" style="39" customWidth="1"/>
    <col min="9" max="10" width="7.28515625" style="39" customWidth="1"/>
    <col min="11" max="11" width="2.85546875" style="39" customWidth="1"/>
    <col min="12" max="12" width="2.5703125" style="39" customWidth="1"/>
    <col min="13" max="13" width="4.85546875" style="39" customWidth="1"/>
    <col min="14" max="14" width="5.140625" style="39" customWidth="1"/>
    <col min="15" max="15" width="4.140625" style="39" customWidth="1"/>
    <col min="16" max="16" width="7.5703125" style="39" customWidth="1"/>
    <col min="17" max="17" width="6.85546875" style="39" customWidth="1"/>
    <col min="18" max="18" width="7.140625" style="39" customWidth="1"/>
    <col min="19" max="19" width="2.7109375" style="39" customWidth="1"/>
    <col min="20" max="20" width="8.85546875" style="39" customWidth="1"/>
    <col min="21" max="21" width="2.85546875" style="39" customWidth="1"/>
    <col min="22" max="22" width="8.5703125" style="39" customWidth="1"/>
    <col min="23" max="23" width="11.5703125" style="39" customWidth="1"/>
    <col min="24" max="24" width="2.85546875" style="39" customWidth="1"/>
    <col min="25" max="25" width="7.140625" style="39" customWidth="1"/>
    <col min="26" max="26" width="8.42578125" style="39" customWidth="1"/>
    <col min="27" max="16384" width="8.7109375" style="39"/>
  </cols>
  <sheetData>
    <row r="1" spans="1:35" ht="18.75">
      <c r="B1" s="41" t="str">
        <f>Start!D5</f>
        <v>Ana Carolina Silveira e Silva Streit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 t="s">
        <v>3</v>
      </c>
      <c r="N1" s="197">
        <f>Start!D6</f>
        <v>33403</v>
      </c>
      <c r="O1" s="42"/>
      <c r="Q1" s="43">
        <f ca="1">INT((TODAY()-N4)/365)</f>
        <v>126</v>
      </c>
      <c r="R1" s="44" t="s">
        <v>167</v>
      </c>
      <c r="S1" s="45"/>
      <c r="T1" s="45"/>
      <c r="U1" s="42"/>
      <c r="V1" s="42"/>
      <c r="W1" s="42"/>
      <c r="X1" s="42"/>
      <c r="Y1" s="42"/>
      <c r="Z1" s="46"/>
      <c r="AC1" s="367" t="s">
        <v>216</v>
      </c>
      <c r="AD1" s="367"/>
      <c r="AE1" s="367"/>
      <c r="AF1" s="367"/>
      <c r="AG1" s="367"/>
      <c r="AH1" s="367"/>
      <c r="AI1" s="367"/>
    </row>
    <row r="2" spans="1:35" ht="18.75">
      <c r="B2" s="198"/>
      <c r="C2" s="199"/>
      <c r="D2" s="199"/>
      <c r="E2" s="199"/>
      <c r="F2" s="199"/>
      <c r="G2" s="199"/>
      <c r="H2" s="199"/>
      <c r="I2" s="199"/>
      <c r="L2" s="199"/>
      <c r="M2" s="199"/>
      <c r="N2" s="40"/>
      <c r="Q2" s="200"/>
      <c r="R2" s="201"/>
      <c r="U2" s="199"/>
      <c r="V2" s="199"/>
      <c r="W2" s="199"/>
      <c r="X2" s="199"/>
      <c r="Y2" s="199"/>
      <c r="Z2" s="202"/>
      <c r="AC2" s="137"/>
      <c r="AD2" s="137"/>
      <c r="AE2" s="137"/>
      <c r="AF2" s="137"/>
      <c r="AG2" s="137"/>
      <c r="AH2" s="137"/>
      <c r="AI2" s="137"/>
    </row>
    <row r="3" spans="1:35" ht="18.75">
      <c r="B3" s="198"/>
      <c r="C3" s="199"/>
      <c r="D3" s="199"/>
      <c r="E3" s="199"/>
      <c r="F3" s="199"/>
      <c r="G3" s="199"/>
      <c r="H3" s="199"/>
      <c r="I3" s="199"/>
      <c r="L3" s="199"/>
      <c r="M3" s="199"/>
      <c r="N3" s="40"/>
      <c r="Q3" s="200"/>
      <c r="R3" s="201"/>
      <c r="U3" s="199"/>
      <c r="V3" s="199"/>
      <c r="W3" s="199"/>
      <c r="X3" s="199"/>
      <c r="Y3" s="199"/>
      <c r="Z3" s="202"/>
      <c r="AC3" s="137"/>
      <c r="AD3" s="137"/>
      <c r="AE3" s="137"/>
      <c r="AF3" s="137"/>
      <c r="AG3" s="137"/>
      <c r="AH3" s="137"/>
      <c r="AI3" s="137"/>
    </row>
    <row r="4" spans="1:35" ht="16.5" customHeight="1">
      <c r="B4" s="198"/>
      <c r="C4" s="343">
        <f>Start!D6</f>
        <v>33403</v>
      </c>
      <c r="D4" s="343"/>
      <c r="E4" s="344"/>
      <c r="F4" s="48"/>
      <c r="G4" s="49" t="s">
        <v>68</v>
      </c>
      <c r="H4" s="345"/>
      <c r="I4" s="346"/>
      <c r="J4" s="195"/>
      <c r="K4" s="347" t="s">
        <v>168</v>
      </c>
      <c r="L4" s="50">
        <v>1</v>
      </c>
      <c r="M4" s="51" t="s">
        <v>70</v>
      </c>
      <c r="N4" s="52"/>
      <c r="O4" s="53" t="s">
        <v>169</v>
      </c>
      <c r="P4" s="54"/>
      <c r="Q4" s="349"/>
      <c r="R4" s="350"/>
      <c r="S4" s="350"/>
      <c r="T4" s="351"/>
      <c r="U4" s="342" t="s">
        <v>170</v>
      </c>
      <c r="V4" s="49" t="s">
        <v>171</v>
      </c>
      <c r="W4" s="55"/>
      <c r="X4" s="336"/>
      <c r="Y4" s="337"/>
      <c r="Z4" s="57"/>
      <c r="AC4" s="137" t="s">
        <v>217</v>
      </c>
      <c r="AD4" s="137" t="s">
        <v>218</v>
      </c>
      <c r="AE4" s="79" t="s">
        <v>74</v>
      </c>
      <c r="AF4" s="49" t="s">
        <v>219</v>
      </c>
      <c r="AG4" s="368" t="s">
        <v>220</v>
      </c>
      <c r="AH4" s="368"/>
      <c r="AI4" s="368"/>
    </row>
    <row r="5" spans="1:35" ht="16.5" customHeight="1">
      <c r="B5" s="47" t="s">
        <v>3</v>
      </c>
      <c r="C5" s="58"/>
      <c r="D5" s="191"/>
      <c r="E5" s="59" t="s">
        <v>172</v>
      </c>
      <c r="F5" s="59"/>
      <c r="G5" s="49" t="s">
        <v>173</v>
      </c>
      <c r="H5" s="334">
        <f>H4-280</f>
        <v>-280</v>
      </c>
      <c r="I5" s="335"/>
      <c r="J5" s="196"/>
      <c r="K5" s="347"/>
      <c r="L5" s="60"/>
      <c r="M5" s="49" t="s">
        <v>174</v>
      </c>
      <c r="N5" s="61"/>
      <c r="O5" s="62"/>
      <c r="P5" s="63"/>
      <c r="Q5" s="64"/>
      <c r="R5" s="65"/>
      <c r="S5" s="66"/>
      <c r="T5" s="67"/>
      <c r="U5" s="342"/>
      <c r="V5" s="49" t="s">
        <v>175</v>
      </c>
      <c r="W5" s="68"/>
      <c r="X5" s="336"/>
      <c r="Y5" s="337"/>
      <c r="Z5" s="57"/>
      <c r="AC5" s="138">
        <v>2</v>
      </c>
      <c r="AD5" s="139" t="e">
        <f t="shared" ref="AD5:AD22" si="0">9-((_xlfn.DAYS($E$46,AE5)/30))</f>
        <v>#REF!</v>
      </c>
      <c r="AE5" s="140" t="e">
        <f t="shared" ref="AE5:AE45" si="1">AE6-7</f>
        <v>#REF!</v>
      </c>
      <c r="AF5" s="125"/>
      <c r="AG5" s="62" t="s">
        <v>221</v>
      </c>
      <c r="AH5" s="63"/>
      <c r="AI5" s="60"/>
    </row>
    <row r="6" spans="1:35" ht="16.5" customHeight="1">
      <c r="B6" s="47" t="s">
        <v>77</v>
      </c>
      <c r="C6" s="58"/>
      <c r="D6" s="191"/>
      <c r="E6" s="59" t="s">
        <v>177</v>
      </c>
      <c r="F6" s="59"/>
      <c r="G6" s="49" t="s">
        <v>178</v>
      </c>
      <c r="H6" s="334">
        <v>-266</v>
      </c>
      <c r="I6" s="335"/>
      <c r="J6" s="196"/>
      <c r="K6" s="347"/>
      <c r="L6" s="60"/>
      <c r="M6" s="49" t="s">
        <v>179</v>
      </c>
      <c r="N6" s="61"/>
      <c r="O6" s="62"/>
      <c r="P6" s="63"/>
      <c r="Q6" s="64"/>
      <c r="R6" s="65"/>
      <c r="S6" s="66"/>
      <c r="T6" s="67"/>
      <c r="U6" s="342"/>
      <c r="V6" s="49" t="s">
        <v>180</v>
      </c>
      <c r="W6" s="69"/>
      <c r="X6" s="336"/>
      <c r="Y6" s="337"/>
      <c r="Z6" s="57"/>
      <c r="AC6" s="138">
        <v>3</v>
      </c>
      <c r="AD6" s="139" t="e">
        <f t="shared" si="0"/>
        <v>#REF!</v>
      </c>
      <c r="AE6" s="140" t="e">
        <f t="shared" si="1"/>
        <v>#REF!</v>
      </c>
      <c r="AF6" s="141"/>
      <c r="AG6" s="62" t="s">
        <v>297</v>
      </c>
      <c r="AH6" s="63"/>
      <c r="AI6" s="60"/>
    </row>
    <row r="7" spans="1:35" ht="16.5" customHeight="1">
      <c r="B7" s="47" t="s">
        <v>176</v>
      </c>
      <c r="C7" s="70"/>
      <c r="D7" s="70"/>
      <c r="E7" s="71"/>
      <c r="F7" s="72"/>
      <c r="G7" s="49" t="s">
        <v>78</v>
      </c>
      <c r="H7" s="62"/>
      <c r="I7" s="60"/>
      <c r="J7" s="50"/>
      <c r="K7" s="348"/>
      <c r="L7" s="60"/>
      <c r="M7" s="49" t="s">
        <v>73</v>
      </c>
      <c r="N7" s="61"/>
      <c r="O7" s="62"/>
      <c r="P7" s="63"/>
      <c r="Q7" s="64"/>
      <c r="R7" s="65"/>
      <c r="S7" s="73"/>
      <c r="T7" s="67"/>
      <c r="U7" s="342"/>
      <c r="V7" s="49" t="s">
        <v>182</v>
      </c>
      <c r="W7" s="55"/>
      <c r="X7" s="336"/>
      <c r="Y7" s="337"/>
      <c r="Z7" s="57"/>
      <c r="AC7" s="138">
        <v>4</v>
      </c>
      <c r="AD7" s="139" t="e">
        <f t="shared" si="0"/>
        <v>#REF!</v>
      </c>
      <c r="AE7" s="140" t="e">
        <f t="shared" si="1"/>
        <v>#REF!</v>
      </c>
      <c r="AF7" s="141"/>
      <c r="AG7" s="62" t="s">
        <v>222</v>
      </c>
      <c r="AH7" s="63"/>
      <c r="AI7" s="60"/>
    </row>
    <row r="8" spans="1:35" ht="2.25" customHeight="1">
      <c r="B8" s="47" t="s">
        <v>181</v>
      </c>
      <c r="Z8" s="75"/>
      <c r="AC8" s="138">
        <v>5</v>
      </c>
      <c r="AD8" s="139" t="e">
        <f t="shared" si="0"/>
        <v>#REF!</v>
      </c>
      <c r="AE8" s="140" t="e">
        <f t="shared" si="1"/>
        <v>#REF!</v>
      </c>
      <c r="AF8" s="96"/>
      <c r="AG8" s="62"/>
      <c r="AH8" s="63"/>
      <c r="AI8" s="60"/>
    </row>
    <row r="9" spans="1:35" ht="12.75" customHeight="1">
      <c r="B9" s="74"/>
      <c r="C9" s="338" t="s">
        <v>183</v>
      </c>
      <c r="D9" s="338"/>
      <c r="E9" s="338"/>
      <c r="F9" s="338"/>
      <c r="G9" s="338"/>
      <c r="H9" s="339" t="s">
        <v>184</v>
      </c>
      <c r="I9" s="340"/>
      <c r="J9" s="340"/>
      <c r="K9" s="340"/>
      <c r="L9" s="340"/>
      <c r="M9" s="340"/>
      <c r="N9" s="340"/>
      <c r="O9" s="340"/>
      <c r="P9" s="340"/>
      <c r="Q9" s="341"/>
      <c r="Z9" s="75"/>
      <c r="AC9" s="138">
        <v>6</v>
      </c>
      <c r="AD9" s="139" t="e">
        <f t="shared" si="0"/>
        <v>#REF!</v>
      </c>
      <c r="AE9" s="142" t="e">
        <f t="shared" si="1"/>
        <v>#REF!</v>
      </c>
      <c r="AF9" s="369" t="s">
        <v>223</v>
      </c>
      <c r="AG9" s="62" t="s">
        <v>224</v>
      </c>
      <c r="AH9" s="63"/>
      <c r="AI9" s="60"/>
    </row>
    <row r="10" spans="1:35" ht="15" customHeight="1">
      <c r="B10" s="78" t="s">
        <v>185</v>
      </c>
      <c r="C10" s="79" t="s">
        <v>186</v>
      </c>
      <c r="D10" s="76" t="s">
        <v>157</v>
      </c>
      <c r="E10" s="339" t="s">
        <v>187</v>
      </c>
      <c r="F10" s="341"/>
      <c r="G10" s="79" t="s">
        <v>188</v>
      </c>
      <c r="H10" s="79" t="s">
        <v>35</v>
      </c>
      <c r="I10" s="79" t="s">
        <v>189</v>
      </c>
      <c r="J10" s="76" t="s">
        <v>273</v>
      </c>
      <c r="K10" s="339" t="s">
        <v>34</v>
      </c>
      <c r="L10" s="341"/>
      <c r="M10" s="76" t="s">
        <v>36</v>
      </c>
      <c r="N10" s="76" t="s">
        <v>190</v>
      </c>
      <c r="O10" s="49" t="s">
        <v>39</v>
      </c>
      <c r="P10" s="49" t="s">
        <v>77</v>
      </c>
      <c r="Q10" s="49" t="s">
        <v>191</v>
      </c>
      <c r="R10" s="80" t="s">
        <v>192</v>
      </c>
      <c r="S10" s="81"/>
      <c r="T10" s="81"/>
      <c r="U10" s="81"/>
      <c r="V10" s="81"/>
      <c r="W10" s="81"/>
      <c r="X10" s="82"/>
      <c r="Y10" s="82"/>
      <c r="Z10" s="83"/>
      <c r="AA10" s="39" t="s">
        <v>193</v>
      </c>
      <c r="AB10" s="39" t="s">
        <v>158</v>
      </c>
      <c r="AC10" s="138">
        <v>7</v>
      </c>
      <c r="AD10" s="139" t="e">
        <f t="shared" si="0"/>
        <v>#REF!</v>
      </c>
      <c r="AE10" s="142" t="e">
        <f t="shared" si="1"/>
        <v>#REF!</v>
      </c>
      <c r="AF10" s="370"/>
      <c r="AG10" s="62"/>
      <c r="AH10" s="63"/>
      <c r="AI10" s="60"/>
    </row>
    <row r="11" spans="1:35" ht="18" customHeight="1">
      <c r="A11" s="39">
        <v>1</v>
      </c>
      <c r="B11" s="84"/>
      <c r="C11" s="72"/>
      <c r="D11" s="72"/>
      <c r="E11" s="72"/>
      <c r="F11" s="72"/>
      <c r="G11" s="72"/>
      <c r="H11" s="85" t="str">
        <f t="shared" ref="H11:H22" si="2">IF(C11="","",ROUND((B11-($H$4-280))/7,1))</f>
        <v/>
      </c>
      <c r="I11" s="72"/>
      <c r="J11" s="56"/>
      <c r="K11" s="336"/>
      <c r="L11" s="337"/>
      <c r="M11" s="56"/>
      <c r="N11" s="56"/>
      <c r="O11" s="55"/>
      <c r="P11" s="70" t="str">
        <f>IF(N11="","",CONCATENATE(pesoH_4C(K11,M11,N11,O11)," g"))</f>
        <v/>
      </c>
      <c r="Q11" s="70" t="str">
        <f t="shared" ref="Q11:Q22" si="3">IF(O11="","",CONCATENATE(INT(6.18+(0.59*O11))," cm"))</f>
        <v/>
      </c>
      <c r="R11" s="62"/>
      <c r="S11" s="63"/>
      <c r="T11" s="63"/>
      <c r="U11" s="63"/>
      <c r="V11" s="63"/>
      <c r="W11" s="63"/>
      <c r="X11" s="63"/>
      <c r="Y11" s="63"/>
      <c r="Z11" s="86"/>
      <c r="AA11" s="39" t="e">
        <f>peso_IG(H11,50)</f>
        <v>#VALUE!</v>
      </c>
      <c r="AB11" s="39">
        <f>pesoH_4C(K11,M11,N11,O11)</f>
        <v>23</v>
      </c>
      <c r="AC11" s="138">
        <v>8</v>
      </c>
      <c r="AD11" s="139" t="e">
        <f t="shared" si="0"/>
        <v>#REF!</v>
      </c>
      <c r="AE11" s="142" t="e">
        <f t="shared" si="1"/>
        <v>#REF!</v>
      </c>
      <c r="AF11" s="371"/>
      <c r="AG11" s="62"/>
      <c r="AH11" s="63"/>
      <c r="AI11" s="60"/>
    </row>
    <row r="12" spans="1:35" ht="18" customHeight="1">
      <c r="A12" s="39">
        <v>2</v>
      </c>
      <c r="B12" s="84"/>
      <c r="C12" s="72"/>
      <c r="D12" s="72"/>
      <c r="E12" s="72"/>
      <c r="F12" s="72"/>
      <c r="G12" s="72"/>
      <c r="H12" s="72" t="str">
        <f t="shared" si="2"/>
        <v/>
      </c>
      <c r="I12" s="72"/>
      <c r="J12" s="56"/>
      <c r="K12" s="336"/>
      <c r="L12" s="337"/>
      <c r="M12" s="56"/>
      <c r="N12" s="56"/>
      <c r="O12" s="55"/>
      <c r="P12" s="70" t="str">
        <f>IF(N12="","",CONCATENATE(pesoH_4C(K12,M12,N12,O12)," g"))</f>
        <v/>
      </c>
      <c r="Q12" s="70" t="str">
        <f t="shared" si="3"/>
        <v/>
      </c>
      <c r="R12" s="62"/>
      <c r="S12" s="63"/>
      <c r="T12" s="63"/>
      <c r="U12" s="63"/>
      <c r="V12" s="63"/>
      <c r="W12" s="63"/>
      <c r="X12" s="87"/>
      <c r="Y12" s="87"/>
      <c r="Z12" s="86"/>
      <c r="AC12" s="138">
        <v>9</v>
      </c>
      <c r="AD12" s="139" t="e">
        <f t="shared" si="0"/>
        <v>#REF!</v>
      </c>
      <c r="AE12" s="140" t="e">
        <f t="shared" si="1"/>
        <v>#REF!</v>
      </c>
      <c r="AF12" s="125"/>
      <c r="AG12" s="62"/>
      <c r="AH12" s="63"/>
      <c r="AI12" s="60"/>
    </row>
    <row r="13" spans="1:35" ht="18" customHeight="1">
      <c r="A13" s="39">
        <v>3</v>
      </c>
      <c r="B13" s="88"/>
      <c r="C13" s="72"/>
      <c r="D13" s="72"/>
      <c r="E13" s="72"/>
      <c r="F13" s="72"/>
      <c r="G13" s="72"/>
      <c r="H13" s="72" t="str">
        <f t="shared" si="2"/>
        <v/>
      </c>
      <c r="I13" s="72"/>
      <c r="J13" s="56"/>
      <c r="K13" s="336"/>
      <c r="L13" s="337"/>
      <c r="M13" s="56"/>
      <c r="N13" s="56"/>
      <c r="O13" s="55"/>
      <c r="P13" s="70" t="str">
        <f>IF(N13="","",CONCATENATE(pesoH_4C(K13,M13,N13,O13)," g"))</f>
        <v/>
      </c>
      <c r="Q13" s="70" t="str">
        <f t="shared" si="3"/>
        <v/>
      </c>
      <c r="R13" s="62"/>
      <c r="S13" s="63"/>
      <c r="T13" s="63"/>
      <c r="U13" s="63"/>
      <c r="V13" s="63"/>
      <c r="W13" s="63"/>
      <c r="X13" s="63"/>
      <c r="Y13" s="63"/>
      <c r="Z13" s="86"/>
      <c r="AC13" s="138">
        <v>10</v>
      </c>
      <c r="AD13" s="139" t="e">
        <f t="shared" si="0"/>
        <v>#REF!</v>
      </c>
      <c r="AE13" s="140" t="e">
        <f t="shared" si="1"/>
        <v>#REF!</v>
      </c>
      <c r="AF13" s="96"/>
      <c r="AG13" s="62"/>
      <c r="AH13" s="63"/>
      <c r="AI13" s="60"/>
    </row>
    <row r="14" spans="1:35" ht="18" customHeight="1">
      <c r="A14" s="39">
        <v>4</v>
      </c>
      <c r="B14" s="88"/>
      <c r="C14" s="72"/>
      <c r="D14" s="72"/>
      <c r="E14" s="72"/>
      <c r="F14" s="72"/>
      <c r="G14" s="72"/>
      <c r="H14" s="72" t="str">
        <f t="shared" si="2"/>
        <v/>
      </c>
      <c r="I14" s="72"/>
      <c r="J14" s="56"/>
      <c r="K14" s="336"/>
      <c r="L14" s="337"/>
      <c r="M14" s="56"/>
      <c r="N14" s="56"/>
      <c r="O14" s="55"/>
      <c r="P14" s="70" t="str">
        <f>IF(N14="","",CONCATENATE(pesoH_4C(K14,M14,N14,O14)," g"))</f>
        <v/>
      </c>
      <c r="Q14" s="70" t="str">
        <f t="shared" si="3"/>
        <v/>
      </c>
      <c r="R14" s="62"/>
      <c r="S14" s="63"/>
      <c r="T14" s="63"/>
      <c r="U14" s="63"/>
      <c r="V14" s="63"/>
      <c r="W14" s="63"/>
      <c r="X14" s="63"/>
      <c r="Y14" s="63"/>
      <c r="Z14" s="86"/>
      <c r="AC14" s="138">
        <v>11</v>
      </c>
      <c r="AD14" s="139" t="e">
        <f t="shared" si="0"/>
        <v>#REF!</v>
      </c>
      <c r="AE14" s="143" t="e">
        <f t="shared" si="1"/>
        <v>#REF!</v>
      </c>
      <c r="AF14" s="372" t="s">
        <v>225</v>
      </c>
      <c r="AG14" s="62" t="s">
        <v>226</v>
      </c>
      <c r="AH14" s="63"/>
      <c r="AI14" s="60"/>
    </row>
    <row r="15" spans="1:35" ht="18" customHeight="1">
      <c r="A15" s="39">
        <v>5</v>
      </c>
      <c r="B15" s="88"/>
      <c r="C15" s="72"/>
      <c r="D15" s="72"/>
      <c r="E15" s="72"/>
      <c r="F15" s="72"/>
      <c r="G15" s="72"/>
      <c r="H15" s="72" t="str">
        <f t="shared" si="2"/>
        <v/>
      </c>
      <c r="I15" s="72"/>
      <c r="J15" s="56"/>
      <c r="K15" s="336"/>
      <c r="L15" s="337"/>
      <c r="M15" s="56"/>
      <c r="N15" s="56"/>
      <c r="O15" s="55"/>
      <c r="P15" s="70" t="str">
        <f>IF(N15="","",CONCATENATE(pesoH_4C(K15,M15,N15,O15)," g"))</f>
        <v/>
      </c>
      <c r="Q15" s="70" t="str">
        <f t="shared" si="3"/>
        <v/>
      </c>
      <c r="R15" s="62"/>
      <c r="S15" s="63"/>
      <c r="T15" s="63"/>
      <c r="U15" s="63"/>
      <c r="V15" s="63"/>
      <c r="W15" s="63"/>
      <c r="X15" s="63"/>
      <c r="Y15" s="63"/>
      <c r="Z15" s="86"/>
      <c r="AC15" s="138">
        <v>12</v>
      </c>
      <c r="AD15" s="139" t="e">
        <f t="shared" si="0"/>
        <v>#REF!</v>
      </c>
      <c r="AE15" s="143" t="e">
        <f t="shared" si="1"/>
        <v>#REF!</v>
      </c>
      <c r="AF15" s="373"/>
      <c r="AG15" s="62"/>
      <c r="AH15" s="63"/>
      <c r="AI15" s="60"/>
    </row>
    <row r="16" spans="1:35" ht="18" customHeight="1">
      <c r="A16" s="39">
        <v>6</v>
      </c>
      <c r="B16" s="88"/>
      <c r="C16" s="72"/>
      <c r="D16" s="72"/>
      <c r="E16" s="72"/>
      <c r="F16" s="72"/>
      <c r="G16" s="72"/>
      <c r="H16" s="72" t="str">
        <f t="shared" si="2"/>
        <v/>
      </c>
      <c r="I16" s="72"/>
      <c r="J16" s="56"/>
      <c r="K16" s="336"/>
      <c r="L16" s="337"/>
      <c r="M16" s="56"/>
      <c r="N16" s="56"/>
      <c r="O16" s="55"/>
      <c r="P16" s="70" t="str">
        <f>IF(N16="","",CONCATENATE(pesoH_4C(K16,M16,N16,O16)," g"))</f>
        <v/>
      </c>
      <c r="Q16" s="70" t="str">
        <f t="shared" si="3"/>
        <v/>
      </c>
      <c r="R16" s="62"/>
      <c r="S16" s="63"/>
      <c r="T16" s="63"/>
      <c r="U16" s="63"/>
      <c r="V16" s="63"/>
      <c r="W16" s="63"/>
      <c r="X16" s="63"/>
      <c r="Y16" s="63"/>
      <c r="Z16" s="86"/>
      <c r="AC16" s="138">
        <v>13</v>
      </c>
      <c r="AD16" s="139" t="e">
        <f t="shared" si="0"/>
        <v>#REF!</v>
      </c>
      <c r="AE16" s="143" t="e">
        <f t="shared" si="1"/>
        <v>#REF!</v>
      </c>
      <c r="AF16" s="373"/>
      <c r="AG16" s="62"/>
      <c r="AH16" s="63"/>
      <c r="AI16" s="60"/>
    </row>
    <row r="17" spans="1:45" ht="18" customHeight="1">
      <c r="A17" s="39">
        <v>7</v>
      </c>
      <c r="B17" s="88"/>
      <c r="C17" s="72"/>
      <c r="D17" s="72"/>
      <c r="E17" s="72"/>
      <c r="F17" s="72"/>
      <c r="G17" s="72"/>
      <c r="H17" s="72" t="str">
        <f t="shared" si="2"/>
        <v/>
      </c>
      <c r="I17" s="72"/>
      <c r="J17" s="56"/>
      <c r="K17" s="336"/>
      <c r="L17" s="337"/>
      <c r="M17" s="56"/>
      <c r="N17" s="56"/>
      <c r="O17" s="55"/>
      <c r="P17" s="70" t="str">
        <f>IF(N17="","",CONCATENATE(pesoH_4C(K17,M17,N17,O17)," g"))</f>
        <v/>
      </c>
      <c r="Q17" s="70" t="str">
        <f t="shared" si="3"/>
        <v/>
      </c>
      <c r="R17" s="62"/>
      <c r="S17" s="63"/>
      <c r="T17" s="63"/>
      <c r="U17" s="63"/>
      <c r="V17" s="63"/>
      <c r="W17" s="63"/>
      <c r="X17" s="63"/>
      <c r="Y17" s="63"/>
      <c r="Z17" s="86"/>
      <c r="AC17" s="138">
        <v>14</v>
      </c>
      <c r="AD17" s="139" t="e">
        <f t="shared" si="0"/>
        <v>#REF!</v>
      </c>
      <c r="AE17" s="143" t="e">
        <f t="shared" si="1"/>
        <v>#REF!</v>
      </c>
      <c r="AF17" s="374"/>
      <c r="AG17" s="62"/>
      <c r="AH17" s="63"/>
      <c r="AI17" s="60"/>
      <c r="AO17" s="144"/>
      <c r="AP17" s="144"/>
      <c r="AQ17" s="144"/>
      <c r="AR17" s="144"/>
      <c r="AS17" s="145"/>
    </row>
    <row r="18" spans="1:45" ht="18" customHeight="1">
      <c r="A18" s="39">
        <v>8</v>
      </c>
      <c r="B18" s="88"/>
      <c r="C18" s="72"/>
      <c r="D18" s="72"/>
      <c r="E18" s="72"/>
      <c r="F18" s="72"/>
      <c r="G18" s="72"/>
      <c r="H18" s="72" t="str">
        <f t="shared" si="2"/>
        <v/>
      </c>
      <c r="I18" s="72"/>
      <c r="J18" s="56"/>
      <c r="K18" s="336"/>
      <c r="L18" s="337"/>
      <c r="M18" s="56"/>
      <c r="N18" s="56"/>
      <c r="O18" s="55"/>
      <c r="P18" s="70" t="str">
        <f>IF(N18="","",CONCATENATE(pesoH_4C(K18,M18,N18,O18)," g"))</f>
        <v/>
      </c>
      <c r="Q18" s="70" t="str">
        <f t="shared" si="3"/>
        <v/>
      </c>
      <c r="R18" s="62"/>
      <c r="S18" s="63"/>
      <c r="T18" s="63"/>
      <c r="U18" s="63"/>
      <c r="V18" s="63"/>
      <c r="W18" s="63"/>
      <c r="X18" s="63"/>
      <c r="Y18" s="63"/>
      <c r="Z18" s="86"/>
      <c r="AC18" s="138">
        <v>15</v>
      </c>
      <c r="AD18" s="139" t="e">
        <f t="shared" si="0"/>
        <v>#REF!</v>
      </c>
      <c r="AE18" s="140" t="e">
        <f t="shared" si="1"/>
        <v>#REF!</v>
      </c>
      <c r="AF18" s="125"/>
      <c r="AG18" s="62"/>
      <c r="AH18" s="63"/>
      <c r="AI18" s="60"/>
      <c r="AO18" s="144"/>
      <c r="AS18" s="145"/>
    </row>
    <row r="19" spans="1:45" ht="18" customHeight="1">
      <c r="A19" s="39">
        <v>9</v>
      </c>
      <c r="B19" s="88"/>
      <c r="C19" s="72"/>
      <c r="D19" s="72"/>
      <c r="E19" s="72"/>
      <c r="F19" s="72"/>
      <c r="G19" s="72"/>
      <c r="H19" s="72" t="str">
        <f t="shared" si="2"/>
        <v/>
      </c>
      <c r="I19" s="72"/>
      <c r="J19" s="56"/>
      <c r="K19" s="336"/>
      <c r="L19" s="337"/>
      <c r="M19" s="56"/>
      <c r="N19" s="56"/>
      <c r="O19" s="55"/>
      <c r="P19" s="70" t="str">
        <f>IF(N19="","",CONCATENATE(pesoH_4C(K19,M19,N19,O19)," g"))</f>
        <v/>
      </c>
      <c r="Q19" s="70" t="str">
        <f t="shared" si="3"/>
        <v/>
      </c>
      <c r="R19" s="62"/>
      <c r="S19" s="63"/>
      <c r="T19" s="63"/>
      <c r="U19" s="63"/>
      <c r="V19" s="63"/>
      <c r="W19" s="63"/>
      <c r="X19" s="63"/>
      <c r="Y19" s="63"/>
      <c r="Z19" s="86"/>
      <c r="AC19" s="138">
        <v>16</v>
      </c>
      <c r="AD19" s="139" t="e">
        <f t="shared" si="0"/>
        <v>#REF!</v>
      </c>
      <c r="AE19" s="140" t="e">
        <f t="shared" si="1"/>
        <v>#REF!</v>
      </c>
      <c r="AF19" s="141"/>
      <c r="AG19" s="62" t="s">
        <v>227</v>
      </c>
      <c r="AH19" s="63"/>
      <c r="AI19" s="60"/>
      <c r="AO19" s="144"/>
      <c r="AS19" s="145"/>
    </row>
    <row r="20" spans="1:45" ht="18" customHeight="1">
      <c r="A20" s="39">
        <v>10</v>
      </c>
      <c r="B20" s="88"/>
      <c r="C20" s="72"/>
      <c r="D20" s="72"/>
      <c r="E20" s="72"/>
      <c r="F20" s="72"/>
      <c r="G20" s="72"/>
      <c r="H20" s="72" t="str">
        <f t="shared" si="2"/>
        <v/>
      </c>
      <c r="I20" s="72"/>
      <c r="J20" s="56"/>
      <c r="K20" s="336"/>
      <c r="L20" s="337"/>
      <c r="M20" s="56"/>
      <c r="N20" s="56"/>
      <c r="O20" s="55"/>
      <c r="P20" s="70" t="str">
        <f>IF(N20="","",CONCATENATE(pesoH_4C(K20,M20,N20,O20)," g"))</f>
        <v/>
      </c>
      <c r="Q20" s="70" t="str">
        <f t="shared" si="3"/>
        <v/>
      </c>
      <c r="R20" s="62"/>
      <c r="S20" s="63"/>
      <c r="T20" s="63"/>
      <c r="U20" s="63"/>
      <c r="V20" s="63"/>
      <c r="W20" s="63"/>
      <c r="X20" s="63"/>
      <c r="Y20" s="63"/>
      <c r="Z20" s="86"/>
      <c r="AC20" s="138">
        <v>17</v>
      </c>
      <c r="AD20" s="139" t="e">
        <f t="shared" si="0"/>
        <v>#REF!</v>
      </c>
      <c r="AE20" s="140" t="e">
        <f t="shared" si="1"/>
        <v>#REF!</v>
      </c>
      <c r="AF20" s="141"/>
      <c r="AG20" s="62" t="s">
        <v>228</v>
      </c>
      <c r="AH20" s="63"/>
      <c r="AI20" s="60"/>
      <c r="AO20" s="144"/>
      <c r="AS20" s="145"/>
    </row>
    <row r="21" spans="1:45" ht="18" customHeight="1">
      <c r="A21" s="39">
        <v>11</v>
      </c>
      <c r="B21" s="88"/>
      <c r="C21" s="72"/>
      <c r="D21" s="72"/>
      <c r="E21" s="72"/>
      <c r="F21" s="72"/>
      <c r="G21" s="72"/>
      <c r="H21" s="72" t="str">
        <f t="shared" si="2"/>
        <v/>
      </c>
      <c r="I21" s="72"/>
      <c r="J21" s="56"/>
      <c r="K21" s="336"/>
      <c r="L21" s="337"/>
      <c r="M21" s="56"/>
      <c r="N21" s="56"/>
      <c r="O21" s="55"/>
      <c r="P21" s="70" t="str">
        <f>IF(N21="","",CONCATENATE(pesoH_4C(K21,M21,N21,O21)," g"))</f>
        <v/>
      </c>
      <c r="Q21" s="70" t="str">
        <f t="shared" si="3"/>
        <v/>
      </c>
      <c r="R21" s="62"/>
      <c r="S21" s="63"/>
      <c r="T21" s="63"/>
      <c r="U21" s="63"/>
      <c r="V21" s="63"/>
      <c r="W21" s="63"/>
      <c r="X21" s="63"/>
      <c r="Y21" s="63"/>
      <c r="Z21" s="86"/>
      <c r="AC21" s="138">
        <v>18</v>
      </c>
      <c r="AD21" s="139" t="e">
        <f t="shared" si="0"/>
        <v>#REF!</v>
      </c>
      <c r="AE21" s="140" t="e">
        <f t="shared" si="1"/>
        <v>#REF!</v>
      </c>
      <c r="AF21" s="141"/>
      <c r="AG21" s="62"/>
      <c r="AH21" s="63"/>
      <c r="AI21" s="60"/>
      <c r="AO21" s="145"/>
      <c r="AS21" s="145"/>
    </row>
    <row r="22" spans="1:45" ht="18" customHeight="1">
      <c r="A22" s="39">
        <v>12</v>
      </c>
      <c r="B22" s="88"/>
      <c r="C22" s="72"/>
      <c r="D22" s="72"/>
      <c r="E22" s="72"/>
      <c r="F22" s="72"/>
      <c r="G22" s="72"/>
      <c r="H22" s="72" t="str">
        <f t="shared" si="2"/>
        <v/>
      </c>
      <c r="I22" s="72"/>
      <c r="J22" s="56"/>
      <c r="K22" s="336"/>
      <c r="L22" s="337"/>
      <c r="M22" s="56"/>
      <c r="N22" s="56"/>
      <c r="O22" s="55"/>
      <c r="P22" s="70" t="str">
        <f>IF(N22="","",CONCATENATE(pesoH_4C(K22,M22,N22,O22)," g"))</f>
        <v/>
      </c>
      <c r="Q22" s="70" t="str">
        <f t="shared" si="3"/>
        <v/>
      </c>
      <c r="R22" s="62"/>
      <c r="S22" s="63"/>
      <c r="T22" s="63"/>
      <c r="U22" s="63"/>
      <c r="V22" s="63"/>
      <c r="W22" s="63"/>
      <c r="X22" s="63"/>
      <c r="Y22" s="63"/>
      <c r="Z22" s="86"/>
      <c r="AC22" s="138">
        <v>19</v>
      </c>
      <c r="AD22" s="139" t="e">
        <f t="shared" si="0"/>
        <v>#REF!</v>
      </c>
      <c r="AE22" s="140" t="e">
        <f>#REF!-7</f>
        <v>#REF!</v>
      </c>
      <c r="AF22" s="96"/>
      <c r="AG22" s="62"/>
      <c r="AH22" s="63"/>
      <c r="AI22" s="60"/>
      <c r="AO22" s="145"/>
      <c r="AS22" s="145"/>
    </row>
    <row r="23" spans="1:45" ht="18" customHeight="1">
      <c r="A23" s="39">
        <v>13</v>
      </c>
      <c r="B23" s="88"/>
      <c r="C23" s="72"/>
      <c r="D23" s="72"/>
      <c r="E23" s="72"/>
      <c r="F23" s="72"/>
      <c r="G23" s="72"/>
      <c r="H23" s="72"/>
      <c r="I23" s="72"/>
      <c r="J23" s="56"/>
      <c r="K23" s="56"/>
      <c r="L23" s="190"/>
      <c r="M23" s="56"/>
      <c r="N23" s="56"/>
      <c r="O23" s="55"/>
      <c r="P23" s="70"/>
      <c r="Q23" s="70"/>
      <c r="R23" s="62"/>
      <c r="S23" s="63"/>
      <c r="T23" s="63"/>
      <c r="U23" s="63"/>
      <c r="V23" s="63"/>
      <c r="W23" s="63"/>
      <c r="X23" s="63"/>
      <c r="Y23" s="63"/>
      <c r="Z23" s="86"/>
      <c r="AC23" s="138"/>
      <c r="AD23" s="139"/>
      <c r="AE23" s="140"/>
      <c r="AF23" s="141"/>
      <c r="AG23" s="62"/>
      <c r="AH23" s="63"/>
      <c r="AI23" s="60"/>
      <c r="AO23" s="145"/>
      <c r="AS23" s="145"/>
    </row>
    <row r="24" spans="1:45" ht="18" customHeight="1">
      <c r="A24" s="39">
        <v>14</v>
      </c>
      <c r="B24" s="88"/>
      <c r="C24" s="72"/>
      <c r="D24" s="72"/>
      <c r="E24" s="72"/>
      <c r="F24" s="72"/>
      <c r="G24" s="72"/>
      <c r="H24" s="72"/>
      <c r="I24" s="72"/>
      <c r="J24" s="56"/>
      <c r="K24" s="56"/>
      <c r="L24" s="190"/>
      <c r="M24" s="56"/>
      <c r="N24" s="56"/>
      <c r="O24" s="55"/>
      <c r="P24" s="70"/>
      <c r="Q24" s="70"/>
      <c r="R24" s="62"/>
      <c r="S24" s="63"/>
      <c r="T24" s="63"/>
      <c r="U24" s="63"/>
      <c r="V24" s="63"/>
      <c r="W24" s="63"/>
      <c r="X24" s="63"/>
      <c r="Y24" s="63"/>
      <c r="Z24" s="86"/>
      <c r="AC24" s="138"/>
      <c r="AD24" s="139"/>
      <c r="AE24" s="140"/>
      <c r="AF24" s="141"/>
      <c r="AG24" s="62"/>
      <c r="AH24" s="63"/>
      <c r="AI24" s="60"/>
      <c r="AO24" s="145"/>
      <c r="AS24" s="145"/>
    </row>
    <row r="25" spans="1:45" ht="18" customHeight="1">
      <c r="A25" s="39">
        <v>15</v>
      </c>
      <c r="B25" s="88"/>
      <c r="C25" s="72"/>
      <c r="D25" s="72"/>
      <c r="E25" s="72"/>
      <c r="F25" s="72"/>
      <c r="G25" s="72"/>
      <c r="H25" s="72"/>
      <c r="I25" s="72"/>
      <c r="J25" s="56"/>
      <c r="K25" s="56"/>
      <c r="L25" s="190"/>
      <c r="M25" s="56"/>
      <c r="N25" s="56"/>
      <c r="O25" s="55"/>
      <c r="P25" s="70"/>
      <c r="Q25" s="70"/>
      <c r="R25" s="62"/>
      <c r="S25" s="63"/>
      <c r="T25" s="63"/>
      <c r="U25" s="63"/>
      <c r="V25" s="63"/>
      <c r="W25" s="63"/>
      <c r="X25" s="63"/>
      <c r="Y25" s="63"/>
      <c r="Z25" s="86"/>
      <c r="AC25" s="138"/>
      <c r="AD25" s="139"/>
      <c r="AE25" s="140"/>
      <c r="AF25" s="141"/>
      <c r="AG25" s="62"/>
      <c r="AH25" s="63"/>
      <c r="AI25" s="60"/>
      <c r="AO25" s="145"/>
      <c r="AS25" s="145"/>
    </row>
    <row r="26" spans="1:45" ht="18" customHeight="1">
      <c r="A26" s="39">
        <v>16</v>
      </c>
      <c r="B26" s="88"/>
      <c r="C26" s="72"/>
      <c r="D26" s="72"/>
      <c r="E26" s="72"/>
      <c r="F26" s="72"/>
      <c r="G26" s="72"/>
      <c r="H26" s="72"/>
      <c r="I26" s="72"/>
      <c r="J26" s="56"/>
      <c r="K26" s="56"/>
      <c r="L26" s="190"/>
      <c r="M26" s="56"/>
      <c r="N26" s="56"/>
      <c r="O26" s="55"/>
      <c r="P26" s="70"/>
      <c r="Q26" s="70"/>
      <c r="R26" s="62"/>
      <c r="S26" s="63"/>
      <c r="T26" s="63"/>
      <c r="U26" s="63"/>
      <c r="V26" s="63"/>
      <c r="W26" s="63"/>
      <c r="X26" s="63"/>
      <c r="Y26" s="63"/>
      <c r="Z26" s="86"/>
      <c r="AC26" s="138"/>
      <c r="AD26" s="139"/>
      <c r="AE26" s="140"/>
      <c r="AF26" s="141"/>
      <c r="AG26" s="62"/>
      <c r="AH26" s="63"/>
      <c r="AI26" s="60"/>
      <c r="AO26" s="145"/>
      <c r="AS26" s="145"/>
    </row>
    <row r="27" spans="1:45" ht="3.75" customHeight="1">
      <c r="B27" s="89"/>
      <c r="C27" s="90"/>
      <c r="D27" s="90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55"/>
      <c r="P27" s="70" t="str">
        <f>IF(N27="","",CONCATENATE(pesoH_4C(K27,M27,N27,O27)," g"))</f>
        <v/>
      </c>
      <c r="Q27" s="55"/>
      <c r="R27" s="63"/>
      <c r="S27" s="63"/>
      <c r="T27" s="63"/>
      <c r="U27" s="63"/>
      <c r="V27" s="63"/>
      <c r="W27" s="63"/>
      <c r="X27" s="63"/>
      <c r="Y27" s="63"/>
      <c r="Z27" s="86"/>
      <c r="AC27" s="138">
        <v>21</v>
      </c>
      <c r="AD27" s="139" t="e">
        <f t="shared" ref="AD27:AD46" si="4">9-((_xlfn.DAYS($E$46,AE27)/30))</f>
        <v>#NUM!</v>
      </c>
      <c r="AE27" s="146">
        <f t="shared" si="1"/>
        <v>-133</v>
      </c>
      <c r="AF27" s="375"/>
      <c r="AG27" s="62"/>
      <c r="AH27" s="63"/>
      <c r="AI27" s="60"/>
    </row>
    <row r="28" spans="1:45" ht="18" customHeight="1">
      <c r="B28" s="47" t="s">
        <v>74</v>
      </c>
      <c r="C28" s="91"/>
      <c r="D28" s="192"/>
      <c r="E28" s="352"/>
      <c r="F28" s="337"/>
      <c r="G28" s="55"/>
      <c r="H28" s="55"/>
      <c r="I28" s="92"/>
      <c r="J28" s="92"/>
      <c r="K28" s="353" t="s">
        <v>74</v>
      </c>
      <c r="L28" s="354"/>
      <c r="M28" s="355"/>
      <c r="N28" s="356"/>
      <c r="O28" s="357"/>
      <c r="P28" s="96"/>
      <c r="Q28" s="96"/>
      <c r="R28" s="82" t="s">
        <v>194</v>
      </c>
      <c r="S28" s="82"/>
      <c r="T28" s="61"/>
      <c r="U28" s="77"/>
      <c r="V28" s="61" t="s">
        <v>195</v>
      </c>
      <c r="W28" s="81"/>
      <c r="X28" s="81"/>
      <c r="Y28" s="81"/>
      <c r="Z28" s="83"/>
      <c r="AC28" s="138">
        <v>22</v>
      </c>
      <c r="AD28" s="139" t="e">
        <f t="shared" si="4"/>
        <v>#NUM!</v>
      </c>
      <c r="AE28" s="146">
        <f t="shared" si="1"/>
        <v>-126</v>
      </c>
      <c r="AF28" s="375"/>
      <c r="AG28" s="62"/>
      <c r="AH28" s="63"/>
      <c r="AI28" s="60"/>
    </row>
    <row r="29" spans="1:45" ht="18" customHeight="1">
      <c r="B29" s="47" t="s">
        <v>92</v>
      </c>
      <c r="C29" s="97"/>
      <c r="D29" s="58"/>
      <c r="E29" s="336"/>
      <c r="F29" s="337"/>
      <c r="G29" s="55"/>
      <c r="H29" s="55"/>
      <c r="I29" s="92"/>
      <c r="J29" s="92"/>
      <c r="K29" s="353" t="s">
        <v>103</v>
      </c>
      <c r="L29" s="354"/>
      <c r="M29" s="355"/>
      <c r="N29" s="358"/>
      <c r="O29" s="357"/>
      <c r="P29" s="55"/>
      <c r="Q29" s="55"/>
      <c r="R29" s="82" t="s">
        <v>132</v>
      </c>
      <c r="S29" s="82"/>
      <c r="T29" s="98"/>
      <c r="U29" s="99"/>
      <c r="V29" s="82" t="s">
        <v>196</v>
      </c>
      <c r="W29" s="100"/>
      <c r="X29" s="101" t="s">
        <v>197</v>
      </c>
      <c r="Y29" s="102"/>
      <c r="Z29" s="103" t="str">
        <f>IF(Y29="","",(1/Y29))</f>
        <v/>
      </c>
      <c r="AA29" s="104"/>
      <c r="AC29" s="138">
        <v>23</v>
      </c>
      <c r="AD29" s="139" t="e">
        <f t="shared" si="4"/>
        <v>#NUM!</v>
      </c>
      <c r="AE29" s="146">
        <f t="shared" si="1"/>
        <v>-119</v>
      </c>
      <c r="AF29" s="375"/>
      <c r="AG29" s="62"/>
      <c r="AH29" s="63"/>
      <c r="AI29" s="60"/>
    </row>
    <row r="30" spans="1:45" ht="18" customHeight="1">
      <c r="B30" s="47" t="s">
        <v>198</v>
      </c>
      <c r="C30" s="97"/>
      <c r="D30" s="58"/>
      <c r="E30" s="336"/>
      <c r="F30" s="337"/>
      <c r="G30" s="55"/>
      <c r="H30" s="55"/>
      <c r="I30" s="92"/>
      <c r="J30" s="92"/>
      <c r="K30" s="353" t="s">
        <v>102</v>
      </c>
      <c r="L30" s="354"/>
      <c r="M30" s="355"/>
      <c r="N30" s="358"/>
      <c r="O30" s="357"/>
      <c r="P30" s="55"/>
      <c r="Q30" s="55"/>
      <c r="R30" s="82" t="s">
        <v>199</v>
      </c>
      <c r="S30" s="82"/>
      <c r="T30" s="105"/>
      <c r="U30" s="99"/>
      <c r="V30" s="82" t="s">
        <v>200</v>
      </c>
      <c r="W30" s="100"/>
      <c r="X30" s="101" t="s">
        <v>197</v>
      </c>
      <c r="Y30" s="102"/>
      <c r="Z30" s="103" t="str">
        <f>IF(Y30="","",(1/Y30))</f>
        <v/>
      </c>
      <c r="AC30" s="138">
        <v>24</v>
      </c>
      <c r="AD30" s="139" t="e">
        <f t="shared" si="4"/>
        <v>#NUM!</v>
      </c>
      <c r="AE30" s="146">
        <f t="shared" si="1"/>
        <v>-112</v>
      </c>
      <c r="AF30" s="376"/>
      <c r="AG30" s="62" t="s">
        <v>224</v>
      </c>
      <c r="AH30" s="63"/>
      <c r="AI30" s="60"/>
    </row>
    <row r="31" spans="1:45" ht="18" customHeight="1">
      <c r="B31" s="47" t="s">
        <v>201</v>
      </c>
      <c r="C31" s="97"/>
      <c r="D31" s="58"/>
      <c r="E31" s="336"/>
      <c r="F31" s="337"/>
      <c r="G31" s="55"/>
      <c r="H31" s="55"/>
      <c r="I31" s="92"/>
      <c r="J31" s="92"/>
      <c r="K31" s="353" t="s">
        <v>123</v>
      </c>
      <c r="L31" s="354"/>
      <c r="M31" s="355"/>
      <c r="N31" s="358"/>
      <c r="O31" s="357"/>
      <c r="P31" s="55"/>
      <c r="Q31" s="55"/>
      <c r="R31" s="82" t="s">
        <v>202</v>
      </c>
      <c r="S31" s="82"/>
      <c r="T31" s="98"/>
      <c r="U31" s="99"/>
      <c r="V31" s="82" t="s">
        <v>203</v>
      </c>
      <c r="W31" s="100"/>
      <c r="X31" s="106" t="s">
        <v>197</v>
      </c>
      <c r="Y31" s="107"/>
      <c r="Z31" s="103" t="str">
        <f>IF(Y31="","",(1/Y31))</f>
        <v/>
      </c>
      <c r="AC31" s="138">
        <v>25</v>
      </c>
      <c r="AD31" s="139" t="e">
        <f t="shared" si="4"/>
        <v>#NUM!</v>
      </c>
      <c r="AE31" s="140">
        <f t="shared" si="1"/>
        <v>-105</v>
      </c>
      <c r="AF31" s="125"/>
      <c r="AG31" s="62"/>
      <c r="AH31" s="63"/>
      <c r="AI31" s="60"/>
    </row>
    <row r="32" spans="1:45" ht="18" customHeight="1">
      <c r="B32" s="47" t="s">
        <v>98</v>
      </c>
      <c r="C32" s="97"/>
      <c r="D32" s="58"/>
      <c r="E32" s="336"/>
      <c r="F32" s="337"/>
      <c r="G32" s="55"/>
      <c r="H32" s="55"/>
      <c r="I32" s="92"/>
      <c r="J32" s="92"/>
      <c r="K32" s="353" t="s">
        <v>204</v>
      </c>
      <c r="L32" s="354"/>
      <c r="M32" s="355"/>
      <c r="N32" s="358"/>
      <c r="O32" s="357"/>
      <c r="P32" s="55"/>
      <c r="Q32" s="55"/>
      <c r="R32" s="108"/>
      <c r="S32" s="108"/>
      <c r="T32" s="105"/>
      <c r="U32" s="99"/>
      <c r="V32" s="61" t="s">
        <v>205</v>
      </c>
      <c r="W32" s="100"/>
      <c r="X32" s="109" t="s">
        <v>197</v>
      </c>
      <c r="Y32" s="102"/>
      <c r="Z32" s="103" t="str">
        <f>IF(Y32="","",(1/Y32))</f>
        <v/>
      </c>
      <c r="AC32" s="138">
        <v>26</v>
      </c>
      <c r="AD32" s="139" t="e">
        <f t="shared" si="4"/>
        <v>#NUM!</v>
      </c>
      <c r="AE32" s="140">
        <f t="shared" si="1"/>
        <v>-98</v>
      </c>
      <c r="AF32" s="141"/>
      <c r="AG32" s="62"/>
      <c r="AH32" s="63"/>
      <c r="AI32" s="60"/>
    </row>
    <row r="33" spans="2:45" ht="15.75" thickBot="1">
      <c r="B33" s="47" t="s">
        <v>206</v>
      </c>
      <c r="C33" s="97"/>
      <c r="D33" s="58"/>
      <c r="E33" s="336"/>
      <c r="F33" s="337"/>
      <c r="G33" s="55"/>
      <c r="H33" s="55"/>
      <c r="I33" s="92"/>
      <c r="J33" s="92"/>
      <c r="K33" s="353" t="s">
        <v>207</v>
      </c>
      <c r="L33" s="354"/>
      <c r="M33" s="355"/>
      <c r="N33" s="358"/>
      <c r="O33" s="357"/>
      <c r="P33" s="55"/>
      <c r="Q33" s="55"/>
      <c r="R33" s="108" t="s">
        <v>131</v>
      </c>
      <c r="S33" s="108"/>
      <c r="T33" s="110"/>
      <c r="U33" s="111"/>
      <c r="V33" s="110"/>
      <c r="W33" s="112"/>
      <c r="X33" s="112"/>
      <c r="Y33" s="112"/>
      <c r="Z33" s="113"/>
      <c r="AC33" s="138">
        <v>27</v>
      </c>
      <c r="AD33" s="139" t="e">
        <f t="shared" si="4"/>
        <v>#NUM!</v>
      </c>
      <c r="AE33" s="140">
        <f t="shared" si="1"/>
        <v>-91</v>
      </c>
      <c r="AF33" s="96"/>
      <c r="AG33" s="62"/>
      <c r="AH33" s="63"/>
      <c r="AI33" s="60"/>
    </row>
    <row r="34" spans="2:45" ht="18" customHeight="1">
      <c r="B34" s="47" t="s">
        <v>208</v>
      </c>
      <c r="C34" s="97"/>
      <c r="D34" s="58"/>
      <c r="E34" s="336"/>
      <c r="F34" s="337"/>
      <c r="G34" s="55"/>
      <c r="H34" s="55"/>
      <c r="I34" s="92"/>
      <c r="J34" s="92"/>
      <c r="K34" s="353" t="s">
        <v>209</v>
      </c>
      <c r="L34" s="354"/>
      <c r="M34" s="355"/>
      <c r="N34" s="358"/>
      <c r="O34" s="357"/>
      <c r="P34" s="55"/>
      <c r="Q34" s="62"/>
      <c r="R34" s="114"/>
      <c r="S34" s="115"/>
      <c r="T34" s="116"/>
      <c r="U34" s="117"/>
      <c r="V34" s="116"/>
      <c r="W34" s="116"/>
      <c r="X34" s="116"/>
      <c r="Y34" s="116"/>
      <c r="Z34" s="118"/>
      <c r="AC34" s="138">
        <v>28</v>
      </c>
      <c r="AD34" s="139" t="e">
        <f t="shared" si="4"/>
        <v>#NUM!</v>
      </c>
      <c r="AE34" s="147">
        <f t="shared" si="1"/>
        <v>-84</v>
      </c>
      <c r="AF34" s="364" t="s">
        <v>229</v>
      </c>
      <c r="AG34" s="62"/>
      <c r="AH34" s="63"/>
      <c r="AI34" s="60"/>
      <c r="AO34" s="148" t="s">
        <v>183</v>
      </c>
    </row>
    <row r="35" spans="2:45" ht="18" customHeight="1">
      <c r="B35" s="47" t="s">
        <v>210</v>
      </c>
      <c r="C35" s="97"/>
      <c r="D35" s="58"/>
      <c r="E35" s="336"/>
      <c r="F35" s="337"/>
      <c r="G35" s="55"/>
      <c r="H35" s="55"/>
      <c r="I35" s="92"/>
      <c r="J35" s="92"/>
      <c r="K35" s="353" t="s">
        <v>121</v>
      </c>
      <c r="L35" s="354"/>
      <c r="M35" s="355"/>
      <c r="N35" s="358"/>
      <c r="O35" s="357"/>
      <c r="P35" s="55"/>
      <c r="Q35" s="62"/>
      <c r="R35" s="119"/>
      <c r="S35" s="65"/>
      <c r="T35" s="120"/>
      <c r="U35" s="121"/>
      <c r="V35" s="120"/>
      <c r="W35" s="120"/>
      <c r="X35" s="120"/>
      <c r="Y35" s="120"/>
      <c r="Z35" s="122"/>
      <c r="AC35" s="138">
        <v>29</v>
      </c>
      <c r="AD35" s="139" t="e">
        <f t="shared" si="4"/>
        <v>#NUM!</v>
      </c>
      <c r="AE35" s="147">
        <f t="shared" si="1"/>
        <v>-77</v>
      </c>
      <c r="AF35" s="365"/>
      <c r="AG35" s="62"/>
      <c r="AH35" s="63"/>
      <c r="AI35" s="60"/>
      <c r="AJ35" s="384"/>
      <c r="AK35" s="384"/>
      <c r="AL35" s="384"/>
      <c r="AM35" s="384"/>
      <c r="AN35" s="384"/>
      <c r="AO35" s="378">
        <v>0</v>
      </c>
      <c r="AP35" s="379"/>
      <c r="AQ35" s="379"/>
      <c r="AR35" s="379"/>
      <c r="AS35" s="380"/>
    </row>
    <row r="36" spans="2:45" ht="18" customHeight="1">
      <c r="B36" s="47" t="s">
        <v>99</v>
      </c>
      <c r="C36" s="97"/>
      <c r="D36" s="58"/>
      <c r="E36" s="336"/>
      <c r="F36" s="337"/>
      <c r="G36" s="55"/>
      <c r="H36" s="55"/>
      <c r="I36" s="92"/>
      <c r="J36" s="92"/>
      <c r="K36" s="353" t="s">
        <v>211</v>
      </c>
      <c r="L36" s="354"/>
      <c r="M36" s="355"/>
      <c r="N36" s="358"/>
      <c r="O36" s="357"/>
      <c r="P36" s="55"/>
      <c r="Q36" s="62"/>
      <c r="R36" s="119"/>
      <c r="S36" s="65"/>
      <c r="T36" s="120"/>
      <c r="U36" s="121"/>
      <c r="V36" s="120"/>
      <c r="W36" s="120"/>
      <c r="X36" s="120"/>
      <c r="Y36" s="120"/>
      <c r="Z36" s="122"/>
      <c r="AC36" s="138">
        <v>30</v>
      </c>
      <c r="AD36" s="139" t="e">
        <f t="shared" si="4"/>
        <v>#NUM!</v>
      </c>
      <c r="AE36" s="147">
        <f t="shared" si="1"/>
        <v>-70</v>
      </c>
      <c r="AF36" s="365"/>
      <c r="AG36" s="62"/>
      <c r="AH36" s="63"/>
      <c r="AI36" s="60"/>
      <c r="AO36" s="381"/>
      <c r="AP36" s="382"/>
      <c r="AQ36" s="382"/>
      <c r="AR36" s="382"/>
      <c r="AS36" s="383"/>
    </row>
    <row r="37" spans="2:45" ht="18" customHeight="1">
      <c r="B37" s="123" t="s">
        <v>108</v>
      </c>
      <c r="C37" s="124"/>
      <c r="D37" s="193"/>
      <c r="E37" s="336"/>
      <c r="F37" s="337"/>
      <c r="G37" s="125"/>
      <c r="H37" s="125"/>
      <c r="I37" s="126"/>
      <c r="J37" s="126"/>
      <c r="K37" s="353" t="s">
        <v>212</v>
      </c>
      <c r="L37" s="354"/>
      <c r="M37" s="355"/>
      <c r="N37" s="358"/>
      <c r="O37" s="357"/>
      <c r="P37" s="125"/>
      <c r="Q37" s="110"/>
      <c r="R37" s="127"/>
      <c r="S37" s="65"/>
      <c r="T37" s="120"/>
      <c r="U37" s="121"/>
      <c r="V37" s="120"/>
      <c r="W37" s="120"/>
      <c r="X37" s="120"/>
      <c r="Y37" s="120"/>
      <c r="Z37" s="122"/>
      <c r="AC37" s="138">
        <v>31</v>
      </c>
      <c r="AD37" s="139" t="e">
        <f t="shared" si="4"/>
        <v>#NUM!</v>
      </c>
      <c r="AE37" s="147">
        <f t="shared" si="1"/>
        <v>-63</v>
      </c>
      <c r="AF37" s="365"/>
      <c r="AG37" s="62"/>
      <c r="AH37" s="63"/>
      <c r="AI37" s="60"/>
      <c r="AO37" s="112"/>
    </row>
    <row r="38" spans="2:45" ht="18" customHeight="1">
      <c r="B38" s="123" t="s">
        <v>109</v>
      </c>
      <c r="C38" s="124"/>
      <c r="D38" s="193"/>
      <c r="E38" s="336"/>
      <c r="F38" s="337"/>
      <c r="G38" s="125"/>
      <c r="H38" s="125"/>
      <c r="I38" s="92"/>
      <c r="J38" s="92"/>
      <c r="K38" s="93" t="s">
        <v>213</v>
      </c>
      <c r="L38" s="94"/>
      <c r="M38" s="95"/>
      <c r="N38" s="358"/>
      <c r="O38" s="357"/>
      <c r="P38" s="125"/>
      <c r="Q38" s="110"/>
      <c r="R38" s="127"/>
      <c r="S38" s="65"/>
      <c r="T38" s="120"/>
      <c r="U38" s="121"/>
      <c r="V38" s="120"/>
      <c r="W38" s="120"/>
      <c r="X38" s="120"/>
      <c r="Y38" s="120"/>
      <c r="Z38" s="122"/>
      <c r="AC38" s="138">
        <v>32</v>
      </c>
      <c r="AD38" s="139" t="e">
        <f t="shared" si="4"/>
        <v>#NUM!</v>
      </c>
      <c r="AE38" s="147">
        <f t="shared" si="1"/>
        <v>-56</v>
      </c>
      <c r="AF38" s="366"/>
      <c r="AG38" s="62" t="s">
        <v>226</v>
      </c>
      <c r="AH38" s="63"/>
      <c r="AI38" s="60"/>
      <c r="AJ38" s="385" t="s">
        <v>230</v>
      </c>
      <c r="AK38" s="385"/>
      <c r="AL38" s="385"/>
      <c r="AM38" s="385"/>
      <c r="AN38" s="385"/>
      <c r="AO38" s="148" t="s">
        <v>69</v>
      </c>
    </row>
    <row r="39" spans="2:45" ht="18" customHeight="1">
      <c r="B39" s="123" t="s">
        <v>110</v>
      </c>
      <c r="C39" s="124"/>
      <c r="D39" s="193"/>
      <c r="E39" s="336"/>
      <c r="F39" s="337"/>
      <c r="G39" s="125"/>
      <c r="H39" s="125"/>
      <c r="I39" s="92"/>
      <c r="J39" s="92"/>
      <c r="K39" s="353" t="s">
        <v>88</v>
      </c>
      <c r="L39" s="354"/>
      <c r="M39" s="355"/>
      <c r="N39" s="358"/>
      <c r="O39" s="357"/>
      <c r="P39" s="125"/>
      <c r="Q39" s="110"/>
      <c r="R39" s="127"/>
      <c r="S39" s="65"/>
      <c r="T39" s="120"/>
      <c r="U39" s="121"/>
      <c r="V39" s="120"/>
      <c r="W39" s="120"/>
      <c r="X39" s="120"/>
      <c r="Y39" s="120"/>
      <c r="Z39" s="122"/>
      <c r="AC39" s="138">
        <v>33</v>
      </c>
      <c r="AD39" s="139" t="e">
        <f t="shared" si="4"/>
        <v>#NUM!</v>
      </c>
      <c r="AE39" s="140">
        <f t="shared" si="1"/>
        <v>-49</v>
      </c>
      <c r="AF39" s="125"/>
      <c r="AG39" s="62"/>
      <c r="AH39" s="63"/>
      <c r="AI39" s="60"/>
      <c r="AJ39" s="386" t="s">
        <v>231</v>
      </c>
      <c r="AK39" s="385"/>
      <c r="AL39" s="385"/>
      <c r="AM39" s="385"/>
      <c r="AN39" s="385"/>
      <c r="AO39" s="378"/>
      <c r="AP39" s="379"/>
      <c r="AQ39" s="379"/>
      <c r="AR39" s="379"/>
      <c r="AS39" s="380"/>
    </row>
    <row r="40" spans="2:45" ht="15.75" thickBot="1">
      <c r="B40" s="128" t="s">
        <v>214</v>
      </c>
      <c r="C40" s="129"/>
      <c r="D40" s="194"/>
      <c r="E40" s="359"/>
      <c r="F40" s="360"/>
      <c r="G40" s="130"/>
      <c r="H40" s="130"/>
      <c r="I40" s="131"/>
      <c r="J40" s="131"/>
      <c r="K40" s="361" t="s">
        <v>215</v>
      </c>
      <c r="L40" s="362"/>
      <c r="M40" s="363"/>
      <c r="N40" s="358"/>
      <c r="O40" s="357"/>
      <c r="P40" s="55"/>
      <c r="Q40" s="62"/>
      <c r="R40" s="132"/>
      <c r="S40" s="133"/>
      <c r="T40" s="134"/>
      <c r="U40" s="135"/>
      <c r="V40" s="134"/>
      <c r="W40" s="134"/>
      <c r="X40" s="134"/>
      <c r="Y40" s="134"/>
      <c r="Z40" s="136"/>
      <c r="AC40" s="138">
        <v>34</v>
      </c>
      <c r="AD40" s="139" t="e">
        <f t="shared" si="4"/>
        <v>#NUM!</v>
      </c>
      <c r="AE40" s="140">
        <f t="shared" si="1"/>
        <v>-42</v>
      </c>
      <c r="AF40" s="141"/>
      <c r="AG40" s="62"/>
      <c r="AH40" s="63"/>
      <c r="AI40" s="60"/>
      <c r="AJ40" s="387" t="s">
        <v>232</v>
      </c>
      <c r="AK40" s="388"/>
      <c r="AL40" s="388"/>
      <c r="AM40" s="388"/>
      <c r="AN40" s="389"/>
      <c r="AO40" s="381"/>
      <c r="AP40" s="382"/>
      <c r="AQ40" s="382"/>
      <c r="AR40" s="382"/>
      <c r="AS40" s="383"/>
    </row>
    <row r="41" spans="2:45">
      <c r="AC41" s="138">
        <v>35</v>
      </c>
      <c r="AD41" s="139" t="e">
        <f t="shared" si="4"/>
        <v>#NUM!</v>
      </c>
      <c r="AE41" s="140">
        <f t="shared" si="1"/>
        <v>-35</v>
      </c>
      <c r="AF41" s="141"/>
      <c r="AG41" s="62" t="s">
        <v>226</v>
      </c>
      <c r="AH41" s="63"/>
      <c r="AI41" s="60"/>
    </row>
    <row r="42" spans="2:45">
      <c r="AC42" s="138">
        <v>36</v>
      </c>
      <c r="AD42" s="139" t="e">
        <f t="shared" si="4"/>
        <v>#NUM!</v>
      </c>
      <c r="AE42" s="140">
        <f t="shared" si="1"/>
        <v>-28</v>
      </c>
      <c r="AF42" s="141"/>
      <c r="AG42" s="62"/>
      <c r="AH42" s="63"/>
      <c r="AI42" s="60"/>
      <c r="AK42" s="377" t="s">
        <v>233</v>
      </c>
      <c r="AL42" s="377"/>
      <c r="AM42" s="377"/>
      <c r="AO42" s="148" t="s">
        <v>234</v>
      </c>
    </row>
    <row r="43" spans="2:45">
      <c r="AC43" s="138">
        <v>37</v>
      </c>
      <c r="AD43" s="139" t="e">
        <f t="shared" si="4"/>
        <v>#NUM!</v>
      </c>
      <c r="AE43" s="140">
        <f t="shared" si="1"/>
        <v>-21</v>
      </c>
      <c r="AF43" s="141"/>
      <c r="AG43" s="62" t="s">
        <v>235</v>
      </c>
      <c r="AH43" s="63"/>
      <c r="AI43" s="60"/>
      <c r="AK43" s="377"/>
      <c r="AL43" s="377"/>
      <c r="AM43" s="377"/>
      <c r="AO43" s="378"/>
      <c r="AP43" s="379"/>
      <c r="AQ43" s="379"/>
      <c r="AR43" s="379"/>
      <c r="AS43" s="380"/>
    </row>
    <row r="44" spans="2:45">
      <c r="AC44" s="138">
        <v>38</v>
      </c>
      <c r="AD44" s="139" t="e">
        <f t="shared" si="4"/>
        <v>#NUM!</v>
      </c>
      <c r="AE44" s="140">
        <f t="shared" si="1"/>
        <v>-14</v>
      </c>
      <c r="AF44" s="141"/>
      <c r="AG44" s="62" t="s">
        <v>21</v>
      </c>
      <c r="AH44" s="63"/>
      <c r="AI44" s="60"/>
      <c r="AO44" s="381"/>
      <c r="AP44" s="382"/>
      <c r="AQ44" s="382"/>
      <c r="AR44" s="382"/>
      <c r="AS44" s="383"/>
    </row>
    <row r="45" spans="2:45">
      <c r="AC45" s="138">
        <v>39</v>
      </c>
      <c r="AD45" s="139" t="e">
        <f t="shared" si="4"/>
        <v>#NUM!</v>
      </c>
      <c r="AE45" s="140">
        <f t="shared" si="1"/>
        <v>-7</v>
      </c>
      <c r="AF45" s="141"/>
      <c r="AG45" s="62"/>
      <c r="AH45" s="63"/>
      <c r="AI45" s="60"/>
      <c r="AK45" s="384" t="s">
        <v>236</v>
      </c>
      <c r="AL45" s="384"/>
      <c r="AM45" s="384"/>
    </row>
    <row r="46" spans="2:45">
      <c r="AC46" s="138">
        <v>40</v>
      </c>
      <c r="AD46" s="139">
        <f t="shared" si="4"/>
        <v>9</v>
      </c>
      <c r="AE46" s="140">
        <v>0</v>
      </c>
      <c r="AF46" s="96"/>
      <c r="AG46" s="62" t="s">
        <v>237</v>
      </c>
      <c r="AH46" s="63"/>
      <c r="AI46" s="60"/>
      <c r="AK46" s="145"/>
      <c r="AL46" s="149" t="s">
        <v>238</v>
      </c>
      <c r="AM46" s="145"/>
    </row>
  </sheetData>
  <mergeCells count="80">
    <mergeCell ref="AK42:AM43"/>
    <mergeCell ref="AO43:AS44"/>
    <mergeCell ref="AK45:AM45"/>
    <mergeCell ref="AJ35:AN35"/>
    <mergeCell ref="AO35:AS36"/>
    <mergeCell ref="AJ38:AN38"/>
    <mergeCell ref="AJ39:AN39"/>
    <mergeCell ref="AO39:AS40"/>
    <mergeCell ref="AJ40:AN40"/>
    <mergeCell ref="AC1:AI1"/>
    <mergeCell ref="AG4:AI4"/>
    <mergeCell ref="AF9:AF11"/>
    <mergeCell ref="AF14:AF17"/>
    <mergeCell ref="AF27:AF30"/>
    <mergeCell ref="AF34:AF38"/>
    <mergeCell ref="E38:F38"/>
    <mergeCell ref="N38:O38"/>
    <mergeCell ref="E39:F39"/>
    <mergeCell ref="K39:M39"/>
    <mergeCell ref="N39:O39"/>
    <mergeCell ref="E34:F34"/>
    <mergeCell ref="K34:M34"/>
    <mergeCell ref="N34:O34"/>
    <mergeCell ref="E35:F35"/>
    <mergeCell ref="K35:M35"/>
    <mergeCell ref="N35:O35"/>
    <mergeCell ref="E40:F40"/>
    <mergeCell ref="K40:M40"/>
    <mergeCell ref="N40:O40"/>
    <mergeCell ref="E36:F36"/>
    <mergeCell ref="K36:M36"/>
    <mergeCell ref="N36:O36"/>
    <mergeCell ref="E37:F37"/>
    <mergeCell ref="K37:M37"/>
    <mergeCell ref="N37:O37"/>
    <mergeCell ref="E32:F32"/>
    <mergeCell ref="K32:M32"/>
    <mergeCell ref="N32:O32"/>
    <mergeCell ref="E33:F33"/>
    <mergeCell ref="K33:M33"/>
    <mergeCell ref="N33:O33"/>
    <mergeCell ref="E30:F30"/>
    <mergeCell ref="K30:M30"/>
    <mergeCell ref="N30:O30"/>
    <mergeCell ref="E31:F31"/>
    <mergeCell ref="K31:M31"/>
    <mergeCell ref="N31:O31"/>
    <mergeCell ref="E28:F28"/>
    <mergeCell ref="K28:M28"/>
    <mergeCell ref="N28:O28"/>
    <mergeCell ref="E29:F29"/>
    <mergeCell ref="K29:M29"/>
    <mergeCell ref="N29:O29"/>
    <mergeCell ref="Q4:T4"/>
    <mergeCell ref="K21:L21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H5:I5"/>
    <mergeCell ref="H6:I6"/>
    <mergeCell ref="K22:L22"/>
    <mergeCell ref="X7:Y7"/>
    <mergeCell ref="C9:G9"/>
    <mergeCell ref="H9:Q9"/>
    <mergeCell ref="E10:F10"/>
    <mergeCell ref="K10:L10"/>
    <mergeCell ref="U4:U7"/>
    <mergeCell ref="X4:Y4"/>
    <mergeCell ref="X5:Y5"/>
    <mergeCell ref="X6:Y6"/>
    <mergeCell ref="K11:L11"/>
    <mergeCell ref="C4:E4"/>
    <mergeCell ref="H4:I4"/>
    <mergeCell ref="K4:K7"/>
  </mergeCells>
  <conditionalFormatting sqref="Z16:Z17">
    <cfRule type="colorScale" priority="2">
      <colorScale>
        <cfvo type="min"/>
        <cfvo type="max"/>
        <color rgb="FFF8696B"/>
        <color rgb="FF63BE7B"/>
      </colorScale>
    </cfRule>
  </conditionalFormatting>
  <conditionalFormatting sqref="C7:E7">
    <cfRule type="expression" dxfId="3" priority="1">
      <formula>$E$7="-"</formula>
    </cfRule>
  </conditionalFormatting>
  <hyperlinks>
    <hyperlink ref="AJ40" r:id="rId1" display="cadius4d@hotmail.com" xr:uid="{80BB92E7-8E79-458C-B17E-B77AC3628C57}"/>
  </hyperlinks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81C3F-B560-4539-8B02-CFC2D902CB49}">
  <sheetPr codeName="Planilha5"/>
  <dimension ref="A1:C42"/>
  <sheetViews>
    <sheetView workbookViewId="0">
      <selection activeCell="C25" sqref="C25"/>
    </sheetView>
  </sheetViews>
  <sheetFormatPr defaultRowHeight="15"/>
  <cols>
    <col min="1" max="1" width="19.42578125" customWidth="1"/>
    <col min="2" max="2" width="10.5703125" bestFit="1" customWidth="1"/>
    <col min="3" max="3" width="110.140625" customWidth="1"/>
  </cols>
  <sheetData>
    <row r="1" spans="1:3">
      <c r="A1" s="150" t="s">
        <v>239</v>
      </c>
    </row>
    <row r="3" spans="1:3">
      <c r="A3" s="151" t="s">
        <v>240</v>
      </c>
      <c r="B3" s="152">
        <v>22</v>
      </c>
      <c r="C3" s="151" t="s">
        <v>241</v>
      </c>
    </row>
    <row r="4" spans="1:3">
      <c r="A4" s="151" t="s">
        <v>242</v>
      </c>
      <c r="B4" s="152">
        <v>587</v>
      </c>
      <c r="C4" s="151" t="s">
        <v>243</v>
      </c>
    </row>
    <row r="7" spans="1:3">
      <c r="A7" t="s">
        <v>244</v>
      </c>
    </row>
    <row r="8" spans="1:3" ht="15.75" thickBot="1"/>
    <row r="9" spans="1:3">
      <c r="A9" s="153" t="s">
        <v>245</v>
      </c>
      <c r="B9" s="154"/>
      <c r="C9" s="155"/>
    </row>
    <row r="10" spans="1:3">
      <c r="A10" s="156"/>
      <c r="C10" s="157"/>
    </row>
    <row r="11" spans="1:3">
      <c r="A11" s="158" t="s">
        <v>246</v>
      </c>
      <c r="B11" s="159">
        <f>ROUND((EXP(0.578+0.332*(B3)-0.00354*(B3)^2)),0)</f>
        <v>478</v>
      </c>
      <c r="C11" s="157" t="s">
        <v>247</v>
      </c>
    </row>
    <row r="12" spans="1:3">
      <c r="A12" s="158" t="s">
        <v>248</v>
      </c>
      <c r="B12" s="159">
        <f>ROUND(((B4-B11)/(0.13*B11)),2)</f>
        <v>1.75</v>
      </c>
      <c r="C12" s="157"/>
    </row>
    <row r="13" spans="1:3">
      <c r="A13" s="158" t="s">
        <v>249</v>
      </c>
      <c r="B13" s="160">
        <f>(NORMSDIST(B12)*100)</f>
        <v>95.994084313618288</v>
      </c>
      <c r="C13" s="157"/>
    </row>
    <row r="14" spans="1:3">
      <c r="A14" s="156"/>
      <c r="C14" s="157"/>
    </row>
    <row r="15" spans="1:3">
      <c r="A15" s="161" t="s">
        <v>250</v>
      </c>
      <c r="B15" s="162"/>
      <c r="C15" s="157"/>
    </row>
    <row r="16" spans="1:3">
      <c r="A16" s="163" t="s">
        <v>251</v>
      </c>
      <c r="B16" s="164">
        <f>470.47*B17+3619</f>
        <v>4442.3225000000002</v>
      </c>
      <c r="C16" s="157"/>
    </row>
    <row r="17" spans="1:3" ht="15.75" thickBot="1">
      <c r="A17" s="165" t="s">
        <v>248</v>
      </c>
      <c r="B17" s="166">
        <f>_xlfn.NORM.S.INV(B13/100)</f>
        <v>1.7499999999999998</v>
      </c>
      <c r="C17" s="167"/>
    </row>
    <row r="19" spans="1:3" ht="15.75" thickBot="1"/>
    <row r="20" spans="1:3">
      <c r="A20" s="153" t="s">
        <v>252</v>
      </c>
      <c r="B20" s="168" t="s">
        <v>253</v>
      </c>
      <c r="C20" s="169"/>
    </row>
    <row r="21" spans="1:3">
      <c r="A21" s="156"/>
      <c r="C21" s="157"/>
    </row>
    <row r="22" spans="1:3">
      <c r="A22" s="163" t="s">
        <v>254</v>
      </c>
      <c r="B22" s="164">
        <f>3459.382+156.069*(B3-40)-11.784*(B3-40)^2-0.674*(B3-40)^3</f>
        <v>762.89200000000028</v>
      </c>
      <c r="C22" s="157" t="s">
        <v>255</v>
      </c>
    </row>
    <row r="23" spans="1:3">
      <c r="A23" s="163" t="s">
        <v>256</v>
      </c>
      <c r="B23" s="170">
        <f>SQRTPI(0.5)*(-22.903+0.151*(B22)-0.00001393*(B22)^2)</f>
        <v>105.51197200538461</v>
      </c>
      <c r="C23" s="157" t="s">
        <v>257</v>
      </c>
    </row>
    <row r="24" spans="1:3">
      <c r="A24" s="156"/>
      <c r="C24" s="157"/>
    </row>
    <row r="25" spans="1:3">
      <c r="A25" s="163" t="s">
        <v>248</v>
      </c>
      <c r="B25" s="171">
        <f>(B4-B22)/(B23)</f>
        <v>-1.6670335759720609</v>
      </c>
      <c r="C25" s="157"/>
    </row>
    <row r="26" spans="1:3">
      <c r="A26" s="163" t="s">
        <v>258</v>
      </c>
      <c r="B26" s="170">
        <f>(NORMSDIST(B25)*100)</f>
        <v>4.7753864343340897</v>
      </c>
      <c r="C26" s="157"/>
    </row>
    <row r="27" spans="1:3">
      <c r="A27" s="156"/>
      <c r="C27" s="157"/>
    </row>
    <row r="28" spans="1:3">
      <c r="A28" s="163" t="s">
        <v>259</v>
      </c>
      <c r="B28" s="164">
        <f>3459.4+415.2*B29</f>
        <v>2767.2476592564008</v>
      </c>
      <c r="C28" s="157"/>
    </row>
    <row r="29" spans="1:3" ht="15.75" thickBot="1">
      <c r="A29" s="165" t="s">
        <v>248</v>
      </c>
      <c r="B29" s="166">
        <f>_xlfn.NORM.S.INV(B26/100)</f>
        <v>-1.6670335759720607</v>
      </c>
      <c r="C29" s="167"/>
    </row>
    <row r="32" spans="1:3">
      <c r="A32" s="38"/>
      <c r="C32" s="172"/>
    </row>
    <row r="33" spans="1:3">
      <c r="A33" s="38"/>
    </row>
    <row r="34" spans="1:3">
      <c r="A34" s="38"/>
    </row>
    <row r="35" spans="1:3">
      <c r="A35" s="38"/>
    </row>
    <row r="37" spans="1:3">
      <c r="A37" s="38"/>
    </row>
    <row r="38" spans="1:3">
      <c r="A38" s="38"/>
    </row>
    <row r="39" spans="1:3">
      <c r="A39" s="38"/>
    </row>
    <row r="42" spans="1:3">
      <c r="C42" t="s">
        <v>260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37DFC-893D-4CA5-9318-6445C7BBD7BC}">
  <sheetPr codeName="Planilha6"/>
  <dimension ref="A3:BE55"/>
  <sheetViews>
    <sheetView workbookViewId="0">
      <selection activeCell="G7" sqref="G7"/>
    </sheetView>
  </sheetViews>
  <sheetFormatPr defaultColWidth="8.85546875" defaultRowHeight="15"/>
  <cols>
    <col min="3" max="3" width="5.5703125" customWidth="1"/>
    <col min="4" max="6" width="4.5703125" bestFit="1" customWidth="1"/>
    <col min="7" max="7" width="4.7109375" bestFit="1" customWidth="1"/>
    <col min="8" max="10" width="5.5703125" bestFit="1" customWidth="1"/>
    <col min="11" max="12" width="4.5703125" bestFit="1" customWidth="1"/>
    <col min="15" max="15" width="4.7109375" customWidth="1"/>
    <col min="16" max="16" width="11.140625" customWidth="1"/>
    <col min="17" max="25" width="4.5703125" customWidth="1"/>
    <col min="26" max="26" width="5.140625" customWidth="1"/>
    <col min="27" max="29" width="4.5703125" customWidth="1"/>
    <col min="30" max="30" width="5.140625" customWidth="1"/>
    <col min="31" max="41" width="4.5703125" customWidth="1"/>
    <col min="42" max="42" width="2.140625" customWidth="1"/>
    <col min="43" max="43" width="3.7109375" customWidth="1"/>
    <col min="44" max="44" width="5.28515625" customWidth="1"/>
    <col min="45" max="45" width="4.42578125" customWidth="1"/>
    <col min="46" max="46" width="4.85546875" customWidth="1"/>
    <col min="47" max="47" width="4.140625" customWidth="1"/>
    <col min="48" max="48" width="2.85546875" customWidth="1"/>
    <col min="49" max="49" width="2.5703125" customWidth="1"/>
    <col min="50" max="50" width="3.7109375" customWidth="1"/>
    <col min="51" max="51" width="3.5703125" customWidth="1"/>
    <col min="52" max="52" width="3.7109375" customWidth="1"/>
    <col min="53" max="54" width="3.42578125" customWidth="1"/>
    <col min="55" max="56" width="2.7109375" customWidth="1"/>
    <col min="57" max="57" width="3.28515625" customWidth="1"/>
  </cols>
  <sheetData>
    <row r="3" spans="1:57">
      <c r="C3" s="38" t="s">
        <v>261</v>
      </c>
    </row>
    <row r="4" spans="1:57">
      <c r="C4" s="38" t="s">
        <v>35</v>
      </c>
      <c r="D4" s="173" t="s">
        <v>262</v>
      </c>
      <c r="E4" s="173"/>
      <c r="F4" s="173"/>
      <c r="G4" s="173"/>
      <c r="H4" s="173"/>
      <c r="I4" s="173"/>
      <c r="J4" s="173"/>
      <c r="K4" s="173"/>
      <c r="O4" s="173"/>
      <c r="P4" s="173" t="s">
        <v>263</v>
      </c>
      <c r="Q4" s="173" t="s">
        <v>264</v>
      </c>
      <c r="R4" s="173" t="s">
        <v>265</v>
      </c>
      <c r="S4" s="173"/>
      <c r="T4" s="173"/>
      <c r="U4" s="173"/>
      <c r="V4" s="173" t="s">
        <v>265</v>
      </c>
      <c r="W4" s="173" t="s">
        <v>264</v>
      </c>
      <c r="X4" s="173" t="s">
        <v>265</v>
      </c>
      <c r="Y4" s="173"/>
      <c r="Z4" s="173"/>
      <c r="AA4" s="173"/>
      <c r="AB4" s="173" t="s">
        <v>265</v>
      </c>
      <c r="AC4" s="173" t="s">
        <v>264</v>
      </c>
      <c r="AD4" s="173" t="s">
        <v>265</v>
      </c>
      <c r="AE4" s="173"/>
      <c r="AF4" s="173"/>
      <c r="AG4" s="173"/>
      <c r="AH4" s="173" t="s">
        <v>265</v>
      </c>
      <c r="AI4" s="173" t="s">
        <v>264</v>
      </c>
      <c r="AJ4" s="173" t="s">
        <v>265</v>
      </c>
      <c r="AK4" s="173"/>
      <c r="AL4" s="173"/>
      <c r="AM4" s="173"/>
      <c r="AN4" s="173" t="s">
        <v>265</v>
      </c>
      <c r="AO4" s="173" t="s">
        <v>264</v>
      </c>
      <c r="AP4" s="173"/>
      <c r="AR4" s="38" t="s">
        <v>266</v>
      </c>
    </row>
    <row r="5" spans="1:57">
      <c r="A5" s="174" t="s">
        <v>267</v>
      </c>
      <c r="C5" t="s">
        <v>19</v>
      </c>
      <c r="D5" s="175">
        <v>0.01</v>
      </c>
      <c r="E5" s="175">
        <v>0.03</v>
      </c>
      <c r="F5" s="175">
        <v>0.05</v>
      </c>
      <c r="G5" s="175">
        <v>0.5</v>
      </c>
      <c r="H5" s="175">
        <v>0.95</v>
      </c>
      <c r="I5" s="175">
        <v>0.97</v>
      </c>
      <c r="J5" s="175">
        <v>0.99</v>
      </c>
      <c r="K5" s="173" t="s">
        <v>268</v>
      </c>
      <c r="M5" t="s">
        <v>258</v>
      </c>
      <c r="N5" s="173"/>
      <c r="O5" s="173" t="s">
        <v>269</v>
      </c>
      <c r="P5" s="173" t="s">
        <v>270</v>
      </c>
      <c r="Q5" s="173">
        <v>0.5</v>
      </c>
      <c r="R5" s="173">
        <v>0.5</v>
      </c>
      <c r="S5" s="173">
        <v>1</v>
      </c>
      <c r="T5" s="173">
        <v>0.5</v>
      </c>
      <c r="U5" s="173">
        <v>1</v>
      </c>
      <c r="V5" s="173">
        <v>1</v>
      </c>
      <c r="W5" s="173">
        <v>0.5</v>
      </c>
      <c r="X5" s="173">
        <v>1</v>
      </c>
      <c r="Y5" s="173">
        <v>2</v>
      </c>
      <c r="Z5" s="173">
        <v>0.5</v>
      </c>
      <c r="AA5" s="173">
        <v>2</v>
      </c>
      <c r="AB5" s="173">
        <v>10</v>
      </c>
      <c r="AC5" s="173">
        <v>0.5</v>
      </c>
      <c r="AD5" s="173">
        <v>10</v>
      </c>
      <c r="AE5" s="173">
        <v>2</v>
      </c>
      <c r="AF5" s="173">
        <v>0.5</v>
      </c>
      <c r="AG5" s="173">
        <v>2</v>
      </c>
      <c r="AH5" s="173">
        <v>1</v>
      </c>
      <c r="AI5" s="173">
        <v>0.5</v>
      </c>
      <c r="AJ5" s="173">
        <v>1</v>
      </c>
      <c r="AK5" s="173">
        <v>1</v>
      </c>
      <c r="AL5" s="173">
        <v>0.5</v>
      </c>
      <c r="AM5" s="173">
        <v>1</v>
      </c>
      <c r="AN5" s="173">
        <v>0.5</v>
      </c>
      <c r="AO5" s="173">
        <v>0.5</v>
      </c>
      <c r="AP5" s="173"/>
      <c r="AR5" s="38" t="s">
        <v>269</v>
      </c>
      <c r="AS5" s="38" t="s">
        <v>15</v>
      </c>
      <c r="AT5" s="38" t="s">
        <v>271</v>
      </c>
      <c r="AU5" s="38" t="s">
        <v>15</v>
      </c>
      <c r="AV5" s="38" t="s">
        <v>271</v>
      </c>
      <c r="AW5" s="38" t="s">
        <v>15</v>
      </c>
      <c r="AX5" s="38" t="s">
        <v>271</v>
      </c>
      <c r="AY5" s="38" t="s">
        <v>15</v>
      </c>
      <c r="AZ5" s="38" t="s">
        <v>271</v>
      </c>
      <c r="BA5" s="38" t="s">
        <v>15</v>
      </c>
      <c r="BB5" s="38" t="s">
        <v>271</v>
      </c>
      <c r="BC5" s="38" t="s">
        <v>15</v>
      </c>
      <c r="BD5" s="38" t="s">
        <v>271</v>
      </c>
      <c r="BE5" s="38" t="s">
        <v>15</v>
      </c>
    </row>
    <row r="6" spans="1:57">
      <c r="A6" s="176">
        <v>10</v>
      </c>
      <c r="B6" s="177"/>
      <c r="C6">
        <v>11</v>
      </c>
      <c r="D6" s="178">
        <f>G6+(_xlfn.NORM.S.INV(1/100)*K6)</f>
        <v>10.928490030572227</v>
      </c>
      <c r="E6" s="178">
        <f>G6+(_xlfn.NORM.S.INV(3/100)*K6)</f>
        <v>12.926200340657998</v>
      </c>
      <c r="F6" s="178">
        <f>G6+(_xlfn.NORM.S.INV(5/100)*K6)</f>
        <v>13.984073127630793</v>
      </c>
      <c r="G6" s="178">
        <f>5.60878+0.158369*C6^2-0.00256379*C6^3</f>
        <v>21.359024510000001</v>
      </c>
      <c r="H6" s="178">
        <f>G6+(_xlfn.NORM.S.INV(95/100)*K6)</f>
        <v>28.733975892369202</v>
      </c>
      <c r="I6" s="178">
        <f>G6+(_xlfn.NORM.S.INV(0.97)*K6)</f>
        <v>29.791848679342003</v>
      </c>
      <c r="J6" s="178">
        <f>G6+(_xlfn.NORM.S.INV(0.99)*K6)</f>
        <v>31.789558989427775</v>
      </c>
      <c r="K6" s="178">
        <f>1.98735+0.0136772*C6^3-0.00726264*C6^3*LN(C6)+0.000976253*C6^3*LN(C6)^2</f>
        <v>4.4836520779285038</v>
      </c>
      <c r="M6" s="177">
        <f t="shared" ref="M6:M37" si="0">_xlfn.NORM.DIST(A6,G6,K6,1)*100</f>
        <v>0.56475939477625758</v>
      </c>
      <c r="N6" s="173">
        <f>H6-F6</f>
        <v>14.749902764738408</v>
      </c>
      <c r="O6" s="173">
        <f>C6</f>
        <v>11</v>
      </c>
      <c r="P6" s="173" t="str">
        <f>_xlfn.CONCAT(O6,"s (%",TRUNC(M6,1),")")</f>
        <v>11s (%0,5)</v>
      </c>
      <c r="Q6" s="173">
        <f t="shared" ref="Q6:Q18" si="1">IF(M6="","",IF(M6&lt;1,0.5,0))</f>
        <v>0.5</v>
      </c>
      <c r="R6" s="173">
        <f t="shared" ref="R6:R18" si="2">IF(M6="","",IF(Q6=0,1,0.5))</f>
        <v>0.5</v>
      </c>
      <c r="S6" s="173">
        <f t="shared" ref="S6:S18" si="3">IF(M6="","",IF(AND(M6&gt;=1,M6&lt;3),M6-1,0))</f>
        <v>0</v>
      </c>
      <c r="T6" s="173">
        <f t="shared" ref="T6:T18" si="4">IF(M6="","",IF(AND(M6&gt;=1,M6&lt;3),0.5,0))</f>
        <v>0</v>
      </c>
      <c r="U6" s="173">
        <f t="shared" ref="U6:U18" si="5">IF(M6="","",IF(AND(M6&gt;=1,M6&lt;3),2-S6,2.5))</f>
        <v>2.5</v>
      </c>
      <c r="V6" s="173">
        <f t="shared" ref="V6:V18" si="6">IF(M6="","",IF(AND(M6&gt;=3,M6&lt;5),M6-3,0))</f>
        <v>0</v>
      </c>
      <c r="W6" s="173">
        <f t="shared" ref="W6:W18" si="7">IF(M6="","",IF(AND(M6&gt;=3,M6&lt;5),0.5,0))</f>
        <v>0</v>
      </c>
      <c r="X6" s="173">
        <f t="shared" ref="X6:X18" si="8">IF(M6="","",IF(AND(M6&gt;=3,M6&lt;5),2-V6,2.5))</f>
        <v>2.5</v>
      </c>
      <c r="Y6" s="173">
        <f t="shared" ref="Y6:Y18" si="9">IF(M6="","",IF(AND(M6&gt;=5,M6&lt;10),(M6-5)*0.8,0))</f>
        <v>0</v>
      </c>
      <c r="Z6" s="173">
        <f t="shared" ref="Z6:Z18" si="10">IF(M6="","",IF(AND(M6&gt;=5,M6&lt;10),0.5,0))</f>
        <v>0</v>
      </c>
      <c r="AA6" s="173">
        <f t="shared" ref="AA6:AA18" si="11">IF(M6="","",IF(AND(M6&gt;=5,M6&lt;10),4-Y6,4.5))</f>
        <v>4.5</v>
      </c>
      <c r="AB6" s="173">
        <f t="shared" ref="AB6:AB18" si="12">IF(M6="","",IF(OR(M6&gt;90,M6&lt;10),0,(M6-10)/4))</f>
        <v>0</v>
      </c>
      <c r="AC6" s="173">
        <f t="shared" ref="AC6:AC18" si="13">IF(M6="","",IF(OR(M6&gt;90,M6&lt;10),0,0.5))</f>
        <v>0</v>
      </c>
      <c r="AD6" s="173">
        <f t="shared" ref="AD6:AD18" si="14">IF(M6="","",IF(OR(M6&gt;90,M6&lt;10),20.5,20-AB6))</f>
        <v>20.5</v>
      </c>
      <c r="AE6" s="173">
        <f t="shared" ref="AE6:AE18" si="15">IF(M6="","",IF(AND(M6&lt;=95,M6&gt;90),4-AG6,0))</f>
        <v>0</v>
      </c>
      <c r="AF6" s="173">
        <f t="shared" ref="AF6:AF18" si="16">IF(M6="","",IF(AND(M6&lt;=95,M6&gt;90),0.5,0))</f>
        <v>0</v>
      </c>
      <c r="AG6" s="173">
        <f t="shared" ref="AG6:AG18" si="17">IF(M6="","",IF(AND(M6&lt;=95,M6&gt;90),(95-M6)*0.8,4.5))</f>
        <v>4.5</v>
      </c>
      <c r="AH6" s="173">
        <f t="shared" ref="AH6:AH18" si="18">IF(M6="","",IF(AND(M6&gt;95,M6&lt;=97),M6-95,0))</f>
        <v>0</v>
      </c>
      <c r="AI6" s="173">
        <f t="shared" ref="AI6:AI18" si="19">IF(M6="","",IF(AND(M6&gt;95,M6&lt;=97),0.5,0))</f>
        <v>0</v>
      </c>
      <c r="AJ6" s="173">
        <f t="shared" ref="AJ6:AJ18" si="20">IF(M6="","",IF(AND(M6&gt;95,M6&lt;=97),97-M6,2.5))</f>
        <v>2.5</v>
      </c>
      <c r="AK6" s="173">
        <f t="shared" ref="AK6:AK18" si="21">IF(M6="","",IF(AND(M6&gt;97,M6&lt;=99),2-AM6,0))</f>
        <v>0</v>
      </c>
      <c r="AL6" s="173">
        <f t="shared" ref="AL6:AL18" si="22">IF(M6="","",IF(AND(M6&gt;97,M6&lt;=99),0.5,0))</f>
        <v>0</v>
      </c>
      <c r="AM6" s="173">
        <f t="shared" ref="AM6:AM18" si="23">IF(M6="","",IF(AND(M6&gt;97,M6&lt;=99),99-M6,2.5))</f>
        <v>2.5</v>
      </c>
      <c r="AN6" s="173">
        <f t="shared" ref="AN6:AN18" si="24">IF(M6="","",IF(AO6=0,1,0.5))</f>
        <v>1</v>
      </c>
      <c r="AO6" s="173">
        <f t="shared" ref="AO6:AO18" si="25">IF(M6="","",IF(M6&gt;99,0.5,0))</f>
        <v>0</v>
      </c>
      <c r="AP6" s="173"/>
      <c r="AR6">
        <f>TRUNC(M6,1)</f>
        <v>0.5</v>
      </c>
      <c r="AS6">
        <f t="shared" ref="AS6:AT16" si="26">Q6</f>
        <v>0.5</v>
      </c>
      <c r="AT6">
        <f t="shared" si="26"/>
        <v>0.5</v>
      </c>
      <c r="AU6">
        <f t="shared" ref="AU6:AW16" si="27">V6</f>
        <v>0</v>
      </c>
      <c r="AV6">
        <f t="shared" si="27"/>
        <v>0</v>
      </c>
      <c r="AW6">
        <f t="shared" si="27"/>
        <v>2.5</v>
      </c>
      <c r="AX6">
        <f t="shared" ref="AX6:AZ16" si="28">AB6</f>
        <v>0</v>
      </c>
      <c r="AY6">
        <f t="shared" si="28"/>
        <v>0</v>
      </c>
      <c r="AZ6">
        <f t="shared" si="28"/>
        <v>20.5</v>
      </c>
      <c r="BA6">
        <f>AH6</f>
        <v>0</v>
      </c>
      <c r="BB6">
        <f>AI6</f>
        <v>0</v>
      </c>
      <c r="BC6">
        <f>AJ6</f>
        <v>2.5</v>
      </c>
      <c r="BD6">
        <f>AN6</f>
        <v>1</v>
      </c>
      <c r="BE6">
        <f t="shared" ref="BE6:BE37" si="29">AO6</f>
        <v>0</v>
      </c>
    </row>
    <row r="7" spans="1:57">
      <c r="A7" s="176">
        <v>13.5</v>
      </c>
      <c r="B7" s="177"/>
      <c r="C7">
        <v>12</v>
      </c>
      <c r="D7" s="178">
        <f t="shared" ref="D7:D37" si="30">G7+(_xlfn.NORM.S.INV(1/100)*K7)</f>
        <v>12.693983728901514</v>
      </c>
      <c r="E7" s="178">
        <f t="shared" ref="E7:E37" si="31">G7+(_xlfn.NORM.S.INV(3/100)*K7)</f>
        <v>14.856246499542827</v>
      </c>
      <c r="F7" s="178">
        <f t="shared" ref="F7:F37" si="32">G7+(_xlfn.NORM.S.INV(5/100)*K7)</f>
        <v>16.001256830519015</v>
      </c>
      <c r="G7" s="178">
        <f t="shared" ref="G7:G37" si="33">5.60878+0.158369*C7^2-0.00256379*C7^3</f>
        <v>23.98368688</v>
      </c>
      <c r="H7" s="178">
        <f t="shared" ref="H7:H37" si="34">G7+(_xlfn.NORM.S.INV(95/100)*K7)</f>
        <v>31.966116929480982</v>
      </c>
      <c r="I7" s="178">
        <f t="shared" ref="I7:I37" si="35">G7+(_xlfn.NORM.S.INV(0.97)*K7)</f>
        <v>33.111127260457174</v>
      </c>
      <c r="J7" s="178">
        <f t="shared" ref="J7:J37" si="36">G7+(_xlfn.NORM.S.INV(0.99)*K7)</f>
        <v>35.273390031098486</v>
      </c>
      <c r="K7" s="178">
        <f t="shared" ref="K7:K37" si="37">1.98735+0.0136772*C7^3-0.00726264*C7^3*LN(C7)+0.000976253*C7^3*LN(C7)^2</f>
        <v>4.8529728838397652</v>
      </c>
      <c r="M7" s="177">
        <v>1.1000000000000001</v>
      </c>
      <c r="N7" s="173">
        <f t="shared" ref="N7:N37" si="38">H7-F7</f>
        <v>15.964860098961967</v>
      </c>
      <c r="O7" s="173">
        <f t="shared" ref="O7:O37" si="39">C7</f>
        <v>12</v>
      </c>
      <c r="P7" s="173" t="str">
        <f t="shared" ref="P7:P37" si="40">_xlfn.CONCAT(O7,"s (%",TRUNC(M7,1),")")</f>
        <v>12s (%1,1)</v>
      </c>
      <c r="Q7" s="173">
        <f t="shared" si="1"/>
        <v>0</v>
      </c>
      <c r="R7" s="173">
        <f t="shared" si="2"/>
        <v>1</v>
      </c>
      <c r="S7" s="173">
        <f t="shared" si="3"/>
        <v>0.10000000000000009</v>
      </c>
      <c r="T7" s="173">
        <f t="shared" si="4"/>
        <v>0.5</v>
      </c>
      <c r="U7" s="173">
        <f t="shared" si="5"/>
        <v>1.9</v>
      </c>
      <c r="V7" s="173">
        <f t="shared" si="6"/>
        <v>0</v>
      </c>
      <c r="W7" s="173">
        <f t="shared" si="7"/>
        <v>0</v>
      </c>
      <c r="X7" s="173">
        <f t="shared" si="8"/>
        <v>2.5</v>
      </c>
      <c r="Y7" s="173">
        <f t="shared" si="9"/>
        <v>0</v>
      </c>
      <c r="Z7" s="173">
        <f t="shared" si="10"/>
        <v>0</v>
      </c>
      <c r="AA7" s="173">
        <f t="shared" si="11"/>
        <v>4.5</v>
      </c>
      <c r="AB7" s="173">
        <f t="shared" si="12"/>
        <v>0</v>
      </c>
      <c r="AC7" s="173">
        <f t="shared" si="13"/>
        <v>0</v>
      </c>
      <c r="AD7" s="173">
        <f t="shared" si="14"/>
        <v>20.5</v>
      </c>
      <c r="AE7" s="173">
        <f t="shared" si="15"/>
        <v>0</v>
      </c>
      <c r="AF7" s="173">
        <f t="shared" si="16"/>
        <v>0</v>
      </c>
      <c r="AG7" s="173">
        <f t="shared" si="17"/>
        <v>4.5</v>
      </c>
      <c r="AH7" s="173">
        <f t="shared" si="18"/>
        <v>0</v>
      </c>
      <c r="AI7" s="173">
        <f t="shared" si="19"/>
        <v>0</v>
      </c>
      <c r="AJ7" s="173">
        <f t="shared" si="20"/>
        <v>2.5</v>
      </c>
      <c r="AK7" s="173">
        <f t="shared" si="21"/>
        <v>0</v>
      </c>
      <c r="AL7" s="173">
        <f t="shared" si="22"/>
        <v>0</v>
      </c>
      <c r="AM7" s="173">
        <f t="shared" si="23"/>
        <v>2.5</v>
      </c>
      <c r="AN7" s="173">
        <f t="shared" si="24"/>
        <v>1</v>
      </c>
      <c r="AO7" s="173">
        <f t="shared" si="25"/>
        <v>0</v>
      </c>
      <c r="AP7" s="173"/>
      <c r="AR7">
        <f>TRUNC(M7,1)</f>
        <v>1.1000000000000001</v>
      </c>
      <c r="AS7">
        <f t="shared" si="26"/>
        <v>0</v>
      </c>
      <c r="AT7">
        <f t="shared" si="26"/>
        <v>1</v>
      </c>
      <c r="AU7">
        <f t="shared" si="27"/>
        <v>0</v>
      </c>
      <c r="AV7">
        <f t="shared" si="27"/>
        <v>0</v>
      </c>
      <c r="AW7">
        <f t="shared" si="27"/>
        <v>2.5</v>
      </c>
      <c r="AX7">
        <f t="shared" si="28"/>
        <v>0</v>
      </c>
      <c r="AY7">
        <f t="shared" si="28"/>
        <v>0</v>
      </c>
      <c r="AZ7">
        <f t="shared" si="28"/>
        <v>20.5</v>
      </c>
      <c r="BA7">
        <f t="shared" ref="BA7:BC22" si="41">AH7</f>
        <v>0</v>
      </c>
      <c r="BB7">
        <f t="shared" si="41"/>
        <v>0</v>
      </c>
      <c r="BC7">
        <f t="shared" si="41"/>
        <v>2.5</v>
      </c>
      <c r="BD7">
        <f t="shared" ref="BD7:BD37" si="42">AN7</f>
        <v>1</v>
      </c>
      <c r="BE7">
        <f t="shared" si="29"/>
        <v>0</v>
      </c>
    </row>
    <row r="8" spans="1:57">
      <c r="A8" s="176">
        <v>16</v>
      </c>
      <c r="B8" s="177"/>
      <c r="C8">
        <v>13</v>
      </c>
      <c r="D8" s="178">
        <f t="shared" si="30"/>
        <v>14.595742514101074</v>
      </c>
      <c r="E8" s="178">
        <f t="shared" si="31"/>
        <v>16.921768667776526</v>
      </c>
      <c r="F8" s="178">
        <f t="shared" si="32"/>
        <v>18.153498692564064</v>
      </c>
      <c r="G8" s="178">
        <f t="shared" si="33"/>
        <v>26.740494370000004</v>
      </c>
      <c r="H8" s="178">
        <f t="shared" si="34"/>
        <v>35.327490047435937</v>
      </c>
      <c r="I8" s="178">
        <f t="shared" si="35"/>
        <v>36.559220072223482</v>
      </c>
      <c r="J8" s="178">
        <f t="shared" si="36"/>
        <v>38.885246225898932</v>
      </c>
      <c r="K8" s="178">
        <f t="shared" si="37"/>
        <v>5.2205226876940074</v>
      </c>
      <c r="M8" s="177">
        <v>2.9</v>
      </c>
      <c r="N8" s="173">
        <f t="shared" si="38"/>
        <v>17.173991354871873</v>
      </c>
      <c r="O8" s="173">
        <f t="shared" si="39"/>
        <v>13</v>
      </c>
      <c r="P8" s="173" t="str">
        <f t="shared" si="40"/>
        <v>13s (%2,9)</v>
      </c>
      <c r="Q8" s="173">
        <f t="shared" si="1"/>
        <v>0</v>
      </c>
      <c r="R8" s="173">
        <f t="shared" si="2"/>
        <v>1</v>
      </c>
      <c r="S8" s="173">
        <f t="shared" si="3"/>
        <v>1.9</v>
      </c>
      <c r="T8" s="173">
        <f t="shared" si="4"/>
        <v>0.5</v>
      </c>
      <c r="U8" s="173">
        <f t="shared" si="5"/>
        <v>0.10000000000000009</v>
      </c>
      <c r="V8" s="173">
        <f t="shared" si="6"/>
        <v>0</v>
      </c>
      <c r="W8" s="173">
        <f t="shared" si="7"/>
        <v>0</v>
      </c>
      <c r="X8" s="173">
        <f t="shared" si="8"/>
        <v>2.5</v>
      </c>
      <c r="Y8" s="173">
        <f t="shared" si="9"/>
        <v>0</v>
      </c>
      <c r="Z8" s="173">
        <f t="shared" si="10"/>
        <v>0</v>
      </c>
      <c r="AA8" s="173">
        <f t="shared" si="11"/>
        <v>4.5</v>
      </c>
      <c r="AB8" s="173">
        <f t="shared" si="12"/>
        <v>0</v>
      </c>
      <c r="AC8" s="173">
        <f t="shared" si="13"/>
        <v>0</v>
      </c>
      <c r="AD8" s="173">
        <f t="shared" si="14"/>
        <v>20.5</v>
      </c>
      <c r="AE8" s="173">
        <f t="shared" si="15"/>
        <v>0</v>
      </c>
      <c r="AF8" s="173">
        <f t="shared" si="16"/>
        <v>0</v>
      </c>
      <c r="AG8" s="173">
        <f t="shared" si="17"/>
        <v>4.5</v>
      </c>
      <c r="AH8" s="173">
        <f t="shared" si="18"/>
        <v>0</v>
      </c>
      <c r="AI8" s="173">
        <f t="shared" si="19"/>
        <v>0</v>
      </c>
      <c r="AJ8" s="173">
        <f t="shared" si="20"/>
        <v>2.5</v>
      </c>
      <c r="AK8" s="173">
        <f t="shared" si="21"/>
        <v>0</v>
      </c>
      <c r="AL8" s="173">
        <f t="shared" si="22"/>
        <v>0</v>
      </c>
      <c r="AM8" s="173">
        <f t="shared" si="23"/>
        <v>2.5</v>
      </c>
      <c r="AN8" s="173">
        <f t="shared" si="24"/>
        <v>1</v>
      </c>
      <c r="AO8" s="173">
        <f t="shared" si="25"/>
        <v>0</v>
      </c>
      <c r="AP8" s="173"/>
      <c r="AR8">
        <f t="shared" ref="AR8:AR37" si="43">TRUNC(M8,1)</f>
        <v>2.9</v>
      </c>
      <c r="AS8">
        <f t="shared" si="26"/>
        <v>0</v>
      </c>
      <c r="AT8">
        <f t="shared" si="26"/>
        <v>1</v>
      </c>
      <c r="AU8">
        <f t="shared" si="27"/>
        <v>0</v>
      </c>
      <c r="AV8">
        <f t="shared" si="27"/>
        <v>0</v>
      </c>
      <c r="AW8">
        <f t="shared" si="27"/>
        <v>2.5</v>
      </c>
      <c r="AX8">
        <f t="shared" si="28"/>
        <v>0</v>
      </c>
      <c r="AY8">
        <f t="shared" si="28"/>
        <v>0</v>
      </c>
      <c r="AZ8">
        <f t="shared" si="28"/>
        <v>20.5</v>
      </c>
      <c r="BA8">
        <f t="shared" si="41"/>
        <v>0</v>
      </c>
      <c r="BB8">
        <f t="shared" si="41"/>
        <v>0</v>
      </c>
      <c r="BC8">
        <f t="shared" si="41"/>
        <v>2.5</v>
      </c>
      <c r="BD8">
        <f t="shared" si="42"/>
        <v>1</v>
      </c>
      <c r="BE8">
        <f t="shared" si="29"/>
        <v>0</v>
      </c>
    </row>
    <row r="9" spans="1:57">
      <c r="A9" s="176">
        <v>20</v>
      </c>
      <c r="B9" s="177"/>
      <c r="C9">
        <v>14</v>
      </c>
      <c r="D9" s="178">
        <f t="shared" si="30"/>
        <v>16.628979578766653</v>
      </c>
      <c r="E9" s="178">
        <f t="shared" si="31"/>
        <v>19.115950649735737</v>
      </c>
      <c r="F9" s="178">
        <f t="shared" si="32"/>
        <v>20.432907870552118</v>
      </c>
      <c r="G9" s="178">
        <f t="shared" si="33"/>
        <v>29.614064240000001</v>
      </c>
      <c r="H9" s="178">
        <f t="shared" si="34"/>
        <v>38.795220609447881</v>
      </c>
      <c r="I9" s="178">
        <f t="shared" si="35"/>
        <v>40.112177830264265</v>
      </c>
      <c r="J9" s="178">
        <f t="shared" si="36"/>
        <v>42.599148901233349</v>
      </c>
      <c r="K9" s="178">
        <f t="shared" si="37"/>
        <v>5.5817467396560936</v>
      </c>
      <c r="M9" s="177">
        <v>3.1</v>
      </c>
      <c r="N9" s="173">
        <f t="shared" si="38"/>
        <v>18.362312738895763</v>
      </c>
      <c r="O9" s="173">
        <f t="shared" si="39"/>
        <v>14</v>
      </c>
      <c r="P9" s="173" t="str">
        <f t="shared" si="40"/>
        <v>14s (%3,1)</v>
      </c>
      <c r="Q9" s="173">
        <f t="shared" si="1"/>
        <v>0</v>
      </c>
      <c r="R9" s="173">
        <f t="shared" si="2"/>
        <v>1</v>
      </c>
      <c r="S9" s="173">
        <f t="shared" si="3"/>
        <v>0</v>
      </c>
      <c r="T9" s="173">
        <f t="shared" si="4"/>
        <v>0</v>
      </c>
      <c r="U9" s="173">
        <f t="shared" si="5"/>
        <v>2.5</v>
      </c>
      <c r="V9" s="173">
        <f t="shared" si="6"/>
        <v>0.10000000000000009</v>
      </c>
      <c r="W9" s="173">
        <f t="shared" si="7"/>
        <v>0.5</v>
      </c>
      <c r="X9" s="173">
        <f t="shared" si="8"/>
        <v>1.9</v>
      </c>
      <c r="Y9" s="173">
        <f t="shared" si="9"/>
        <v>0</v>
      </c>
      <c r="Z9" s="173">
        <f t="shared" si="10"/>
        <v>0</v>
      </c>
      <c r="AA9" s="173">
        <f t="shared" si="11"/>
        <v>4.5</v>
      </c>
      <c r="AB9" s="173">
        <f t="shared" si="12"/>
        <v>0</v>
      </c>
      <c r="AC9" s="173">
        <f t="shared" si="13"/>
        <v>0</v>
      </c>
      <c r="AD9" s="173">
        <f t="shared" si="14"/>
        <v>20.5</v>
      </c>
      <c r="AE9" s="173">
        <f t="shared" si="15"/>
        <v>0</v>
      </c>
      <c r="AF9" s="173">
        <f t="shared" si="16"/>
        <v>0</v>
      </c>
      <c r="AG9" s="173">
        <f t="shared" si="17"/>
        <v>4.5</v>
      </c>
      <c r="AH9" s="173">
        <f t="shared" si="18"/>
        <v>0</v>
      </c>
      <c r="AI9" s="173">
        <f t="shared" si="19"/>
        <v>0</v>
      </c>
      <c r="AJ9" s="173">
        <f t="shared" si="20"/>
        <v>2.5</v>
      </c>
      <c r="AK9" s="173">
        <f t="shared" si="21"/>
        <v>0</v>
      </c>
      <c r="AL9" s="173">
        <f t="shared" si="22"/>
        <v>0</v>
      </c>
      <c r="AM9" s="173">
        <f t="shared" si="23"/>
        <v>2.5</v>
      </c>
      <c r="AN9" s="173">
        <f t="shared" si="24"/>
        <v>1</v>
      </c>
      <c r="AO9" s="173">
        <f t="shared" si="25"/>
        <v>0</v>
      </c>
      <c r="AP9" s="173"/>
      <c r="AR9">
        <f t="shared" si="43"/>
        <v>3.1</v>
      </c>
      <c r="AS9">
        <f t="shared" si="26"/>
        <v>0</v>
      </c>
      <c r="AT9">
        <f t="shared" si="26"/>
        <v>1</v>
      </c>
      <c r="AU9">
        <f t="shared" si="27"/>
        <v>0.10000000000000009</v>
      </c>
      <c r="AV9">
        <f t="shared" si="27"/>
        <v>0.5</v>
      </c>
      <c r="AW9">
        <f t="shared" si="27"/>
        <v>1.9</v>
      </c>
      <c r="AX9">
        <f t="shared" si="28"/>
        <v>0</v>
      </c>
      <c r="AY9">
        <f t="shared" si="28"/>
        <v>0</v>
      </c>
      <c r="AZ9">
        <f t="shared" si="28"/>
        <v>20.5</v>
      </c>
      <c r="BA9">
        <f t="shared" si="41"/>
        <v>0</v>
      </c>
      <c r="BB9">
        <f t="shared" si="41"/>
        <v>0</v>
      </c>
      <c r="BC9">
        <f t="shared" si="41"/>
        <v>2.5</v>
      </c>
      <c r="BD9">
        <f t="shared" si="42"/>
        <v>1</v>
      </c>
      <c r="BE9">
        <f t="shared" si="29"/>
        <v>0</v>
      </c>
    </row>
    <row r="10" spans="1:57">
      <c r="A10" s="176">
        <v>23.5</v>
      </c>
      <c r="B10" s="177"/>
      <c r="C10">
        <v>15</v>
      </c>
      <c r="D10" s="178">
        <f t="shared" si="30"/>
        <v>18.787488856029505</v>
      </c>
      <c r="E10" s="178">
        <f t="shared" si="31"/>
        <v>21.430828814300067</v>
      </c>
      <c r="F10" s="178">
        <f t="shared" si="32"/>
        <v>22.830590028153033</v>
      </c>
      <c r="G10" s="178">
        <f t="shared" si="33"/>
        <v>32.589013750000007</v>
      </c>
      <c r="H10" s="178">
        <f t="shared" si="34"/>
        <v>42.347437471846973</v>
      </c>
      <c r="I10" s="178">
        <f t="shared" si="35"/>
        <v>43.747198685699942</v>
      </c>
      <c r="J10" s="178">
        <f t="shared" si="36"/>
        <v>46.390538643970508</v>
      </c>
      <c r="K10" s="178">
        <f t="shared" si="37"/>
        <v>5.9327003703867405</v>
      </c>
      <c r="M10" s="177">
        <f t="shared" si="0"/>
        <v>6.2758788647167538</v>
      </c>
      <c r="N10" s="173">
        <f t="shared" si="38"/>
        <v>19.516847443693941</v>
      </c>
      <c r="O10" s="173">
        <f t="shared" si="39"/>
        <v>15</v>
      </c>
      <c r="P10" s="173" t="str">
        <f t="shared" si="40"/>
        <v>15s (%6,2)</v>
      </c>
      <c r="Q10" s="173">
        <f t="shared" si="1"/>
        <v>0</v>
      </c>
      <c r="R10" s="173">
        <f t="shared" si="2"/>
        <v>1</v>
      </c>
      <c r="S10" s="173">
        <f t="shared" si="3"/>
        <v>0</v>
      </c>
      <c r="T10" s="173">
        <f t="shared" si="4"/>
        <v>0</v>
      </c>
      <c r="U10" s="173">
        <f t="shared" si="5"/>
        <v>2.5</v>
      </c>
      <c r="V10" s="173">
        <f t="shared" si="6"/>
        <v>0</v>
      </c>
      <c r="W10" s="173">
        <f t="shared" si="7"/>
        <v>0</v>
      </c>
      <c r="X10" s="173">
        <f t="shared" si="8"/>
        <v>2.5</v>
      </c>
      <c r="Y10" s="173">
        <f t="shared" si="9"/>
        <v>1.020703091773403</v>
      </c>
      <c r="Z10" s="173">
        <f t="shared" si="10"/>
        <v>0.5</v>
      </c>
      <c r="AA10" s="173">
        <f t="shared" si="11"/>
        <v>2.9792969082265968</v>
      </c>
      <c r="AB10" s="173">
        <f t="shared" si="12"/>
        <v>0</v>
      </c>
      <c r="AC10" s="173">
        <f t="shared" si="13"/>
        <v>0</v>
      </c>
      <c r="AD10" s="173">
        <f t="shared" si="14"/>
        <v>20.5</v>
      </c>
      <c r="AE10" s="173">
        <f t="shared" si="15"/>
        <v>0</v>
      </c>
      <c r="AF10" s="173">
        <f t="shared" si="16"/>
        <v>0</v>
      </c>
      <c r="AG10" s="173">
        <f t="shared" si="17"/>
        <v>4.5</v>
      </c>
      <c r="AH10" s="173">
        <f t="shared" si="18"/>
        <v>0</v>
      </c>
      <c r="AI10" s="173">
        <f t="shared" si="19"/>
        <v>0</v>
      </c>
      <c r="AJ10" s="173">
        <f t="shared" si="20"/>
        <v>2.5</v>
      </c>
      <c r="AK10" s="173">
        <f t="shared" si="21"/>
        <v>0</v>
      </c>
      <c r="AL10" s="173">
        <f t="shared" si="22"/>
        <v>0</v>
      </c>
      <c r="AM10" s="173">
        <f t="shared" si="23"/>
        <v>2.5</v>
      </c>
      <c r="AN10" s="173">
        <f t="shared" si="24"/>
        <v>1</v>
      </c>
      <c r="AO10" s="173">
        <f t="shared" si="25"/>
        <v>0</v>
      </c>
      <c r="AP10" s="173"/>
      <c r="AR10">
        <f t="shared" si="43"/>
        <v>6.2</v>
      </c>
      <c r="AS10">
        <f t="shared" si="26"/>
        <v>0</v>
      </c>
      <c r="AT10">
        <f t="shared" si="26"/>
        <v>1</v>
      </c>
      <c r="AU10">
        <f t="shared" si="27"/>
        <v>0</v>
      </c>
      <c r="AV10">
        <f t="shared" si="27"/>
        <v>0</v>
      </c>
      <c r="AW10">
        <f t="shared" si="27"/>
        <v>2.5</v>
      </c>
      <c r="AX10">
        <f t="shared" si="28"/>
        <v>0</v>
      </c>
      <c r="AY10">
        <f t="shared" si="28"/>
        <v>0</v>
      </c>
      <c r="AZ10">
        <f t="shared" si="28"/>
        <v>20.5</v>
      </c>
      <c r="BA10">
        <f t="shared" si="41"/>
        <v>0</v>
      </c>
      <c r="BB10">
        <f t="shared" si="41"/>
        <v>0</v>
      </c>
      <c r="BC10">
        <f t="shared" si="41"/>
        <v>2.5</v>
      </c>
      <c r="BD10">
        <f t="shared" si="42"/>
        <v>1</v>
      </c>
      <c r="BE10">
        <f t="shared" si="29"/>
        <v>0</v>
      </c>
    </row>
    <row r="11" spans="1:57">
      <c r="A11" s="176">
        <v>28</v>
      </c>
      <c r="B11" s="177"/>
      <c r="C11">
        <v>16</v>
      </c>
      <c r="D11" s="178">
        <f t="shared" si="30"/>
        <v>21.063601443767951</v>
      </c>
      <c r="E11" s="178">
        <f t="shared" si="31"/>
        <v>23.857256864925699</v>
      </c>
      <c r="F11" s="178">
        <f t="shared" si="32"/>
        <v>25.336616525483755</v>
      </c>
      <c r="G11" s="178">
        <f t="shared" si="33"/>
        <v>35.649960160000006</v>
      </c>
      <c r="H11" s="178">
        <f t="shared" si="34"/>
        <v>45.96330379451625</v>
      </c>
      <c r="I11" s="178">
        <f t="shared" si="35"/>
        <v>47.44266345507431</v>
      </c>
      <c r="J11" s="178">
        <f t="shared" si="36"/>
        <v>50.236318876232062</v>
      </c>
      <c r="K11" s="178">
        <f t="shared" si="37"/>
        <v>6.2700677224579096</v>
      </c>
      <c r="M11" s="177">
        <f t="shared" si="0"/>
        <v>11.121800220191707</v>
      </c>
      <c r="N11" s="173">
        <f t="shared" si="38"/>
        <v>20.626687269032494</v>
      </c>
      <c r="O11" s="173">
        <f t="shared" si="39"/>
        <v>16</v>
      </c>
      <c r="P11" s="173" t="str">
        <f t="shared" si="40"/>
        <v>16s (%11,1)</v>
      </c>
      <c r="Q11" s="173">
        <f t="shared" si="1"/>
        <v>0</v>
      </c>
      <c r="R11" s="173">
        <f t="shared" si="2"/>
        <v>1</v>
      </c>
      <c r="S11" s="173">
        <f t="shared" si="3"/>
        <v>0</v>
      </c>
      <c r="T11" s="173">
        <f t="shared" si="4"/>
        <v>0</v>
      </c>
      <c r="U11" s="173">
        <f t="shared" si="5"/>
        <v>2.5</v>
      </c>
      <c r="V11" s="173">
        <f t="shared" si="6"/>
        <v>0</v>
      </c>
      <c r="W11" s="173">
        <f t="shared" si="7"/>
        <v>0</v>
      </c>
      <c r="X11" s="173">
        <f t="shared" si="8"/>
        <v>2.5</v>
      </c>
      <c r="Y11" s="173">
        <f t="shared" si="9"/>
        <v>0</v>
      </c>
      <c r="Z11" s="173">
        <f t="shared" si="10"/>
        <v>0</v>
      </c>
      <c r="AA11" s="173">
        <f t="shared" si="11"/>
        <v>4.5</v>
      </c>
      <c r="AB11" s="173">
        <f t="shared" si="12"/>
        <v>0.28045005504792675</v>
      </c>
      <c r="AC11" s="173">
        <f t="shared" si="13"/>
        <v>0.5</v>
      </c>
      <c r="AD11" s="173">
        <f t="shared" si="14"/>
        <v>19.719549944952075</v>
      </c>
      <c r="AE11" s="173">
        <f t="shared" si="15"/>
        <v>0</v>
      </c>
      <c r="AF11" s="173">
        <f t="shared" si="16"/>
        <v>0</v>
      </c>
      <c r="AG11" s="173">
        <f t="shared" si="17"/>
        <v>4.5</v>
      </c>
      <c r="AH11" s="173">
        <f t="shared" si="18"/>
        <v>0</v>
      </c>
      <c r="AI11" s="173">
        <f t="shared" si="19"/>
        <v>0</v>
      </c>
      <c r="AJ11" s="173">
        <f t="shared" si="20"/>
        <v>2.5</v>
      </c>
      <c r="AK11" s="173">
        <f t="shared" si="21"/>
        <v>0</v>
      </c>
      <c r="AL11" s="173">
        <f t="shared" si="22"/>
        <v>0</v>
      </c>
      <c r="AM11" s="173">
        <f t="shared" si="23"/>
        <v>2.5</v>
      </c>
      <c r="AN11" s="173">
        <f t="shared" si="24"/>
        <v>1</v>
      </c>
      <c r="AO11" s="173">
        <f t="shared" si="25"/>
        <v>0</v>
      </c>
      <c r="AP11" s="173"/>
      <c r="AR11">
        <f t="shared" si="43"/>
        <v>11.1</v>
      </c>
      <c r="AS11">
        <f t="shared" si="26"/>
        <v>0</v>
      </c>
      <c r="AT11">
        <f t="shared" si="26"/>
        <v>1</v>
      </c>
      <c r="AU11">
        <f t="shared" si="27"/>
        <v>0</v>
      </c>
      <c r="AV11">
        <f t="shared" si="27"/>
        <v>0</v>
      </c>
      <c r="AW11">
        <f t="shared" si="27"/>
        <v>2.5</v>
      </c>
      <c r="AX11">
        <f t="shared" si="28"/>
        <v>0.28045005504792675</v>
      </c>
      <c r="AY11">
        <f t="shared" si="28"/>
        <v>0.5</v>
      </c>
      <c r="AZ11">
        <f t="shared" si="28"/>
        <v>19.719549944952075</v>
      </c>
      <c r="BA11">
        <f t="shared" si="41"/>
        <v>0</v>
      </c>
      <c r="BB11">
        <f t="shared" si="41"/>
        <v>0</v>
      </c>
      <c r="BC11">
        <f t="shared" si="41"/>
        <v>2.5</v>
      </c>
      <c r="BD11">
        <f t="shared" si="42"/>
        <v>1</v>
      </c>
      <c r="BE11">
        <f t="shared" si="29"/>
        <v>0</v>
      </c>
    </row>
    <row r="12" spans="1:57">
      <c r="A12" s="176">
        <v>32</v>
      </c>
      <c r="B12" s="177"/>
      <c r="C12">
        <v>17</v>
      </c>
      <c r="D12" s="178">
        <f t="shared" si="30"/>
        <v>23.448157286296841</v>
      </c>
      <c r="E12" s="178">
        <f t="shared" si="31"/>
        <v>26.384882945005227</v>
      </c>
      <c r="F12" s="178">
        <f t="shared" si="32"/>
        <v>27.940004396532892</v>
      </c>
      <c r="G12" s="178">
        <f t="shared" si="33"/>
        <v>38.781520730000004</v>
      </c>
      <c r="H12" s="178">
        <f t="shared" si="34"/>
        <v>49.623037063467109</v>
      </c>
      <c r="I12" s="178">
        <f t="shared" si="35"/>
        <v>51.178158514994777</v>
      </c>
      <c r="J12" s="178">
        <f t="shared" si="36"/>
        <v>54.114884173703167</v>
      </c>
      <c r="K12" s="178">
        <f t="shared" si="37"/>
        <v>6.5911739232143631</v>
      </c>
      <c r="M12" s="177">
        <f t="shared" si="0"/>
        <v>15.176825830152218</v>
      </c>
      <c r="N12" s="173">
        <f t="shared" si="38"/>
        <v>21.683032666934217</v>
      </c>
      <c r="O12" s="173">
        <f t="shared" si="39"/>
        <v>17</v>
      </c>
      <c r="P12" s="173" t="str">
        <f t="shared" si="40"/>
        <v>17s (%15,1)</v>
      </c>
      <c r="Q12" s="173">
        <f t="shared" si="1"/>
        <v>0</v>
      </c>
      <c r="R12" s="173">
        <f t="shared" si="2"/>
        <v>1</v>
      </c>
      <c r="S12" s="173">
        <f t="shared" si="3"/>
        <v>0</v>
      </c>
      <c r="T12" s="173">
        <f t="shared" si="4"/>
        <v>0</v>
      </c>
      <c r="U12" s="173">
        <f t="shared" si="5"/>
        <v>2.5</v>
      </c>
      <c r="V12" s="173">
        <f t="shared" si="6"/>
        <v>0</v>
      </c>
      <c r="W12" s="173">
        <f t="shared" si="7"/>
        <v>0</v>
      </c>
      <c r="X12" s="173">
        <f t="shared" si="8"/>
        <v>2.5</v>
      </c>
      <c r="Y12" s="173">
        <f t="shared" si="9"/>
        <v>0</v>
      </c>
      <c r="Z12" s="173">
        <f t="shared" si="10"/>
        <v>0</v>
      </c>
      <c r="AA12" s="173">
        <f t="shared" si="11"/>
        <v>4.5</v>
      </c>
      <c r="AB12" s="173">
        <f t="shared" si="12"/>
        <v>1.2942064575380545</v>
      </c>
      <c r="AC12" s="173">
        <f t="shared" si="13"/>
        <v>0.5</v>
      </c>
      <c r="AD12" s="173">
        <f t="shared" si="14"/>
        <v>18.705793542461947</v>
      </c>
      <c r="AE12" s="173">
        <f t="shared" si="15"/>
        <v>0</v>
      </c>
      <c r="AF12" s="173">
        <f t="shared" si="16"/>
        <v>0</v>
      </c>
      <c r="AG12" s="173">
        <f t="shared" si="17"/>
        <v>4.5</v>
      </c>
      <c r="AH12" s="173">
        <f t="shared" si="18"/>
        <v>0</v>
      </c>
      <c r="AI12" s="173">
        <f t="shared" si="19"/>
        <v>0</v>
      </c>
      <c r="AJ12" s="173">
        <f t="shared" si="20"/>
        <v>2.5</v>
      </c>
      <c r="AK12" s="173">
        <f t="shared" si="21"/>
        <v>0</v>
      </c>
      <c r="AL12" s="173">
        <f t="shared" si="22"/>
        <v>0</v>
      </c>
      <c r="AM12" s="173">
        <f t="shared" si="23"/>
        <v>2.5</v>
      </c>
      <c r="AN12" s="173">
        <f t="shared" si="24"/>
        <v>1</v>
      </c>
      <c r="AO12" s="173">
        <f t="shared" si="25"/>
        <v>0</v>
      </c>
      <c r="AP12" s="173"/>
      <c r="AR12">
        <f t="shared" si="43"/>
        <v>15.1</v>
      </c>
      <c r="AS12">
        <f t="shared" si="26"/>
        <v>0</v>
      </c>
      <c r="AT12">
        <f t="shared" si="26"/>
        <v>1</v>
      </c>
      <c r="AU12">
        <f t="shared" si="27"/>
        <v>0</v>
      </c>
      <c r="AV12">
        <f t="shared" si="27"/>
        <v>0</v>
      </c>
      <c r="AW12">
        <f t="shared" si="27"/>
        <v>2.5</v>
      </c>
      <c r="AX12">
        <f t="shared" si="28"/>
        <v>1.2942064575380545</v>
      </c>
      <c r="AY12">
        <f t="shared" si="28"/>
        <v>0.5</v>
      </c>
      <c r="AZ12">
        <f t="shared" si="28"/>
        <v>18.705793542461947</v>
      </c>
      <c r="BA12">
        <f t="shared" si="41"/>
        <v>0</v>
      </c>
      <c r="BB12">
        <f t="shared" si="41"/>
        <v>0</v>
      </c>
      <c r="BC12">
        <f t="shared" si="41"/>
        <v>2.5</v>
      </c>
      <c r="BD12">
        <f t="shared" si="42"/>
        <v>1</v>
      </c>
      <c r="BE12">
        <f t="shared" si="29"/>
        <v>0</v>
      </c>
    </row>
    <row r="13" spans="1:57">
      <c r="A13" s="176">
        <v>42</v>
      </c>
      <c r="B13" s="177"/>
      <c r="C13">
        <v>18</v>
      </c>
      <c r="D13" s="178">
        <f t="shared" si="30"/>
        <v>25.930488087356551</v>
      </c>
      <c r="E13" s="178">
        <f t="shared" si="31"/>
        <v>29.002135823450033</v>
      </c>
      <c r="F13" s="178">
        <f t="shared" si="32"/>
        <v>30.62870426772081</v>
      </c>
      <c r="G13" s="178">
        <f t="shared" si="33"/>
        <v>41.968312720000007</v>
      </c>
      <c r="H13" s="178">
        <f t="shared" si="34"/>
        <v>53.307921172279194</v>
      </c>
      <c r="I13" s="178">
        <f t="shared" si="35"/>
        <v>54.934489616549982</v>
      </c>
      <c r="J13" s="178">
        <f t="shared" si="36"/>
        <v>58.006137352643464</v>
      </c>
      <c r="K13" s="178">
        <f t="shared" si="37"/>
        <v>6.8939924297675788</v>
      </c>
      <c r="M13" s="177">
        <f t="shared" si="0"/>
        <v>50.183367640164313</v>
      </c>
      <c r="N13" s="173">
        <f t="shared" si="38"/>
        <v>22.679216904558384</v>
      </c>
      <c r="O13" s="173">
        <f t="shared" si="39"/>
        <v>18</v>
      </c>
      <c r="P13" s="173" t="str">
        <f t="shared" si="40"/>
        <v>18s (%50,1)</v>
      </c>
      <c r="Q13" s="173">
        <f t="shared" si="1"/>
        <v>0</v>
      </c>
      <c r="R13" s="173">
        <f t="shared" si="2"/>
        <v>1</v>
      </c>
      <c r="S13" s="173">
        <f t="shared" si="3"/>
        <v>0</v>
      </c>
      <c r="T13" s="173">
        <f t="shared" si="4"/>
        <v>0</v>
      </c>
      <c r="U13" s="173">
        <f t="shared" si="5"/>
        <v>2.5</v>
      </c>
      <c r="V13" s="173">
        <f t="shared" si="6"/>
        <v>0</v>
      </c>
      <c r="W13" s="173">
        <f t="shared" si="7"/>
        <v>0</v>
      </c>
      <c r="X13" s="173">
        <f t="shared" si="8"/>
        <v>2.5</v>
      </c>
      <c r="Y13" s="173">
        <f t="shared" si="9"/>
        <v>0</v>
      </c>
      <c r="Z13" s="173">
        <f t="shared" si="10"/>
        <v>0</v>
      </c>
      <c r="AA13" s="173">
        <f t="shared" si="11"/>
        <v>4.5</v>
      </c>
      <c r="AB13" s="173">
        <f t="shared" si="12"/>
        <v>10.045841910041078</v>
      </c>
      <c r="AC13" s="173">
        <f t="shared" si="13"/>
        <v>0.5</v>
      </c>
      <c r="AD13" s="173">
        <f t="shared" si="14"/>
        <v>9.9541580899589217</v>
      </c>
      <c r="AE13" s="173">
        <f t="shared" si="15"/>
        <v>0</v>
      </c>
      <c r="AF13" s="173">
        <f t="shared" si="16"/>
        <v>0</v>
      </c>
      <c r="AG13" s="173">
        <f t="shared" si="17"/>
        <v>4.5</v>
      </c>
      <c r="AH13" s="173">
        <f t="shared" si="18"/>
        <v>0</v>
      </c>
      <c r="AI13" s="173">
        <f t="shared" si="19"/>
        <v>0</v>
      </c>
      <c r="AJ13" s="173">
        <f t="shared" si="20"/>
        <v>2.5</v>
      </c>
      <c r="AK13" s="173">
        <f t="shared" si="21"/>
        <v>0</v>
      </c>
      <c r="AL13" s="173">
        <f t="shared" si="22"/>
        <v>0</v>
      </c>
      <c r="AM13" s="173">
        <f t="shared" si="23"/>
        <v>2.5</v>
      </c>
      <c r="AN13" s="173">
        <f t="shared" si="24"/>
        <v>1</v>
      </c>
      <c r="AO13" s="173">
        <f t="shared" si="25"/>
        <v>0</v>
      </c>
      <c r="AP13" s="173"/>
      <c r="AR13">
        <f t="shared" si="43"/>
        <v>50.1</v>
      </c>
      <c r="AS13">
        <f t="shared" si="26"/>
        <v>0</v>
      </c>
      <c r="AT13">
        <f t="shared" si="26"/>
        <v>1</v>
      </c>
      <c r="AU13">
        <f t="shared" si="27"/>
        <v>0</v>
      </c>
      <c r="AV13">
        <f t="shared" si="27"/>
        <v>0</v>
      </c>
      <c r="AW13">
        <f t="shared" si="27"/>
        <v>2.5</v>
      </c>
      <c r="AX13">
        <f t="shared" si="28"/>
        <v>10.045841910041078</v>
      </c>
      <c r="AY13">
        <f t="shared" si="28"/>
        <v>0.5</v>
      </c>
      <c r="AZ13">
        <f t="shared" si="28"/>
        <v>9.9541580899589217</v>
      </c>
      <c r="BA13">
        <f t="shared" si="41"/>
        <v>0</v>
      </c>
      <c r="BB13">
        <f t="shared" si="41"/>
        <v>0</v>
      </c>
      <c r="BC13">
        <f t="shared" si="41"/>
        <v>2.5</v>
      </c>
      <c r="BD13">
        <f t="shared" si="42"/>
        <v>1</v>
      </c>
      <c r="BE13">
        <f t="shared" si="29"/>
        <v>0</v>
      </c>
    </row>
    <row r="14" spans="1:57">
      <c r="A14" s="176">
        <v>50</v>
      </c>
      <c r="B14" s="177"/>
      <c r="C14">
        <v>19</v>
      </c>
      <c r="D14" s="178">
        <f t="shared" si="30"/>
        <v>28.498408580212558</v>
      </c>
      <c r="E14" s="178">
        <f t="shared" si="31"/>
        <v>31.696217836785891</v>
      </c>
      <c r="F14" s="178">
        <f t="shared" si="32"/>
        <v>33.389594185388404</v>
      </c>
      <c r="G14" s="178">
        <f t="shared" si="33"/>
        <v>45.194953390000009</v>
      </c>
      <c r="H14" s="178">
        <f t="shared" si="34"/>
        <v>57.000312594611607</v>
      </c>
      <c r="I14" s="178">
        <f t="shared" si="35"/>
        <v>58.693688943214127</v>
      </c>
      <c r="J14" s="178">
        <f t="shared" si="36"/>
        <v>61.891498199787463</v>
      </c>
      <c r="K14" s="178">
        <f t="shared" si="37"/>
        <v>7.1771487816161113</v>
      </c>
      <c r="M14" s="177">
        <f t="shared" si="0"/>
        <v>74.840928851482332</v>
      </c>
      <c r="N14" s="173">
        <f t="shared" si="38"/>
        <v>23.610718409223203</v>
      </c>
      <c r="O14" s="173">
        <f t="shared" si="39"/>
        <v>19</v>
      </c>
      <c r="P14" s="173" t="str">
        <f t="shared" si="40"/>
        <v>19s (%74,8)</v>
      </c>
      <c r="Q14" s="173">
        <f t="shared" si="1"/>
        <v>0</v>
      </c>
      <c r="R14" s="173">
        <f t="shared" si="2"/>
        <v>1</v>
      </c>
      <c r="S14" s="173">
        <f t="shared" si="3"/>
        <v>0</v>
      </c>
      <c r="T14" s="173">
        <f t="shared" si="4"/>
        <v>0</v>
      </c>
      <c r="U14" s="173">
        <f t="shared" si="5"/>
        <v>2.5</v>
      </c>
      <c r="V14" s="173">
        <f t="shared" si="6"/>
        <v>0</v>
      </c>
      <c r="W14" s="173">
        <f t="shared" si="7"/>
        <v>0</v>
      </c>
      <c r="X14" s="173">
        <f t="shared" si="8"/>
        <v>2.5</v>
      </c>
      <c r="Y14" s="173">
        <f t="shared" si="9"/>
        <v>0</v>
      </c>
      <c r="Z14" s="173">
        <f t="shared" si="10"/>
        <v>0</v>
      </c>
      <c r="AA14" s="173">
        <f t="shared" si="11"/>
        <v>4.5</v>
      </c>
      <c r="AB14" s="173">
        <f t="shared" si="12"/>
        <v>16.210232212870583</v>
      </c>
      <c r="AC14" s="173">
        <f t="shared" si="13"/>
        <v>0.5</v>
      </c>
      <c r="AD14" s="173">
        <f t="shared" si="14"/>
        <v>3.7897677871294171</v>
      </c>
      <c r="AE14" s="173">
        <f t="shared" si="15"/>
        <v>0</v>
      </c>
      <c r="AF14" s="173">
        <f t="shared" si="16"/>
        <v>0</v>
      </c>
      <c r="AG14" s="173">
        <f t="shared" si="17"/>
        <v>4.5</v>
      </c>
      <c r="AH14" s="173">
        <f t="shared" si="18"/>
        <v>0</v>
      </c>
      <c r="AI14" s="173">
        <f t="shared" si="19"/>
        <v>0</v>
      </c>
      <c r="AJ14" s="173">
        <f t="shared" si="20"/>
        <v>2.5</v>
      </c>
      <c r="AK14" s="173">
        <f t="shared" si="21"/>
        <v>0</v>
      </c>
      <c r="AL14" s="173">
        <f t="shared" si="22"/>
        <v>0</v>
      </c>
      <c r="AM14" s="173">
        <f t="shared" si="23"/>
        <v>2.5</v>
      </c>
      <c r="AN14" s="173">
        <f t="shared" si="24"/>
        <v>1</v>
      </c>
      <c r="AO14" s="173">
        <f t="shared" si="25"/>
        <v>0</v>
      </c>
      <c r="AP14" s="173"/>
      <c r="AR14">
        <f t="shared" si="43"/>
        <v>74.8</v>
      </c>
      <c r="AS14">
        <f t="shared" si="26"/>
        <v>0</v>
      </c>
      <c r="AT14">
        <f t="shared" si="26"/>
        <v>1</v>
      </c>
      <c r="AU14">
        <f t="shared" si="27"/>
        <v>0</v>
      </c>
      <c r="AV14">
        <f t="shared" si="27"/>
        <v>0</v>
      </c>
      <c r="AW14">
        <f t="shared" si="27"/>
        <v>2.5</v>
      </c>
      <c r="AX14">
        <f t="shared" si="28"/>
        <v>16.210232212870583</v>
      </c>
      <c r="AY14">
        <f t="shared" si="28"/>
        <v>0.5</v>
      </c>
      <c r="AZ14">
        <f t="shared" si="28"/>
        <v>3.7897677871294171</v>
      </c>
      <c r="BA14">
        <f t="shared" si="41"/>
        <v>0</v>
      </c>
      <c r="BB14">
        <f t="shared" si="41"/>
        <v>0</v>
      </c>
      <c r="BC14">
        <f t="shared" si="41"/>
        <v>2.5</v>
      </c>
      <c r="BD14">
        <f t="shared" si="42"/>
        <v>1</v>
      </c>
      <c r="BE14">
        <f t="shared" si="29"/>
        <v>0</v>
      </c>
    </row>
    <row r="15" spans="1:57">
      <c r="A15" s="176">
        <v>56</v>
      </c>
      <c r="B15" s="177"/>
      <c r="C15">
        <v>20</v>
      </c>
      <c r="D15" s="178">
        <f t="shared" si="30"/>
        <v>31.138214067089127</v>
      </c>
      <c r="E15" s="178">
        <f t="shared" si="31"/>
        <v>34.453102899847096</v>
      </c>
      <c r="F15" s="178">
        <f t="shared" si="32"/>
        <v>36.208477876043787</v>
      </c>
      <c r="G15" s="178">
        <f t="shared" si="33"/>
        <v>48.44606000000001</v>
      </c>
      <c r="H15" s="178">
        <f t="shared" si="34"/>
        <v>60.683642123956226</v>
      </c>
      <c r="I15" s="178">
        <f t="shared" si="35"/>
        <v>62.439017100152917</v>
      </c>
      <c r="J15" s="178">
        <f t="shared" si="36"/>
        <v>65.753905932910897</v>
      </c>
      <c r="K15" s="178">
        <f t="shared" si="37"/>
        <v>7.4399216583405234</v>
      </c>
      <c r="M15" s="177">
        <f t="shared" si="0"/>
        <v>84.502458382795922</v>
      </c>
      <c r="N15" s="173">
        <f t="shared" si="38"/>
        <v>24.475164247912438</v>
      </c>
      <c r="O15" s="173">
        <f t="shared" si="39"/>
        <v>20</v>
      </c>
      <c r="P15" s="173" t="str">
        <f t="shared" si="40"/>
        <v>20s (%84,5)</v>
      </c>
      <c r="Q15" s="173">
        <f t="shared" si="1"/>
        <v>0</v>
      </c>
      <c r="R15" s="173">
        <f t="shared" si="2"/>
        <v>1</v>
      </c>
      <c r="S15" s="173">
        <f t="shared" si="3"/>
        <v>0</v>
      </c>
      <c r="T15" s="173">
        <f t="shared" si="4"/>
        <v>0</v>
      </c>
      <c r="U15" s="173">
        <f t="shared" si="5"/>
        <v>2.5</v>
      </c>
      <c r="V15" s="173">
        <f t="shared" si="6"/>
        <v>0</v>
      </c>
      <c r="W15" s="173">
        <f t="shared" si="7"/>
        <v>0</v>
      </c>
      <c r="X15" s="173">
        <f t="shared" si="8"/>
        <v>2.5</v>
      </c>
      <c r="Y15" s="173">
        <f t="shared" si="9"/>
        <v>0</v>
      </c>
      <c r="Z15" s="173">
        <f t="shared" si="10"/>
        <v>0</v>
      </c>
      <c r="AA15" s="173">
        <f t="shared" si="11"/>
        <v>4.5</v>
      </c>
      <c r="AB15" s="173">
        <f t="shared" si="12"/>
        <v>18.62561459569898</v>
      </c>
      <c r="AC15" s="173">
        <f t="shared" si="13"/>
        <v>0.5</v>
      </c>
      <c r="AD15" s="173">
        <f t="shared" si="14"/>
        <v>1.3743854043010195</v>
      </c>
      <c r="AE15" s="173">
        <f t="shared" si="15"/>
        <v>0</v>
      </c>
      <c r="AF15" s="173">
        <f t="shared" si="16"/>
        <v>0</v>
      </c>
      <c r="AG15" s="173">
        <f t="shared" si="17"/>
        <v>4.5</v>
      </c>
      <c r="AH15" s="173">
        <f t="shared" si="18"/>
        <v>0</v>
      </c>
      <c r="AI15" s="173">
        <f t="shared" si="19"/>
        <v>0</v>
      </c>
      <c r="AJ15" s="173">
        <f t="shared" si="20"/>
        <v>2.5</v>
      </c>
      <c r="AK15" s="173">
        <f t="shared" si="21"/>
        <v>0</v>
      </c>
      <c r="AL15" s="173">
        <f t="shared" si="22"/>
        <v>0</v>
      </c>
      <c r="AM15" s="173">
        <f t="shared" si="23"/>
        <v>2.5</v>
      </c>
      <c r="AN15" s="173">
        <f t="shared" si="24"/>
        <v>1</v>
      </c>
      <c r="AO15" s="173">
        <f t="shared" si="25"/>
        <v>0</v>
      </c>
      <c r="AP15" s="173"/>
      <c r="AR15">
        <f t="shared" si="43"/>
        <v>84.5</v>
      </c>
      <c r="AS15">
        <f t="shared" si="26"/>
        <v>0</v>
      </c>
      <c r="AT15">
        <f t="shared" si="26"/>
        <v>1</v>
      </c>
      <c r="AU15">
        <f t="shared" si="27"/>
        <v>0</v>
      </c>
      <c r="AV15">
        <f t="shared" si="27"/>
        <v>0</v>
      </c>
      <c r="AW15">
        <f t="shared" si="27"/>
        <v>2.5</v>
      </c>
      <c r="AX15">
        <f t="shared" si="28"/>
        <v>18.62561459569898</v>
      </c>
      <c r="AY15">
        <f t="shared" si="28"/>
        <v>0.5</v>
      </c>
      <c r="AZ15">
        <f t="shared" si="28"/>
        <v>1.3743854043010195</v>
      </c>
      <c r="BA15">
        <f t="shared" si="41"/>
        <v>0</v>
      </c>
      <c r="BB15">
        <f t="shared" si="41"/>
        <v>0</v>
      </c>
      <c r="BC15">
        <f t="shared" si="41"/>
        <v>2.5</v>
      </c>
      <c r="BD15">
        <f t="shared" si="42"/>
        <v>1</v>
      </c>
      <c r="BE15">
        <f t="shared" si="29"/>
        <v>0</v>
      </c>
    </row>
    <row r="16" spans="1:57">
      <c r="A16" s="176">
        <v>62</v>
      </c>
      <c r="B16" s="177"/>
      <c r="C16">
        <v>21</v>
      </c>
      <c r="D16" s="178">
        <f t="shared" si="30"/>
        <v>33.834682688533618</v>
      </c>
      <c r="E16" s="178">
        <f t="shared" si="31"/>
        <v>37.257538340500346</v>
      </c>
      <c r="F16" s="178">
        <f t="shared" si="32"/>
        <v>39.070086350925436</v>
      </c>
      <c r="G16" s="178">
        <f t="shared" si="33"/>
        <v>51.706249810000003</v>
      </c>
      <c r="H16" s="178">
        <f t="shared" si="34"/>
        <v>64.342413269074569</v>
      </c>
      <c r="I16" s="178">
        <f t="shared" si="35"/>
        <v>66.154961279499645</v>
      </c>
      <c r="J16" s="178">
        <f t="shared" si="36"/>
        <v>69.577816931466387</v>
      </c>
      <c r="K16" s="178">
        <f t="shared" si="37"/>
        <v>7.6822419040982339</v>
      </c>
      <c r="M16" s="177">
        <f t="shared" si="0"/>
        <v>90.986772140000411</v>
      </c>
      <c r="N16" s="173">
        <f t="shared" si="38"/>
        <v>25.272326918149133</v>
      </c>
      <c r="O16" s="173">
        <f t="shared" si="39"/>
        <v>21</v>
      </c>
      <c r="P16" s="173" t="str">
        <f t="shared" si="40"/>
        <v>21s (%90,9)</v>
      </c>
      <c r="Q16" s="173">
        <f t="shared" si="1"/>
        <v>0</v>
      </c>
      <c r="R16" s="173">
        <f t="shared" si="2"/>
        <v>1</v>
      </c>
      <c r="S16" s="173">
        <f t="shared" si="3"/>
        <v>0</v>
      </c>
      <c r="T16" s="173">
        <f t="shared" si="4"/>
        <v>0</v>
      </c>
      <c r="U16" s="173">
        <f t="shared" si="5"/>
        <v>2.5</v>
      </c>
      <c r="V16" s="173">
        <f t="shared" si="6"/>
        <v>0</v>
      </c>
      <c r="W16" s="173">
        <f t="shared" si="7"/>
        <v>0</v>
      </c>
      <c r="X16" s="173">
        <f t="shared" si="8"/>
        <v>2.5</v>
      </c>
      <c r="Y16" s="173">
        <f t="shared" si="9"/>
        <v>0</v>
      </c>
      <c r="Z16" s="173">
        <f t="shared" si="10"/>
        <v>0</v>
      </c>
      <c r="AA16" s="173">
        <f t="shared" si="11"/>
        <v>4.5</v>
      </c>
      <c r="AB16" s="173">
        <f t="shared" si="12"/>
        <v>0</v>
      </c>
      <c r="AC16" s="173">
        <f t="shared" si="13"/>
        <v>0</v>
      </c>
      <c r="AD16" s="173">
        <f t="shared" si="14"/>
        <v>20.5</v>
      </c>
      <c r="AE16" s="173">
        <f t="shared" si="15"/>
        <v>0.78941771200032917</v>
      </c>
      <c r="AF16" s="173">
        <f t="shared" si="16"/>
        <v>0.5</v>
      </c>
      <c r="AG16" s="173">
        <f t="shared" si="17"/>
        <v>3.2105822879996708</v>
      </c>
      <c r="AH16" s="173">
        <f t="shared" si="18"/>
        <v>0</v>
      </c>
      <c r="AI16" s="173">
        <f t="shared" si="19"/>
        <v>0</v>
      </c>
      <c r="AJ16" s="173">
        <f t="shared" si="20"/>
        <v>2.5</v>
      </c>
      <c r="AK16" s="173">
        <f t="shared" si="21"/>
        <v>0</v>
      </c>
      <c r="AL16" s="173">
        <f t="shared" si="22"/>
        <v>0</v>
      </c>
      <c r="AM16" s="173">
        <f t="shared" si="23"/>
        <v>2.5</v>
      </c>
      <c r="AN16" s="173">
        <f t="shared" si="24"/>
        <v>1</v>
      </c>
      <c r="AO16" s="173">
        <f t="shared" si="25"/>
        <v>0</v>
      </c>
      <c r="AP16" s="173"/>
      <c r="AR16">
        <f t="shared" si="43"/>
        <v>90.9</v>
      </c>
      <c r="AS16">
        <f t="shared" si="26"/>
        <v>0</v>
      </c>
      <c r="AT16">
        <f t="shared" si="26"/>
        <v>1</v>
      </c>
      <c r="AU16">
        <f t="shared" si="27"/>
        <v>0</v>
      </c>
      <c r="AV16">
        <f t="shared" si="27"/>
        <v>0</v>
      </c>
      <c r="AW16">
        <f t="shared" si="27"/>
        <v>2.5</v>
      </c>
      <c r="AX16">
        <f t="shared" si="28"/>
        <v>0</v>
      </c>
      <c r="AY16">
        <f t="shared" si="28"/>
        <v>0</v>
      </c>
      <c r="AZ16">
        <f t="shared" si="28"/>
        <v>20.5</v>
      </c>
      <c r="BA16">
        <f t="shared" si="41"/>
        <v>0</v>
      </c>
      <c r="BB16">
        <f t="shared" si="41"/>
        <v>0</v>
      </c>
      <c r="BC16">
        <f t="shared" si="41"/>
        <v>2.5</v>
      </c>
      <c r="BD16">
        <f t="shared" si="42"/>
        <v>1</v>
      </c>
      <c r="BE16">
        <f t="shared" si="29"/>
        <v>0</v>
      </c>
    </row>
    <row r="17" spans="1:57">
      <c r="A17" s="176">
        <v>69</v>
      </c>
      <c r="B17" s="177"/>
      <c r="C17">
        <v>22</v>
      </c>
      <c r="D17" s="178">
        <f t="shared" si="30"/>
        <v>36.571081272866181</v>
      </c>
      <c r="E17" s="178">
        <f t="shared" si="31"/>
        <v>40.093049628777322</v>
      </c>
      <c r="F17" s="178">
        <f t="shared" si="32"/>
        <v>41.95808204187918</v>
      </c>
      <c r="G17" s="178">
        <f t="shared" si="33"/>
        <v>54.960140080000002</v>
      </c>
      <c r="H17" s="178">
        <f t="shared" si="34"/>
        <v>67.96219811812081</v>
      </c>
      <c r="I17" s="178">
        <f t="shared" si="35"/>
        <v>69.827230531222682</v>
      </c>
      <c r="J17" s="178">
        <f t="shared" si="36"/>
        <v>73.349198887133824</v>
      </c>
      <c r="K17" s="178">
        <f t="shared" si="37"/>
        <v>7.9046900131888833</v>
      </c>
      <c r="M17" s="177">
        <f t="shared" si="0"/>
        <v>96.214532571482295</v>
      </c>
      <c r="N17" s="173">
        <f t="shared" si="38"/>
        <v>26.00411607624163</v>
      </c>
      <c r="O17" s="173">
        <f t="shared" si="39"/>
        <v>22</v>
      </c>
      <c r="P17" s="173" t="str">
        <f t="shared" si="40"/>
        <v>22s (%96,2)</v>
      </c>
      <c r="Q17" s="173">
        <f t="shared" si="1"/>
        <v>0</v>
      </c>
      <c r="R17" s="173">
        <f t="shared" si="2"/>
        <v>1</v>
      </c>
      <c r="S17" s="173">
        <f t="shared" si="3"/>
        <v>0</v>
      </c>
      <c r="T17" s="173">
        <f t="shared" si="4"/>
        <v>0</v>
      </c>
      <c r="U17" s="173">
        <f t="shared" si="5"/>
        <v>2.5</v>
      </c>
      <c r="V17" s="173">
        <f t="shared" si="6"/>
        <v>0</v>
      </c>
      <c r="W17" s="173">
        <f t="shared" si="7"/>
        <v>0</v>
      </c>
      <c r="X17" s="173">
        <f t="shared" si="8"/>
        <v>2.5</v>
      </c>
      <c r="Y17" s="173">
        <f t="shared" si="9"/>
        <v>0</v>
      </c>
      <c r="Z17" s="173">
        <f t="shared" si="10"/>
        <v>0</v>
      </c>
      <c r="AA17" s="173">
        <f t="shared" si="11"/>
        <v>4.5</v>
      </c>
      <c r="AB17" s="173">
        <f t="shared" si="12"/>
        <v>0</v>
      </c>
      <c r="AC17" s="173">
        <f t="shared" si="13"/>
        <v>0</v>
      </c>
      <c r="AD17" s="173">
        <f t="shared" si="14"/>
        <v>20.5</v>
      </c>
      <c r="AE17" s="173">
        <f t="shared" si="15"/>
        <v>0</v>
      </c>
      <c r="AF17" s="173">
        <f t="shared" si="16"/>
        <v>0</v>
      </c>
      <c r="AG17" s="173">
        <f t="shared" si="17"/>
        <v>4.5</v>
      </c>
      <c r="AH17" s="173">
        <f t="shared" si="18"/>
        <v>1.2145325714822945</v>
      </c>
      <c r="AI17" s="173">
        <f t="shared" si="19"/>
        <v>0.5</v>
      </c>
      <c r="AJ17" s="173">
        <f t="shared" si="20"/>
        <v>0.78546742851770546</v>
      </c>
      <c r="AK17" s="173">
        <f t="shared" si="21"/>
        <v>0</v>
      </c>
      <c r="AL17" s="173">
        <f t="shared" si="22"/>
        <v>0</v>
      </c>
      <c r="AM17" s="173">
        <f t="shared" si="23"/>
        <v>2.5</v>
      </c>
      <c r="AN17" s="173">
        <f t="shared" si="24"/>
        <v>1</v>
      </c>
      <c r="AO17" s="173">
        <f t="shared" si="25"/>
        <v>0</v>
      </c>
      <c r="AP17" s="173"/>
      <c r="AR17" s="38" t="s">
        <v>269</v>
      </c>
      <c r="AS17" s="38">
        <v>1</v>
      </c>
      <c r="AT17">
        <v>1</v>
      </c>
      <c r="AU17">
        <v>2</v>
      </c>
      <c r="AV17">
        <v>1</v>
      </c>
      <c r="AW17">
        <v>2</v>
      </c>
      <c r="AX17">
        <v>50</v>
      </c>
      <c r="AY17">
        <v>1</v>
      </c>
      <c r="AZ17">
        <v>50</v>
      </c>
      <c r="BA17">
        <v>2</v>
      </c>
      <c r="BB17">
        <v>1</v>
      </c>
      <c r="BC17">
        <v>2</v>
      </c>
      <c r="BD17">
        <v>1</v>
      </c>
      <c r="BE17">
        <v>1</v>
      </c>
    </row>
    <row r="18" spans="1:57">
      <c r="A18" s="176">
        <v>74</v>
      </c>
      <c r="B18" s="177"/>
      <c r="C18">
        <v>23</v>
      </c>
      <c r="D18" s="178">
        <f t="shared" si="30"/>
        <v>39.329173897181434</v>
      </c>
      <c r="E18" s="178">
        <f t="shared" si="31"/>
        <v>42.941947298228726</v>
      </c>
      <c r="F18" s="178">
        <f t="shared" si="32"/>
        <v>44.855064854448869</v>
      </c>
      <c r="G18" s="178">
        <f t="shared" si="33"/>
        <v>58.192348070000008</v>
      </c>
      <c r="H18" s="178">
        <f t="shared" si="34"/>
        <v>71.529631285551133</v>
      </c>
      <c r="I18" s="178">
        <f t="shared" si="35"/>
        <v>73.442748841771291</v>
      </c>
      <c r="J18" s="178">
        <f t="shared" si="36"/>
        <v>77.055522242818583</v>
      </c>
      <c r="K18" s="178">
        <f t="shared" si="37"/>
        <v>8.1084924500364792</v>
      </c>
      <c r="M18" s="177">
        <v>98.9</v>
      </c>
      <c r="N18" s="173">
        <f t="shared" si="38"/>
        <v>26.674566431102264</v>
      </c>
      <c r="O18" s="173">
        <f t="shared" si="39"/>
        <v>23</v>
      </c>
      <c r="P18" s="173" t="str">
        <f t="shared" si="40"/>
        <v>23s (%98,9)</v>
      </c>
      <c r="Q18" s="173">
        <f t="shared" si="1"/>
        <v>0</v>
      </c>
      <c r="R18" s="173">
        <f t="shared" si="2"/>
        <v>1</v>
      </c>
      <c r="S18" s="173">
        <f t="shared" si="3"/>
        <v>0</v>
      </c>
      <c r="T18" s="173">
        <f t="shared" si="4"/>
        <v>0</v>
      </c>
      <c r="U18" s="173">
        <f t="shared" si="5"/>
        <v>2.5</v>
      </c>
      <c r="V18" s="173">
        <f t="shared" si="6"/>
        <v>0</v>
      </c>
      <c r="W18" s="173">
        <f t="shared" si="7"/>
        <v>0</v>
      </c>
      <c r="X18" s="173">
        <f t="shared" si="8"/>
        <v>2.5</v>
      </c>
      <c r="Y18" s="173">
        <f t="shared" si="9"/>
        <v>0</v>
      </c>
      <c r="Z18" s="173">
        <f t="shared" si="10"/>
        <v>0</v>
      </c>
      <c r="AA18" s="173">
        <f t="shared" si="11"/>
        <v>4.5</v>
      </c>
      <c r="AB18" s="173">
        <f t="shared" si="12"/>
        <v>0</v>
      </c>
      <c r="AC18" s="173">
        <f t="shared" si="13"/>
        <v>0</v>
      </c>
      <c r="AD18" s="173">
        <f t="shared" si="14"/>
        <v>20.5</v>
      </c>
      <c r="AE18" s="173">
        <f t="shared" si="15"/>
        <v>0</v>
      </c>
      <c r="AF18" s="173">
        <f t="shared" si="16"/>
        <v>0</v>
      </c>
      <c r="AG18" s="173">
        <f t="shared" si="17"/>
        <v>4.5</v>
      </c>
      <c r="AH18" s="173">
        <f t="shared" si="18"/>
        <v>0</v>
      </c>
      <c r="AI18" s="173">
        <f t="shared" si="19"/>
        <v>0</v>
      </c>
      <c r="AJ18" s="173">
        <f t="shared" si="20"/>
        <v>2.5</v>
      </c>
      <c r="AK18" s="173">
        <f t="shared" si="21"/>
        <v>1.9000000000000057</v>
      </c>
      <c r="AL18" s="173">
        <f t="shared" si="22"/>
        <v>0.5</v>
      </c>
      <c r="AM18" s="173">
        <f t="shared" si="23"/>
        <v>9.9999999999994316E-2</v>
      </c>
      <c r="AN18" s="173">
        <f t="shared" si="24"/>
        <v>1</v>
      </c>
      <c r="AO18" s="173">
        <f t="shared" si="25"/>
        <v>0</v>
      </c>
      <c r="AP18" s="173"/>
      <c r="AR18">
        <f t="shared" si="43"/>
        <v>98.9</v>
      </c>
      <c r="AS18">
        <f t="shared" ref="AS18:AT37" si="44">Q18</f>
        <v>0</v>
      </c>
      <c r="AT18">
        <f t="shared" si="44"/>
        <v>1</v>
      </c>
      <c r="AU18">
        <f t="shared" ref="AU18:AW37" si="45">V18</f>
        <v>0</v>
      </c>
      <c r="AV18">
        <f t="shared" si="45"/>
        <v>0</v>
      </c>
      <c r="AW18">
        <f t="shared" si="45"/>
        <v>2.5</v>
      </c>
      <c r="AX18">
        <f t="shared" ref="AX18:AZ37" si="46">AB18</f>
        <v>0</v>
      </c>
      <c r="AY18">
        <f t="shared" si="46"/>
        <v>0</v>
      </c>
      <c r="AZ18">
        <f t="shared" si="46"/>
        <v>20.5</v>
      </c>
      <c r="BA18">
        <f t="shared" si="41"/>
        <v>0</v>
      </c>
      <c r="BB18">
        <f t="shared" si="41"/>
        <v>0</v>
      </c>
      <c r="BC18">
        <f t="shared" si="41"/>
        <v>2.5</v>
      </c>
      <c r="BD18">
        <f t="shared" si="42"/>
        <v>1</v>
      </c>
      <c r="BE18">
        <f t="shared" si="29"/>
        <v>0</v>
      </c>
    </row>
    <row r="19" spans="1:57">
      <c r="A19" s="176">
        <v>81</v>
      </c>
      <c r="B19" s="177"/>
      <c r="C19">
        <v>24</v>
      </c>
      <c r="D19" s="178">
        <f t="shared" si="30"/>
        <v>42.089232497471627</v>
      </c>
      <c r="E19" s="178">
        <f t="shared" si="31"/>
        <v>45.785335523941335</v>
      </c>
      <c r="F19" s="178">
        <f t="shared" si="32"/>
        <v>47.742579669806631</v>
      </c>
      <c r="G19" s="178">
        <f t="shared" si="33"/>
        <v>61.38749104</v>
      </c>
      <c r="H19" s="178">
        <f t="shared" si="34"/>
        <v>75.032402410193356</v>
      </c>
      <c r="I19" s="178">
        <f t="shared" si="35"/>
        <v>76.989646556058659</v>
      </c>
      <c r="J19" s="178">
        <f t="shared" si="36"/>
        <v>80.685749582528373</v>
      </c>
      <c r="K19" s="178">
        <f t="shared" si="37"/>
        <v>8.2955170883396363</v>
      </c>
      <c r="M19" s="177">
        <f t="shared" si="0"/>
        <v>99.096619996857854</v>
      </c>
      <c r="N19" s="173">
        <f t="shared" si="38"/>
        <v>27.289822740386725</v>
      </c>
      <c r="O19" s="173">
        <f t="shared" si="39"/>
        <v>24</v>
      </c>
      <c r="P19" s="173" t="str">
        <f t="shared" si="40"/>
        <v>24s (%99)</v>
      </c>
      <c r="Q19" s="173">
        <f>IF(M19="","",IF(M19&lt;1,0.5,0))</f>
        <v>0</v>
      </c>
      <c r="R19" s="173">
        <f>IF(M19="","",IF(Q19=0,1,0.5))</f>
        <v>1</v>
      </c>
      <c r="S19" s="173">
        <f>IF(M19="","",IF(AND(M19&gt;=1,M19&lt;3),M19-1,0))</f>
        <v>0</v>
      </c>
      <c r="T19" s="173">
        <f>IF(M19="","",IF(AND(M19&gt;=1,M19&lt;3),0.5,0))</f>
        <v>0</v>
      </c>
      <c r="U19" s="173">
        <f>IF(M19="","",IF(AND(M19&gt;=1,M19&lt;3),2-S19,2.5))</f>
        <v>2.5</v>
      </c>
      <c r="V19" s="173">
        <f>IF(M19="","",IF(AND(M19&gt;=3,M19&lt;5),M19-3,0))</f>
        <v>0</v>
      </c>
      <c r="W19" s="173">
        <f>IF(M19="","",IF(AND(M19&gt;=3,M19&lt;5),0.5,0))</f>
        <v>0</v>
      </c>
      <c r="X19" s="173">
        <f>IF(M19="","",IF(AND(M19&gt;=3,M19&lt;5),2-V19,2.5))</f>
        <v>2.5</v>
      </c>
      <c r="Y19" s="173">
        <f>IF(M19="","",IF(AND(M19&gt;=5,M19&lt;10),(M19-5)*0.8,0))</f>
        <v>0</v>
      </c>
      <c r="Z19" s="173">
        <f>IF(M19="","",IF(AND(M19&gt;=5,M19&lt;10),0.5,0))</f>
        <v>0</v>
      </c>
      <c r="AA19" s="173">
        <f>IF(M19="","",IF(AND(M19&gt;=5,M19&lt;10),4-Y19,4.5))</f>
        <v>4.5</v>
      </c>
      <c r="AB19" s="173">
        <f>IF(M19="","",IF(OR(M19&gt;90,M19&lt;10),0,(M19-10)/4))</f>
        <v>0</v>
      </c>
      <c r="AC19" s="173">
        <f>IF(M19="","",IF(OR(M19&gt;90,M19&lt;10),0,0.5))</f>
        <v>0</v>
      </c>
      <c r="AD19" s="173">
        <f>IF(M19="","",IF(OR(M19&gt;90,M19&lt;10),20.5,20-AB19))</f>
        <v>20.5</v>
      </c>
      <c r="AE19" s="173">
        <f>IF(M19="","",IF(AND(M19&lt;=95,M19&gt;90),4-AG19,0))</f>
        <v>0</v>
      </c>
      <c r="AF19" s="173">
        <f>IF(M19="","",IF(AND(M19&lt;=95,M19&gt;90),0.5,0))</f>
        <v>0</v>
      </c>
      <c r="AG19" s="173">
        <f>IF(M19="","",IF(AND(M19&lt;=95,M19&gt;90),(95-M19)*0.8,4.5))</f>
        <v>4.5</v>
      </c>
      <c r="AH19" s="173">
        <f>IF(M19="","",IF(AND(M19&gt;95,M19&lt;=97),M19-95,0))</f>
        <v>0</v>
      </c>
      <c r="AI19" s="173">
        <f>IF(M19="","",IF(AND(M19&gt;95,M19&lt;=97),0.5,0))</f>
        <v>0</v>
      </c>
      <c r="AJ19" s="173">
        <f>IF(M19="","",IF(AND(M19&gt;95,M19&lt;=97),97-M19,2.5))</f>
        <v>2.5</v>
      </c>
      <c r="AK19" s="173">
        <f>IF(M19="","",IF(AND(M19&gt;97,M19&lt;=99),2-AM19,0))</f>
        <v>0</v>
      </c>
      <c r="AL19" s="173">
        <f>IF(M19="","",IF(AND(M19&gt;97,M19&lt;=99),0.5,0))</f>
        <v>0</v>
      </c>
      <c r="AM19" s="173">
        <f>IF(M19="","",IF(AND(M19&gt;97,M19&lt;=99),99-M19,2.5))</f>
        <v>2.5</v>
      </c>
      <c r="AN19" s="173">
        <f>IF(M19="","",IF(AO19=0,1,0.5))</f>
        <v>0.5</v>
      </c>
      <c r="AO19" s="173">
        <f>IF(M19="","",IF(M19&gt;99,0.5,0))</f>
        <v>0.5</v>
      </c>
      <c r="AP19" s="173"/>
      <c r="AR19">
        <f t="shared" si="43"/>
        <v>99</v>
      </c>
      <c r="AS19">
        <f t="shared" si="44"/>
        <v>0</v>
      </c>
      <c r="AT19">
        <f t="shared" si="44"/>
        <v>1</v>
      </c>
      <c r="AU19">
        <f t="shared" si="45"/>
        <v>0</v>
      </c>
      <c r="AV19">
        <f t="shared" si="45"/>
        <v>0</v>
      </c>
      <c r="AW19">
        <f t="shared" si="45"/>
        <v>2.5</v>
      </c>
      <c r="AX19">
        <f t="shared" si="46"/>
        <v>0</v>
      </c>
      <c r="AY19">
        <f t="shared" si="46"/>
        <v>0</v>
      </c>
      <c r="AZ19">
        <f t="shared" si="46"/>
        <v>20.5</v>
      </c>
      <c r="BA19">
        <f t="shared" si="41"/>
        <v>0</v>
      </c>
      <c r="BB19">
        <f t="shared" si="41"/>
        <v>0</v>
      </c>
      <c r="BC19">
        <f t="shared" si="41"/>
        <v>2.5</v>
      </c>
      <c r="BD19">
        <f t="shared" si="42"/>
        <v>0.5</v>
      </c>
      <c r="BE19">
        <f t="shared" si="29"/>
        <v>0.5</v>
      </c>
    </row>
    <row r="20" spans="1:57">
      <c r="A20" s="176">
        <v>80</v>
      </c>
      <c r="B20" s="177"/>
      <c r="C20">
        <v>25</v>
      </c>
      <c r="D20" s="178">
        <f t="shared" si="30"/>
        <v>44.830049018408261</v>
      </c>
      <c r="E20" s="178">
        <f t="shared" si="31"/>
        <v>48.603121945330258</v>
      </c>
      <c r="F20" s="178">
        <f t="shared" si="32"/>
        <v>50.601124935304924</v>
      </c>
      <c r="G20" s="178">
        <f t="shared" si="33"/>
        <v>64.53018625</v>
      </c>
      <c r="H20" s="178">
        <f t="shared" si="34"/>
        <v>78.459247564695062</v>
      </c>
      <c r="I20" s="178">
        <f t="shared" si="35"/>
        <v>80.457250554669741</v>
      </c>
      <c r="J20" s="178">
        <f t="shared" si="36"/>
        <v>84.230323481591739</v>
      </c>
      <c r="K20" s="178">
        <f t="shared" si="37"/>
        <v>8.4682679883867991</v>
      </c>
      <c r="M20" s="177">
        <f t="shared" si="0"/>
        <v>96.613491532119966</v>
      </c>
      <c r="N20" s="173">
        <f t="shared" si="38"/>
        <v>27.858122629390138</v>
      </c>
      <c r="O20" s="173">
        <f t="shared" si="39"/>
        <v>25</v>
      </c>
      <c r="P20" s="173" t="str">
        <f t="shared" si="40"/>
        <v>25s (%96,6)</v>
      </c>
      <c r="Q20" s="173">
        <f>IF(M20="","",IF(M20&lt;1,0.5,0))</f>
        <v>0</v>
      </c>
      <c r="R20" s="173">
        <f>IF(M20="","",IF(Q20=0,1,0.5))</f>
        <v>1</v>
      </c>
      <c r="S20" s="173">
        <f>IF(M20="","",IF(AND(M20&gt;=1,M20&lt;3),M20-1,0))</f>
        <v>0</v>
      </c>
      <c r="T20" s="173">
        <f>IF(M20="","",IF(AND(M20&gt;=1,M20&lt;3),0.5,0))</f>
        <v>0</v>
      </c>
      <c r="U20" s="173">
        <f>IF(M20="","",IF(AND(M20&gt;=1,M20&lt;3),2-S20,2.5))</f>
        <v>2.5</v>
      </c>
      <c r="V20" s="173">
        <f>IF(M20="","",IF(AND(M20&gt;=3,M20&lt;5),M20-3,0))</f>
        <v>0</v>
      </c>
      <c r="W20" s="173">
        <f>IF(M20="","",IF(AND(M20&gt;=3,M20&lt;5),0.5,0))</f>
        <v>0</v>
      </c>
      <c r="X20" s="173">
        <f>IF(M20="","",IF(AND(M20&gt;=3,M20&lt;5),2-V20,2.5))</f>
        <v>2.5</v>
      </c>
      <c r="Y20" s="173">
        <f>IF(M20="","",IF(AND(M20&gt;=5,M20&lt;10),(M20-5)*0.8,0))</f>
        <v>0</v>
      </c>
      <c r="Z20" s="173">
        <f>IF(M20="","",IF(AND(M20&gt;=5,M20&lt;10),0.5,0))</f>
        <v>0</v>
      </c>
      <c r="AA20" s="173">
        <f>IF(M20="","",IF(AND(M20&gt;=5,M20&lt;10),4-Y20,4.5))</f>
        <v>4.5</v>
      </c>
      <c r="AB20" s="173">
        <f>IF(M20="","",IF(OR(M20&gt;90,M20&lt;10),0,(M20-10)/4))</f>
        <v>0</v>
      </c>
      <c r="AC20" s="173">
        <f>IF(M20="","",IF(OR(M20&gt;90,M20&lt;10),0,0.5))</f>
        <v>0</v>
      </c>
      <c r="AD20" s="173">
        <f>IF(M20="","",IF(OR(M20&gt;90,M20&lt;10),20.5,20-AB20))</f>
        <v>20.5</v>
      </c>
      <c r="AE20" s="173">
        <f>IF(M20="","",IF(AND(M20&lt;=95,M20&gt;90),4-AG20,0))</f>
        <v>0</v>
      </c>
      <c r="AF20" s="173">
        <f>IF(M20="","",IF(AND(M20&lt;=95,M20&gt;90),0.5,0))</f>
        <v>0</v>
      </c>
      <c r="AG20" s="173">
        <f>IF(M20="","",IF(AND(M20&lt;=95,M20&gt;90),(95-M20)*0.8,4.5))</f>
        <v>4.5</v>
      </c>
      <c r="AH20" s="173">
        <f>IF(M20="","",IF(AND(M20&gt;95,M20&lt;=97),M20-95,0))</f>
        <v>1.6134915321199657</v>
      </c>
      <c r="AI20" s="173">
        <f>IF(M20="","",IF(AND(M20&gt;95,M20&lt;=97),0.5,0))</f>
        <v>0.5</v>
      </c>
      <c r="AJ20" s="173">
        <f>IF(M20="","",IF(AND(M20&gt;95,M20&lt;=97),97-M20,2.5))</f>
        <v>0.38650846788003435</v>
      </c>
      <c r="AK20" s="173">
        <f>IF(M20="","",IF(AND(M20&gt;97,M20&lt;=99),2-AM20,0))</f>
        <v>0</v>
      </c>
      <c r="AL20" s="173">
        <f>IF(M20="","",IF(AND(M20&gt;97,M20&lt;=99),0.5,0))</f>
        <v>0</v>
      </c>
      <c r="AM20" s="173">
        <f>IF(M20="","",IF(AND(M20&gt;97,M20&lt;=99),99-M20,2.5))</f>
        <v>2.5</v>
      </c>
      <c r="AN20" s="173">
        <f>IF(M20="","",IF(AO20=0,1,0.5))</f>
        <v>1</v>
      </c>
      <c r="AO20" s="173">
        <f>IF(M20="","",IF(M20&gt;99,0.5,0))</f>
        <v>0</v>
      </c>
      <c r="AP20" s="173"/>
      <c r="AR20">
        <f t="shared" si="43"/>
        <v>96.6</v>
      </c>
      <c r="AS20">
        <f t="shared" si="44"/>
        <v>0</v>
      </c>
      <c r="AT20">
        <f t="shared" si="44"/>
        <v>1</v>
      </c>
      <c r="AU20">
        <f t="shared" si="45"/>
        <v>0</v>
      </c>
      <c r="AV20">
        <f t="shared" si="45"/>
        <v>0</v>
      </c>
      <c r="AW20">
        <f t="shared" si="45"/>
        <v>2.5</v>
      </c>
      <c r="AX20">
        <f t="shared" si="46"/>
        <v>0</v>
      </c>
      <c r="AY20">
        <f t="shared" si="46"/>
        <v>0</v>
      </c>
      <c r="AZ20">
        <f t="shared" si="46"/>
        <v>20.5</v>
      </c>
      <c r="BA20">
        <f t="shared" si="41"/>
        <v>1.6134915321199657</v>
      </c>
      <c r="BB20">
        <f t="shared" si="41"/>
        <v>0.5</v>
      </c>
      <c r="BC20">
        <f t="shared" si="41"/>
        <v>0.38650846788003435</v>
      </c>
      <c r="BD20">
        <f t="shared" si="42"/>
        <v>1</v>
      </c>
      <c r="BE20">
        <f t="shared" si="29"/>
        <v>0</v>
      </c>
    </row>
    <row r="21" spans="1:57">
      <c r="A21" s="176">
        <f t="shared" ref="A21:A37" si="47">G21</f>
        <v>67.60505096</v>
      </c>
      <c r="B21" s="177"/>
      <c r="C21">
        <v>26</v>
      </c>
      <c r="D21" s="178">
        <f t="shared" si="30"/>
        <v>47.528948708175179</v>
      </c>
      <c r="E21" s="178">
        <f t="shared" si="31"/>
        <v>51.374028414676161</v>
      </c>
      <c r="F21" s="178">
        <f t="shared" si="32"/>
        <v>53.410162064641717</v>
      </c>
      <c r="G21" s="178">
        <f t="shared" si="33"/>
        <v>67.60505096</v>
      </c>
      <c r="H21" s="178">
        <f t="shared" si="34"/>
        <v>81.799939855358275</v>
      </c>
      <c r="I21" s="178">
        <f t="shared" si="35"/>
        <v>83.836073505323824</v>
      </c>
      <c r="J21" s="178">
        <f t="shared" si="36"/>
        <v>87.681153211824821</v>
      </c>
      <c r="K21" s="178">
        <f t="shared" si="37"/>
        <v>8.6298796821615724</v>
      </c>
      <c r="M21" s="177">
        <f t="shared" si="0"/>
        <v>50</v>
      </c>
      <c r="N21" s="173">
        <f t="shared" si="38"/>
        <v>28.389777790716558</v>
      </c>
      <c r="O21" s="173">
        <f t="shared" si="39"/>
        <v>26</v>
      </c>
      <c r="P21" s="173" t="str">
        <f t="shared" si="40"/>
        <v>26s (%50)</v>
      </c>
      <c r="Q21" s="173">
        <f t="shared" ref="Q21:Q37" si="48">IF(M21&lt;1,1,0)</f>
        <v>0</v>
      </c>
      <c r="R21" s="173">
        <f t="shared" ref="R21:R37" si="49">IF(Q21=0,2,1)</f>
        <v>2</v>
      </c>
      <c r="S21" s="173"/>
      <c r="T21" s="173"/>
      <c r="U21" s="173">
        <f t="shared" ref="U21:U37" si="50">IF(AND(M21&gt;=1,M21&lt;3),3-M21,3)</f>
        <v>3</v>
      </c>
      <c r="V21" s="173">
        <f t="shared" ref="V21:V37" si="51">IF(AND(M21&gt;=3,M21&lt;5),M21-3,0)</f>
        <v>0</v>
      </c>
      <c r="W21" s="173">
        <f t="shared" ref="W21:W37" si="52">IF(AND(M21&gt;=3,M21&lt;5),1,0)</f>
        <v>0</v>
      </c>
      <c r="X21" s="173">
        <f t="shared" ref="X21:X37" si="53">IF(AND(M21&gt;=3,M21&lt;5),5-M21,3)</f>
        <v>3</v>
      </c>
      <c r="Y21" s="173">
        <f t="shared" ref="Y21:Y37" si="54">IF(AND(M21&gt;=5,M21&lt;10),M21-5,0)</f>
        <v>0</v>
      </c>
      <c r="Z21" s="173">
        <f t="shared" ref="Z21:Z37" si="55">IF(AND(M21&gt;=5,M21&lt;10),1,0)</f>
        <v>0</v>
      </c>
      <c r="AA21" s="173">
        <f t="shared" ref="AA21:AA37" si="56">IF(AND(M21&gt;=5,M21&lt;10),10-M21,6)</f>
        <v>6</v>
      </c>
      <c r="AB21" s="173">
        <f>IF(OR(M21&gt;90,M21&lt;10),0,(M21-10)/4)</f>
        <v>10</v>
      </c>
      <c r="AC21" s="173">
        <f>IF(OR(M21&gt;90,M21&lt;10),0,0.5)</f>
        <v>0.5</v>
      </c>
      <c r="AD21" s="173">
        <f>IF(OR(M21&gt;90,M21&lt;10),20.5,20-AB21)</f>
        <v>10</v>
      </c>
      <c r="AE21" s="173">
        <f t="shared" ref="AE21:AE37" si="57">IF(AND(M21&lt;=95,M21&gt;90),M21-90,0)</f>
        <v>0</v>
      </c>
      <c r="AF21" s="173">
        <f t="shared" ref="AF21:AF37" si="58">IF(AND(M21&lt;=95,M21&gt;90),1,0)</f>
        <v>0</v>
      </c>
      <c r="AG21" s="173">
        <f t="shared" ref="AG21:AG37" si="59">IF(AND(M21&lt;=95,M21&gt;90),95-M21,6)</f>
        <v>6</v>
      </c>
      <c r="AH21" s="173">
        <f t="shared" ref="AH21:AH37" si="60">IF(AND(M21&gt;95,M21&lt;=97),M21-95,0)</f>
        <v>0</v>
      </c>
      <c r="AI21" s="173">
        <f t="shared" ref="AI21:AI37" si="61">IF(AND(M21&gt;95,M21&lt;=97),1,0)</f>
        <v>0</v>
      </c>
      <c r="AJ21" s="173">
        <f t="shared" ref="AJ21:AJ37" si="62">IF(AND(M21&gt;95,M21&lt;=97),97-M21,3)</f>
        <v>3</v>
      </c>
      <c r="AK21" s="173">
        <f t="shared" ref="AK21:AK37" si="63">IF(AND(M21&gt;97,M21&lt;=99),99-M21,0)</f>
        <v>0</v>
      </c>
      <c r="AL21" s="173">
        <f t="shared" ref="AL21:AL37" si="64">IF(AND(M21&gt;97,M21&lt;=99),1,0)</f>
        <v>0</v>
      </c>
      <c r="AM21" s="173">
        <f t="shared" ref="AM21:AM37" si="65">IF(AND(M21&gt;97,M21&lt;=99),99-M21,3)</f>
        <v>3</v>
      </c>
      <c r="AN21" s="173">
        <f t="shared" ref="AN21:AN37" si="66">IF(AO21=0,2,1)</f>
        <v>2</v>
      </c>
      <c r="AO21" s="173">
        <f t="shared" ref="AO21:AO37" si="67">IF(M21&gt;99,1,0)</f>
        <v>0</v>
      </c>
      <c r="AP21" s="173"/>
      <c r="AR21">
        <f t="shared" si="43"/>
        <v>50</v>
      </c>
      <c r="AS21">
        <f t="shared" si="44"/>
        <v>0</v>
      </c>
      <c r="AT21">
        <f t="shared" si="44"/>
        <v>2</v>
      </c>
      <c r="AU21">
        <f t="shared" si="45"/>
        <v>0</v>
      </c>
      <c r="AV21">
        <f t="shared" si="45"/>
        <v>0</v>
      </c>
      <c r="AW21">
        <f t="shared" si="45"/>
        <v>3</v>
      </c>
      <c r="AX21">
        <f t="shared" si="46"/>
        <v>10</v>
      </c>
      <c r="AY21">
        <f t="shared" si="46"/>
        <v>0.5</v>
      </c>
      <c r="AZ21">
        <f t="shared" si="46"/>
        <v>10</v>
      </c>
      <c r="BA21">
        <f t="shared" si="41"/>
        <v>0</v>
      </c>
      <c r="BB21">
        <f t="shared" si="41"/>
        <v>0</v>
      </c>
      <c r="BC21">
        <f t="shared" si="41"/>
        <v>3</v>
      </c>
      <c r="BD21">
        <f t="shared" si="42"/>
        <v>2</v>
      </c>
      <c r="BE21">
        <f t="shared" si="29"/>
        <v>0</v>
      </c>
    </row>
    <row r="22" spans="1:57">
      <c r="A22" s="176">
        <f t="shared" si="47"/>
        <v>70.596702430000008</v>
      </c>
      <c r="B22" s="177"/>
      <c r="C22">
        <v>27</v>
      </c>
      <c r="D22" s="178">
        <f t="shared" si="30"/>
        <v>50.161804250860619</v>
      </c>
      <c r="E22" s="178">
        <f t="shared" si="31"/>
        <v>54.075602422808103</v>
      </c>
      <c r="F22" s="178">
        <f t="shared" si="32"/>
        <v>56.148125430225221</v>
      </c>
      <c r="G22" s="178">
        <f t="shared" si="33"/>
        <v>70.596702430000008</v>
      </c>
      <c r="H22" s="178">
        <f t="shared" si="34"/>
        <v>85.04527942977478</v>
      </c>
      <c r="I22" s="178">
        <f t="shared" si="35"/>
        <v>87.117802437191898</v>
      </c>
      <c r="J22" s="178">
        <f t="shared" si="36"/>
        <v>91.031600609139389</v>
      </c>
      <c r="K22" s="178">
        <f t="shared" si="37"/>
        <v>8.7841110984163322</v>
      </c>
      <c r="M22" s="177">
        <f t="shared" si="0"/>
        <v>50</v>
      </c>
      <c r="N22" s="173">
        <f t="shared" si="38"/>
        <v>28.897153999549559</v>
      </c>
      <c r="O22" s="173">
        <f t="shared" si="39"/>
        <v>27</v>
      </c>
      <c r="P22" s="173" t="str">
        <f t="shared" si="40"/>
        <v>27s (%50)</v>
      </c>
      <c r="Q22" s="173">
        <f t="shared" si="48"/>
        <v>0</v>
      </c>
      <c r="R22" s="173">
        <f t="shared" si="49"/>
        <v>2</v>
      </c>
      <c r="S22" s="173"/>
      <c r="T22" s="173"/>
      <c r="U22" s="173">
        <f t="shared" si="50"/>
        <v>3</v>
      </c>
      <c r="V22" s="173">
        <f t="shared" si="51"/>
        <v>0</v>
      </c>
      <c r="W22" s="173">
        <f t="shared" si="52"/>
        <v>0</v>
      </c>
      <c r="X22" s="173">
        <f t="shared" si="53"/>
        <v>3</v>
      </c>
      <c r="Y22" s="173">
        <f t="shared" si="54"/>
        <v>0</v>
      </c>
      <c r="Z22" s="173">
        <f t="shared" si="55"/>
        <v>0</v>
      </c>
      <c r="AA22" s="173">
        <f t="shared" si="56"/>
        <v>6</v>
      </c>
      <c r="AB22" s="173">
        <f t="shared" ref="AB22:AB37" si="68">IF(OR(M22&gt;90,M22&lt;10),0,M22-10)</f>
        <v>40</v>
      </c>
      <c r="AC22" s="173">
        <f t="shared" ref="AC22:AC37" si="69">IF(OR(M22&gt;90,M22&lt;10),0,1)</f>
        <v>1</v>
      </c>
      <c r="AD22" s="173">
        <f t="shared" ref="AD22:AD37" si="70">IF(OR(M22&gt;90,M22&lt;10),81,90-M22)</f>
        <v>40</v>
      </c>
      <c r="AE22" s="173">
        <f t="shared" si="57"/>
        <v>0</v>
      </c>
      <c r="AF22" s="173">
        <f t="shared" si="58"/>
        <v>0</v>
      </c>
      <c r="AG22" s="173">
        <f t="shared" si="59"/>
        <v>6</v>
      </c>
      <c r="AH22" s="173">
        <f t="shared" si="60"/>
        <v>0</v>
      </c>
      <c r="AI22" s="173">
        <f t="shared" si="61"/>
        <v>0</v>
      </c>
      <c r="AJ22" s="173">
        <f t="shared" si="62"/>
        <v>3</v>
      </c>
      <c r="AK22" s="173">
        <f t="shared" si="63"/>
        <v>0</v>
      </c>
      <c r="AL22" s="173">
        <f t="shared" si="64"/>
        <v>0</v>
      </c>
      <c r="AM22" s="173">
        <f t="shared" si="65"/>
        <v>3</v>
      </c>
      <c r="AN22" s="173">
        <f t="shared" si="66"/>
        <v>2</v>
      </c>
      <c r="AO22" s="173">
        <f t="shared" si="67"/>
        <v>0</v>
      </c>
      <c r="AP22" s="173"/>
      <c r="AR22">
        <f t="shared" si="43"/>
        <v>50</v>
      </c>
      <c r="AS22">
        <f t="shared" si="44"/>
        <v>0</v>
      </c>
      <c r="AT22">
        <f t="shared" si="44"/>
        <v>2</v>
      </c>
      <c r="AU22">
        <f t="shared" si="45"/>
        <v>0</v>
      </c>
      <c r="AV22">
        <f t="shared" si="45"/>
        <v>0</v>
      </c>
      <c r="AW22">
        <f t="shared" si="45"/>
        <v>3</v>
      </c>
      <c r="AX22">
        <f t="shared" si="46"/>
        <v>40</v>
      </c>
      <c r="AY22">
        <f t="shared" si="46"/>
        <v>1</v>
      </c>
      <c r="AZ22">
        <f t="shared" si="46"/>
        <v>40</v>
      </c>
      <c r="BA22">
        <f t="shared" si="41"/>
        <v>0</v>
      </c>
      <c r="BB22">
        <f t="shared" si="41"/>
        <v>0</v>
      </c>
      <c r="BC22">
        <f t="shared" si="41"/>
        <v>3</v>
      </c>
      <c r="BD22">
        <f t="shared" si="42"/>
        <v>2</v>
      </c>
      <c r="BE22">
        <f t="shared" si="29"/>
        <v>0</v>
      </c>
    </row>
    <row r="23" spans="1:57">
      <c r="A23" s="176">
        <f t="shared" si="47"/>
        <v>73.489757920000017</v>
      </c>
      <c r="B23" s="177"/>
      <c r="C23">
        <v>28</v>
      </c>
      <c r="D23" s="178">
        <f t="shared" si="30"/>
        <v>52.70305049563342</v>
      </c>
      <c r="E23" s="178">
        <f t="shared" si="31"/>
        <v>56.684229007271085</v>
      </c>
      <c r="F23" s="178">
        <f t="shared" si="32"/>
        <v>58.792432777497169</v>
      </c>
      <c r="G23" s="178">
        <f t="shared" si="33"/>
        <v>73.489757920000017</v>
      </c>
      <c r="H23" s="178">
        <f t="shared" si="34"/>
        <v>88.18708306250285</v>
      </c>
      <c r="I23" s="178">
        <f t="shared" si="35"/>
        <v>90.295286832728948</v>
      </c>
      <c r="J23" s="178">
        <f t="shared" si="36"/>
        <v>94.276465344366613</v>
      </c>
      <c r="K23" s="178">
        <f t="shared" si="37"/>
        <v>8.93533923121322</v>
      </c>
      <c r="M23" s="177">
        <f t="shared" si="0"/>
        <v>50</v>
      </c>
      <c r="N23" s="173">
        <f t="shared" si="38"/>
        <v>29.394650285005682</v>
      </c>
      <c r="O23" s="173">
        <f t="shared" si="39"/>
        <v>28</v>
      </c>
      <c r="P23" s="173" t="str">
        <f t="shared" si="40"/>
        <v>28s (%50)</v>
      </c>
      <c r="Q23" s="173">
        <f t="shared" si="48"/>
        <v>0</v>
      </c>
      <c r="R23" s="173">
        <f t="shared" si="49"/>
        <v>2</v>
      </c>
      <c r="S23" s="173"/>
      <c r="T23" s="173"/>
      <c r="U23" s="173">
        <f t="shared" si="50"/>
        <v>3</v>
      </c>
      <c r="V23" s="173">
        <f t="shared" si="51"/>
        <v>0</v>
      </c>
      <c r="W23" s="173">
        <f t="shared" si="52"/>
        <v>0</v>
      </c>
      <c r="X23" s="173">
        <f t="shared" si="53"/>
        <v>3</v>
      </c>
      <c r="Y23" s="173">
        <f t="shared" si="54"/>
        <v>0</v>
      </c>
      <c r="Z23" s="173">
        <f t="shared" si="55"/>
        <v>0</v>
      </c>
      <c r="AA23" s="173">
        <f t="shared" si="56"/>
        <v>6</v>
      </c>
      <c r="AB23" s="173">
        <f t="shared" si="68"/>
        <v>40</v>
      </c>
      <c r="AC23" s="173">
        <f t="shared" si="69"/>
        <v>1</v>
      </c>
      <c r="AD23" s="173">
        <f t="shared" si="70"/>
        <v>40</v>
      </c>
      <c r="AE23" s="173">
        <f t="shared" si="57"/>
        <v>0</v>
      </c>
      <c r="AF23" s="173">
        <f t="shared" si="58"/>
        <v>0</v>
      </c>
      <c r="AG23" s="173">
        <f t="shared" si="59"/>
        <v>6</v>
      </c>
      <c r="AH23" s="173">
        <f t="shared" si="60"/>
        <v>0</v>
      </c>
      <c r="AI23" s="173">
        <f t="shared" si="61"/>
        <v>0</v>
      </c>
      <c r="AJ23" s="173">
        <f t="shared" si="62"/>
        <v>3</v>
      </c>
      <c r="AK23" s="173">
        <f t="shared" si="63"/>
        <v>0</v>
      </c>
      <c r="AL23" s="173">
        <f t="shared" si="64"/>
        <v>0</v>
      </c>
      <c r="AM23" s="173">
        <f t="shared" si="65"/>
        <v>3</v>
      </c>
      <c r="AN23" s="173">
        <f t="shared" si="66"/>
        <v>2</v>
      </c>
      <c r="AO23" s="173">
        <f t="shared" si="67"/>
        <v>0</v>
      </c>
      <c r="AP23" s="173"/>
      <c r="AR23">
        <f t="shared" si="43"/>
        <v>50</v>
      </c>
      <c r="AS23">
        <f t="shared" si="44"/>
        <v>0</v>
      </c>
      <c r="AT23">
        <f t="shared" si="44"/>
        <v>2</v>
      </c>
      <c r="AU23">
        <f t="shared" si="45"/>
        <v>0</v>
      </c>
      <c r="AV23">
        <f t="shared" si="45"/>
        <v>0</v>
      </c>
      <c r="AW23">
        <f t="shared" si="45"/>
        <v>3</v>
      </c>
      <c r="AX23">
        <f t="shared" si="46"/>
        <v>40</v>
      </c>
      <c r="AY23">
        <f t="shared" si="46"/>
        <v>1</v>
      </c>
      <c r="AZ23">
        <f t="shared" si="46"/>
        <v>40</v>
      </c>
      <c r="BA23">
        <f t="shared" ref="BA23:BC37" si="71">AH23</f>
        <v>0</v>
      </c>
      <c r="BB23">
        <f t="shared" si="71"/>
        <v>0</v>
      </c>
      <c r="BC23">
        <f t="shared" si="71"/>
        <v>3</v>
      </c>
      <c r="BD23">
        <f t="shared" si="42"/>
        <v>2</v>
      </c>
      <c r="BE23">
        <f t="shared" si="29"/>
        <v>0</v>
      </c>
    </row>
    <row r="24" spans="1:57">
      <c r="A24" s="176">
        <f t="shared" si="47"/>
        <v>76.268834690000006</v>
      </c>
      <c r="B24" s="177"/>
      <c r="C24">
        <v>29</v>
      </c>
      <c r="D24" s="178">
        <f t="shared" si="30"/>
        <v>55.125699593424123</v>
      </c>
      <c r="E24" s="178">
        <f t="shared" si="31"/>
        <v>59.175142989951112</v>
      </c>
      <c r="F24" s="178">
        <f t="shared" si="32"/>
        <v>61.319495927384111</v>
      </c>
      <c r="G24" s="178">
        <f t="shared" si="33"/>
        <v>76.268834690000006</v>
      </c>
      <c r="H24" s="178">
        <f t="shared" si="34"/>
        <v>91.218173452615886</v>
      </c>
      <c r="I24" s="178">
        <f t="shared" si="35"/>
        <v>93.362526390048885</v>
      </c>
      <c r="J24" s="178">
        <f t="shared" si="36"/>
        <v>97.411969786575895</v>
      </c>
      <c r="K24" s="178">
        <f t="shared" si="37"/>
        <v>9.0885526332957625</v>
      </c>
      <c r="M24" s="177">
        <f t="shared" si="0"/>
        <v>50</v>
      </c>
      <c r="N24" s="173">
        <f t="shared" si="38"/>
        <v>29.898677525231776</v>
      </c>
      <c r="O24" s="173">
        <f t="shared" si="39"/>
        <v>29</v>
      </c>
      <c r="P24" s="173" t="str">
        <f t="shared" si="40"/>
        <v>29s (%50)</v>
      </c>
      <c r="Q24" s="173">
        <f t="shared" si="48"/>
        <v>0</v>
      </c>
      <c r="R24" s="173">
        <f t="shared" si="49"/>
        <v>2</v>
      </c>
      <c r="S24" s="173"/>
      <c r="T24" s="173"/>
      <c r="U24" s="173">
        <f t="shared" si="50"/>
        <v>3</v>
      </c>
      <c r="V24" s="173">
        <f t="shared" si="51"/>
        <v>0</v>
      </c>
      <c r="W24" s="173">
        <f t="shared" si="52"/>
        <v>0</v>
      </c>
      <c r="X24" s="173">
        <f t="shared" si="53"/>
        <v>3</v>
      </c>
      <c r="Y24" s="173">
        <f t="shared" si="54"/>
        <v>0</v>
      </c>
      <c r="Z24" s="173">
        <f t="shared" si="55"/>
        <v>0</v>
      </c>
      <c r="AA24" s="173">
        <f t="shared" si="56"/>
        <v>6</v>
      </c>
      <c r="AB24" s="173">
        <f t="shared" si="68"/>
        <v>40</v>
      </c>
      <c r="AC24" s="173">
        <f t="shared" si="69"/>
        <v>1</v>
      </c>
      <c r="AD24" s="173">
        <f t="shared" si="70"/>
        <v>40</v>
      </c>
      <c r="AE24" s="173">
        <f t="shared" si="57"/>
        <v>0</v>
      </c>
      <c r="AF24" s="173">
        <f t="shared" si="58"/>
        <v>0</v>
      </c>
      <c r="AG24" s="173">
        <f t="shared" si="59"/>
        <v>6</v>
      </c>
      <c r="AH24" s="173">
        <f t="shared" si="60"/>
        <v>0</v>
      </c>
      <c r="AI24" s="173">
        <f t="shared" si="61"/>
        <v>0</v>
      </c>
      <c r="AJ24" s="173">
        <f t="shared" si="62"/>
        <v>3</v>
      </c>
      <c r="AK24" s="173">
        <f t="shared" si="63"/>
        <v>0</v>
      </c>
      <c r="AL24" s="173">
        <f t="shared" si="64"/>
        <v>0</v>
      </c>
      <c r="AM24" s="173">
        <f t="shared" si="65"/>
        <v>3</v>
      </c>
      <c r="AN24" s="173">
        <f t="shared" si="66"/>
        <v>2</v>
      </c>
      <c r="AO24" s="173">
        <f t="shared" si="67"/>
        <v>0</v>
      </c>
      <c r="AP24" s="173"/>
      <c r="AR24">
        <f t="shared" si="43"/>
        <v>50</v>
      </c>
      <c r="AS24">
        <f t="shared" si="44"/>
        <v>0</v>
      </c>
      <c r="AT24">
        <f t="shared" si="44"/>
        <v>2</v>
      </c>
      <c r="AU24">
        <f t="shared" si="45"/>
        <v>0</v>
      </c>
      <c r="AV24">
        <f t="shared" si="45"/>
        <v>0</v>
      </c>
      <c r="AW24">
        <f t="shared" si="45"/>
        <v>3</v>
      </c>
      <c r="AX24">
        <f t="shared" si="46"/>
        <v>40</v>
      </c>
      <c r="AY24">
        <f t="shared" si="46"/>
        <v>1</v>
      </c>
      <c r="AZ24">
        <f t="shared" si="46"/>
        <v>40</v>
      </c>
      <c r="BA24">
        <f t="shared" si="71"/>
        <v>0</v>
      </c>
      <c r="BB24">
        <f t="shared" si="71"/>
        <v>0</v>
      </c>
      <c r="BC24">
        <f t="shared" si="71"/>
        <v>3</v>
      </c>
      <c r="BD24">
        <f t="shared" si="42"/>
        <v>2</v>
      </c>
      <c r="BE24">
        <f t="shared" si="29"/>
        <v>0</v>
      </c>
    </row>
    <row r="25" spans="1:57">
      <c r="A25" s="176">
        <f t="shared" si="47"/>
        <v>78.91855000000001</v>
      </c>
      <c r="B25" s="177"/>
      <c r="C25">
        <v>30</v>
      </c>
      <c r="D25" s="178">
        <f t="shared" si="30"/>
        <v>57.401356391903121</v>
      </c>
      <c r="E25" s="178">
        <f t="shared" si="31"/>
        <v>61.52244142352702</v>
      </c>
      <c r="F25" s="178">
        <f t="shared" si="32"/>
        <v>63.704731661378716</v>
      </c>
      <c r="G25" s="178">
        <f t="shared" si="33"/>
        <v>78.91855000000001</v>
      </c>
      <c r="H25" s="178">
        <f t="shared" si="34"/>
        <v>94.132368338621291</v>
      </c>
      <c r="I25" s="178">
        <f t="shared" si="35"/>
        <v>96.314658576472993</v>
      </c>
      <c r="J25" s="178">
        <f t="shared" si="36"/>
        <v>100.4357436080969</v>
      </c>
      <c r="K25" s="178">
        <f t="shared" si="37"/>
        <v>9.2493447984293766</v>
      </c>
      <c r="M25" s="177">
        <f t="shared" si="0"/>
        <v>50</v>
      </c>
      <c r="N25" s="173">
        <f t="shared" si="38"/>
        <v>30.427636677242575</v>
      </c>
      <c r="O25" s="173">
        <f t="shared" si="39"/>
        <v>30</v>
      </c>
      <c r="P25" s="173" t="str">
        <f t="shared" si="40"/>
        <v>30s (%50)</v>
      </c>
      <c r="Q25" s="173">
        <f t="shared" si="48"/>
        <v>0</v>
      </c>
      <c r="R25" s="173">
        <f t="shared" si="49"/>
        <v>2</v>
      </c>
      <c r="S25" s="173"/>
      <c r="T25" s="173"/>
      <c r="U25" s="173">
        <f t="shared" si="50"/>
        <v>3</v>
      </c>
      <c r="V25" s="173">
        <f t="shared" si="51"/>
        <v>0</v>
      </c>
      <c r="W25" s="173">
        <f t="shared" si="52"/>
        <v>0</v>
      </c>
      <c r="X25" s="173">
        <f t="shared" si="53"/>
        <v>3</v>
      </c>
      <c r="Y25" s="173">
        <f t="shared" si="54"/>
        <v>0</v>
      </c>
      <c r="Z25" s="173">
        <f t="shared" si="55"/>
        <v>0</v>
      </c>
      <c r="AA25" s="173">
        <f t="shared" si="56"/>
        <v>6</v>
      </c>
      <c r="AB25" s="173">
        <f t="shared" si="68"/>
        <v>40</v>
      </c>
      <c r="AC25" s="173">
        <f t="shared" si="69"/>
        <v>1</v>
      </c>
      <c r="AD25" s="173">
        <f t="shared" si="70"/>
        <v>40</v>
      </c>
      <c r="AE25" s="173">
        <f t="shared" si="57"/>
        <v>0</v>
      </c>
      <c r="AF25" s="173">
        <f t="shared" si="58"/>
        <v>0</v>
      </c>
      <c r="AG25" s="173">
        <f t="shared" si="59"/>
        <v>6</v>
      </c>
      <c r="AH25" s="173">
        <f t="shared" si="60"/>
        <v>0</v>
      </c>
      <c r="AI25" s="173">
        <f t="shared" si="61"/>
        <v>0</v>
      </c>
      <c r="AJ25" s="173">
        <f t="shared" si="62"/>
        <v>3</v>
      </c>
      <c r="AK25" s="173">
        <f t="shared" si="63"/>
        <v>0</v>
      </c>
      <c r="AL25" s="173">
        <f t="shared" si="64"/>
        <v>0</v>
      </c>
      <c r="AM25" s="173">
        <f t="shared" si="65"/>
        <v>3</v>
      </c>
      <c r="AN25" s="173">
        <f t="shared" si="66"/>
        <v>2</v>
      </c>
      <c r="AO25" s="173">
        <f t="shared" si="67"/>
        <v>0</v>
      </c>
      <c r="AP25" s="173"/>
      <c r="AR25">
        <f t="shared" si="43"/>
        <v>50</v>
      </c>
      <c r="AS25">
        <f t="shared" si="44"/>
        <v>0</v>
      </c>
      <c r="AT25">
        <f t="shared" si="44"/>
        <v>2</v>
      </c>
      <c r="AU25">
        <f t="shared" si="45"/>
        <v>0</v>
      </c>
      <c r="AV25">
        <f t="shared" si="45"/>
        <v>0</v>
      </c>
      <c r="AW25">
        <f t="shared" si="45"/>
        <v>3</v>
      </c>
      <c r="AX25">
        <f t="shared" si="46"/>
        <v>40</v>
      </c>
      <c r="AY25">
        <f t="shared" si="46"/>
        <v>1</v>
      </c>
      <c r="AZ25">
        <f t="shared" si="46"/>
        <v>40</v>
      </c>
      <c r="BA25">
        <f t="shared" si="71"/>
        <v>0</v>
      </c>
      <c r="BB25">
        <f t="shared" si="71"/>
        <v>0</v>
      </c>
      <c r="BC25">
        <f t="shared" si="71"/>
        <v>3</v>
      </c>
      <c r="BD25">
        <f t="shared" si="42"/>
        <v>2</v>
      </c>
      <c r="BE25">
        <f t="shared" si="29"/>
        <v>0</v>
      </c>
    </row>
    <row r="26" spans="1:57">
      <c r="A26" s="176">
        <f t="shared" si="47"/>
        <v>81.42352111000001</v>
      </c>
      <c r="B26" s="177"/>
      <c r="C26">
        <v>31</v>
      </c>
      <c r="D26" s="178">
        <f t="shared" si="30"/>
        <v>59.500233970919211</v>
      </c>
      <c r="E26" s="178">
        <f t="shared" si="31"/>
        <v>63.699096151480759</v>
      </c>
      <c r="F26" s="178">
        <f t="shared" si="32"/>
        <v>65.922572705934044</v>
      </c>
      <c r="G26" s="178">
        <f t="shared" si="33"/>
        <v>81.42352111000001</v>
      </c>
      <c r="H26" s="178">
        <f t="shared" si="34"/>
        <v>96.924469514065962</v>
      </c>
      <c r="I26" s="178">
        <f t="shared" si="35"/>
        <v>99.147946068519261</v>
      </c>
      <c r="J26" s="178">
        <f t="shared" si="36"/>
        <v>103.34680824908081</v>
      </c>
      <c r="K26" s="178">
        <f t="shared" si="37"/>
        <v>9.4239074833637346</v>
      </c>
      <c r="M26" s="177">
        <f t="shared" si="0"/>
        <v>50</v>
      </c>
      <c r="N26" s="173">
        <f t="shared" si="38"/>
        <v>31.001896808131917</v>
      </c>
      <c r="O26" s="173">
        <f t="shared" si="39"/>
        <v>31</v>
      </c>
      <c r="P26" s="173" t="str">
        <f t="shared" si="40"/>
        <v>31s (%50)</v>
      </c>
      <c r="Q26" s="173">
        <f t="shared" si="48"/>
        <v>0</v>
      </c>
      <c r="R26" s="173">
        <f t="shared" si="49"/>
        <v>2</v>
      </c>
      <c r="S26" s="173"/>
      <c r="T26" s="173"/>
      <c r="U26" s="173">
        <f t="shared" si="50"/>
        <v>3</v>
      </c>
      <c r="V26" s="173">
        <f t="shared" si="51"/>
        <v>0</v>
      </c>
      <c r="W26" s="173">
        <f t="shared" si="52"/>
        <v>0</v>
      </c>
      <c r="X26" s="173">
        <f t="shared" si="53"/>
        <v>3</v>
      </c>
      <c r="Y26" s="173">
        <f t="shared" si="54"/>
        <v>0</v>
      </c>
      <c r="Z26" s="173">
        <f t="shared" si="55"/>
        <v>0</v>
      </c>
      <c r="AA26" s="173">
        <f t="shared" si="56"/>
        <v>6</v>
      </c>
      <c r="AB26" s="173">
        <f t="shared" si="68"/>
        <v>40</v>
      </c>
      <c r="AC26" s="173">
        <f t="shared" si="69"/>
        <v>1</v>
      </c>
      <c r="AD26" s="173">
        <f t="shared" si="70"/>
        <v>40</v>
      </c>
      <c r="AE26" s="173">
        <f t="shared" si="57"/>
        <v>0</v>
      </c>
      <c r="AF26" s="173">
        <f t="shared" si="58"/>
        <v>0</v>
      </c>
      <c r="AG26" s="173">
        <f t="shared" si="59"/>
        <v>6</v>
      </c>
      <c r="AH26" s="173">
        <f t="shared" si="60"/>
        <v>0</v>
      </c>
      <c r="AI26" s="173">
        <f t="shared" si="61"/>
        <v>0</v>
      </c>
      <c r="AJ26" s="173">
        <f t="shared" si="62"/>
        <v>3</v>
      </c>
      <c r="AK26" s="173">
        <f t="shared" si="63"/>
        <v>0</v>
      </c>
      <c r="AL26" s="173">
        <f t="shared" si="64"/>
        <v>0</v>
      </c>
      <c r="AM26" s="173">
        <f t="shared" si="65"/>
        <v>3</v>
      </c>
      <c r="AN26" s="173">
        <f t="shared" si="66"/>
        <v>2</v>
      </c>
      <c r="AO26" s="173">
        <f t="shared" si="67"/>
        <v>0</v>
      </c>
      <c r="AP26" s="173"/>
      <c r="AR26">
        <f t="shared" si="43"/>
        <v>50</v>
      </c>
      <c r="AS26">
        <f t="shared" si="44"/>
        <v>0</v>
      </c>
      <c r="AT26">
        <f t="shared" si="44"/>
        <v>2</v>
      </c>
      <c r="AU26">
        <f t="shared" si="45"/>
        <v>0</v>
      </c>
      <c r="AV26">
        <f t="shared" si="45"/>
        <v>0</v>
      </c>
      <c r="AW26">
        <f t="shared" si="45"/>
        <v>3</v>
      </c>
      <c r="AX26">
        <f t="shared" si="46"/>
        <v>40</v>
      </c>
      <c r="AY26">
        <f t="shared" si="46"/>
        <v>1</v>
      </c>
      <c r="AZ26">
        <f t="shared" si="46"/>
        <v>40</v>
      </c>
      <c r="BA26">
        <f t="shared" si="71"/>
        <v>0</v>
      </c>
      <c r="BB26">
        <f t="shared" si="71"/>
        <v>0</v>
      </c>
      <c r="BC26">
        <f t="shared" si="71"/>
        <v>3</v>
      </c>
      <c r="BD26">
        <f t="shared" si="42"/>
        <v>2</v>
      </c>
      <c r="BE26">
        <f t="shared" si="29"/>
        <v>0</v>
      </c>
    </row>
    <row r="27" spans="1:57">
      <c r="A27" s="176">
        <f t="shared" si="47"/>
        <v>83.768365280000012</v>
      </c>
      <c r="B27" s="177"/>
      <c r="C27">
        <v>32</v>
      </c>
      <c r="D27" s="178">
        <f t="shared" si="30"/>
        <v>61.391169225282049</v>
      </c>
      <c r="E27" s="178">
        <f t="shared" si="31"/>
        <v>65.676966406384224</v>
      </c>
      <c r="F27" s="178">
        <f t="shared" si="32"/>
        <v>67.946478750332673</v>
      </c>
      <c r="G27" s="178">
        <f t="shared" si="33"/>
        <v>83.768365280000012</v>
      </c>
      <c r="H27" s="178">
        <f t="shared" si="34"/>
        <v>99.590251809667336</v>
      </c>
      <c r="I27" s="178">
        <f t="shared" si="35"/>
        <v>101.85976415361579</v>
      </c>
      <c r="J27" s="178">
        <f t="shared" si="36"/>
        <v>106.14556133471797</v>
      </c>
      <c r="K27" s="178">
        <f t="shared" si="37"/>
        <v>9.6190240094440469</v>
      </c>
      <c r="M27" s="177">
        <f t="shared" si="0"/>
        <v>50</v>
      </c>
      <c r="N27" s="173">
        <f t="shared" si="38"/>
        <v>31.643773059334663</v>
      </c>
      <c r="O27" s="173">
        <f t="shared" si="39"/>
        <v>32</v>
      </c>
      <c r="P27" s="173" t="str">
        <f t="shared" si="40"/>
        <v>32s (%50)</v>
      </c>
      <c r="Q27" s="173">
        <f t="shared" si="48"/>
        <v>0</v>
      </c>
      <c r="R27" s="173">
        <f t="shared" si="49"/>
        <v>2</v>
      </c>
      <c r="S27" s="173"/>
      <c r="T27" s="173"/>
      <c r="U27" s="173">
        <f t="shared" si="50"/>
        <v>3</v>
      </c>
      <c r="V27" s="173">
        <f t="shared" si="51"/>
        <v>0</v>
      </c>
      <c r="W27" s="173">
        <f t="shared" si="52"/>
        <v>0</v>
      </c>
      <c r="X27" s="173">
        <f t="shared" si="53"/>
        <v>3</v>
      </c>
      <c r="Y27" s="173">
        <f t="shared" si="54"/>
        <v>0</v>
      </c>
      <c r="Z27" s="173">
        <f t="shared" si="55"/>
        <v>0</v>
      </c>
      <c r="AA27" s="173">
        <f t="shared" si="56"/>
        <v>6</v>
      </c>
      <c r="AB27" s="173">
        <f t="shared" si="68"/>
        <v>40</v>
      </c>
      <c r="AC27" s="173">
        <f t="shared" si="69"/>
        <v>1</v>
      </c>
      <c r="AD27" s="173">
        <f t="shared" si="70"/>
        <v>40</v>
      </c>
      <c r="AE27" s="173">
        <f t="shared" si="57"/>
        <v>0</v>
      </c>
      <c r="AF27" s="173">
        <f t="shared" si="58"/>
        <v>0</v>
      </c>
      <c r="AG27" s="173">
        <f t="shared" si="59"/>
        <v>6</v>
      </c>
      <c r="AH27" s="173">
        <f t="shared" si="60"/>
        <v>0</v>
      </c>
      <c r="AI27" s="173">
        <f t="shared" si="61"/>
        <v>0</v>
      </c>
      <c r="AJ27" s="173">
        <f t="shared" si="62"/>
        <v>3</v>
      </c>
      <c r="AK27" s="173">
        <f t="shared" si="63"/>
        <v>0</v>
      </c>
      <c r="AL27" s="173">
        <f t="shared" si="64"/>
        <v>0</v>
      </c>
      <c r="AM27" s="173">
        <f t="shared" si="65"/>
        <v>3</v>
      </c>
      <c r="AN27" s="173">
        <f t="shared" si="66"/>
        <v>2</v>
      </c>
      <c r="AO27" s="173">
        <f t="shared" si="67"/>
        <v>0</v>
      </c>
      <c r="AP27" s="173"/>
      <c r="AR27">
        <f t="shared" si="43"/>
        <v>50</v>
      </c>
      <c r="AS27">
        <f t="shared" si="44"/>
        <v>0</v>
      </c>
      <c r="AT27">
        <f t="shared" si="44"/>
        <v>2</v>
      </c>
      <c r="AU27">
        <f t="shared" si="45"/>
        <v>0</v>
      </c>
      <c r="AV27">
        <f t="shared" si="45"/>
        <v>0</v>
      </c>
      <c r="AW27">
        <f t="shared" si="45"/>
        <v>3</v>
      </c>
      <c r="AX27">
        <f t="shared" si="46"/>
        <v>40</v>
      </c>
      <c r="AY27">
        <f t="shared" si="46"/>
        <v>1</v>
      </c>
      <c r="AZ27">
        <f t="shared" si="46"/>
        <v>40</v>
      </c>
      <c r="BA27">
        <f t="shared" si="71"/>
        <v>0</v>
      </c>
      <c r="BB27">
        <f t="shared" si="71"/>
        <v>0</v>
      </c>
      <c r="BC27">
        <f t="shared" si="71"/>
        <v>3</v>
      </c>
      <c r="BD27">
        <f t="shared" si="42"/>
        <v>2</v>
      </c>
      <c r="BE27">
        <f t="shared" si="29"/>
        <v>0</v>
      </c>
    </row>
    <row r="28" spans="1:57">
      <c r="A28" s="176">
        <f t="shared" si="47"/>
        <v>85.937699770000009</v>
      </c>
      <c r="B28" s="177"/>
      <c r="C28">
        <v>33</v>
      </c>
      <c r="D28" s="178">
        <f t="shared" si="30"/>
        <v>63.041638421356147</v>
      </c>
      <c r="E28" s="178">
        <f t="shared" si="31"/>
        <v>67.426811387013359</v>
      </c>
      <c r="F28" s="178">
        <f t="shared" si="32"/>
        <v>69.748947446039054</v>
      </c>
      <c r="G28" s="178">
        <f t="shared" si="33"/>
        <v>85.937699770000009</v>
      </c>
      <c r="H28" s="178">
        <f t="shared" si="34"/>
        <v>102.12645209396095</v>
      </c>
      <c r="I28" s="178">
        <f t="shared" si="35"/>
        <v>104.44858815298664</v>
      </c>
      <c r="J28" s="178">
        <f t="shared" si="36"/>
        <v>108.83376111864388</v>
      </c>
      <c r="K28" s="178">
        <f t="shared" si="37"/>
        <v>9.8420625754795878</v>
      </c>
      <c r="M28" s="177">
        <f t="shared" si="0"/>
        <v>50</v>
      </c>
      <c r="N28" s="173">
        <f t="shared" si="38"/>
        <v>32.377504647921896</v>
      </c>
      <c r="O28" s="173">
        <f t="shared" si="39"/>
        <v>33</v>
      </c>
      <c r="P28" s="173" t="str">
        <f t="shared" si="40"/>
        <v>33s (%50)</v>
      </c>
      <c r="Q28" s="173">
        <f t="shared" si="48"/>
        <v>0</v>
      </c>
      <c r="R28" s="173">
        <f t="shared" si="49"/>
        <v>2</v>
      </c>
      <c r="S28" s="173"/>
      <c r="T28" s="173"/>
      <c r="U28" s="173">
        <f t="shared" si="50"/>
        <v>3</v>
      </c>
      <c r="V28" s="173">
        <f t="shared" si="51"/>
        <v>0</v>
      </c>
      <c r="W28" s="173">
        <f t="shared" si="52"/>
        <v>0</v>
      </c>
      <c r="X28" s="173">
        <f t="shared" si="53"/>
        <v>3</v>
      </c>
      <c r="Y28" s="173">
        <f t="shared" si="54"/>
        <v>0</v>
      </c>
      <c r="Z28" s="173">
        <f t="shared" si="55"/>
        <v>0</v>
      </c>
      <c r="AA28" s="173">
        <f t="shared" si="56"/>
        <v>6</v>
      </c>
      <c r="AB28" s="173">
        <f t="shared" si="68"/>
        <v>40</v>
      </c>
      <c r="AC28" s="173">
        <f t="shared" si="69"/>
        <v>1</v>
      </c>
      <c r="AD28" s="173">
        <f t="shared" si="70"/>
        <v>40</v>
      </c>
      <c r="AE28" s="173">
        <f t="shared" si="57"/>
        <v>0</v>
      </c>
      <c r="AF28" s="173">
        <f t="shared" si="58"/>
        <v>0</v>
      </c>
      <c r="AG28" s="173">
        <f t="shared" si="59"/>
        <v>6</v>
      </c>
      <c r="AH28" s="173">
        <f t="shared" si="60"/>
        <v>0</v>
      </c>
      <c r="AI28" s="173">
        <f t="shared" si="61"/>
        <v>0</v>
      </c>
      <c r="AJ28" s="173">
        <f t="shared" si="62"/>
        <v>3</v>
      </c>
      <c r="AK28" s="173">
        <f t="shared" si="63"/>
        <v>0</v>
      </c>
      <c r="AL28" s="173">
        <f t="shared" si="64"/>
        <v>0</v>
      </c>
      <c r="AM28" s="173">
        <f t="shared" si="65"/>
        <v>3</v>
      </c>
      <c r="AN28" s="173">
        <f t="shared" si="66"/>
        <v>2</v>
      </c>
      <c r="AO28" s="173">
        <f t="shared" si="67"/>
        <v>0</v>
      </c>
      <c r="AP28" s="173"/>
      <c r="AR28">
        <f t="shared" si="43"/>
        <v>50</v>
      </c>
      <c r="AS28">
        <f t="shared" si="44"/>
        <v>0</v>
      </c>
      <c r="AT28">
        <f t="shared" si="44"/>
        <v>2</v>
      </c>
      <c r="AU28">
        <f t="shared" si="45"/>
        <v>0</v>
      </c>
      <c r="AV28">
        <f t="shared" si="45"/>
        <v>0</v>
      </c>
      <c r="AW28">
        <f t="shared" si="45"/>
        <v>3</v>
      </c>
      <c r="AX28">
        <f t="shared" si="46"/>
        <v>40</v>
      </c>
      <c r="AY28">
        <f t="shared" si="46"/>
        <v>1</v>
      </c>
      <c r="AZ28">
        <f t="shared" si="46"/>
        <v>40</v>
      </c>
      <c r="BA28">
        <f t="shared" si="71"/>
        <v>0</v>
      </c>
      <c r="BB28">
        <f t="shared" si="71"/>
        <v>0</v>
      </c>
      <c r="BC28">
        <f t="shared" si="71"/>
        <v>3</v>
      </c>
      <c r="BD28">
        <f t="shared" si="42"/>
        <v>2</v>
      </c>
      <c r="BE28">
        <f t="shared" si="29"/>
        <v>0</v>
      </c>
    </row>
    <row r="29" spans="1:57">
      <c r="A29" s="176">
        <f t="shared" si="47"/>
        <v>87.916141840000009</v>
      </c>
      <c r="B29" s="177"/>
      <c r="C29">
        <v>34</v>
      </c>
      <c r="D29" s="178">
        <f t="shared" si="30"/>
        <v>64.417772669514534</v>
      </c>
      <c r="E29" s="178">
        <f t="shared" si="31"/>
        <v>68.918302767436771</v>
      </c>
      <c r="F29" s="178">
        <f t="shared" si="32"/>
        <v>71.30152534656014</v>
      </c>
      <c r="G29" s="178">
        <f t="shared" si="33"/>
        <v>87.916141840000009</v>
      </c>
      <c r="H29" s="178">
        <f t="shared" si="34"/>
        <v>104.53075833343986</v>
      </c>
      <c r="I29" s="178">
        <f t="shared" si="35"/>
        <v>106.91398091256323</v>
      </c>
      <c r="J29" s="178">
        <f t="shared" si="36"/>
        <v>111.41451101048548</v>
      </c>
      <c r="K29" s="178">
        <f t="shared" si="37"/>
        <v>10.100969606780723</v>
      </c>
      <c r="M29" s="177">
        <f t="shared" si="0"/>
        <v>50</v>
      </c>
      <c r="N29" s="173">
        <f t="shared" si="38"/>
        <v>33.229232986879722</v>
      </c>
      <c r="O29" s="173">
        <f t="shared" si="39"/>
        <v>34</v>
      </c>
      <c r="P29" s="173" t="str">
        <f t="shared" si="40"/>
        <v>34s (%50)</v>
      </c>
      <c r="Q29" s="173">
        <f t="shared" si="48"/>
        <v>0</v>
      </c>
      <c r="R29" s="173">
        <f t="shared" si="49"/>
        <v>2</v>
      </c>
      <c r="S29" s="173"/>
      <c r="T29" s="173"/>
      <c r="U29" s="173">
        <f t="shared" si="50"/>
        <v>3</v>
      </c>
      <c r="V29" s="173">
        <f t="shared" si="51"/>
        <v>0</v>
      </c>
      <c r="W29" s="173">
        <f t="shared" si="52"/>
        <v>0</v>
      </c>
      <c r="X29" s="173">
        <f t="shared" si="53"/>
        <v>3</v>
      </c>
      <c r="Y29" s="173">
        <f t="shared" si="54"/>
        <v>0</v>
      </c>
      <c r="Z29" s="173">
        <f t="shared" si="55"/>
        <v>0</v>
      </c>
      <c r="AA29" s="173">
        <f t="shared" si="56"/>
        <v>6</v>
      </c>
      <c r="AB29" s="173">
        <f t="shared" si="68"/>
        <v>40</v>
      </c>
      <c r="AC29" s="173">
        <f t="shared" si="69"/>
        <v>1</v>
      </c>
      <c r="AD29" s="173">
        <f t="shared" si="70"/>
        <v>40</v>
      </c>
      <c r="AE29" s="173">
        <f t="shared" si="57"/>
        <v>0</v>
      </c>
      <c r="AF29" s="173">
        <f t="shared" si="58"/>
        <v>0</v>
      </c>
      <c r="AG29" s="173">
        <f t="shared" si="59"/>
        <v>6</v>
      </c>
      <c r="AH29" s="173">
        <f t="shared" si="60"/>
        <v>0</v>
      </c>
      <c r="AI29" s="173">
        <f t="shared" si="61"/>
        <v>0</v>
      </c>
      <c r="AJ29" s="173">
        <f t="shared" si="62"/>
        <v>3</v>
      </c>
      <c r="AK29" s="173">
        <f t="shared" si="63"/>
        <v>0</v>
      </c>
      <c r="AL29" s="173">
        <f t="shared" si="64"/>
        <v>0</v>
      </c>
      <c r="AM29" s="173">
        <f t="shared" si="65"/>
        <v>3</v>
      </c>
      <c r="AN29" s="173">
        <f t="shared" si="66"/>
        <v>2</v>
      </c>
      <c r="AO29" s="173">
        <f t="shared" si="67"/>
        <v>0</v>
      </c>
      <c r="AP29" s="173"/>
      <c r="AR29">
        <f t="shared" si="43"/>
        <v>50</v>
      </c>
      <c r="AS29">
        <f t="shared" si="44"/>
        <v>0</v>
      </c>
      <c r="AT29">
        <f t="shared" si="44"/>
        <v>2</v>
      </c>
      <c r="AU29">
        <f t="shared" si="45"/>
        <v>0</v>
      </c>
      <c r="AV29">
        <f t="shared" si="45"/>
        <v>0</v>
      </c>
      <c r="AW29">
        <f t="shared" si="45"/>
        <v>3</v>
      </c>
      <c r="AX29">
        <f t="shared" si="46"/>
        <v>40</v>
      </c>
      <c r="AY29">
        <f t="shared" si="46"/>
        <v>1</v>
      </c>
      <c r="AZ29">
        <f t="shared" si="46"/>
        <v>40</v>
      </c>
      <c r="BA29">
        <f t="shared" si="71"/>
        <v>0</v>
      </c>
      <c r="BB29">
        <f t="shared" si="71"/>
        <v>0</v>
      </c>
      <c r="BC29">
        <f t="shared" si="71"/>
        <v>3</v>
      </c>
      <c r="BD29">
        <f t="shared" si="42"/>
        <v>2</v>
      </c>
      <c r="BE29">
        <f t="shared" si="29"/>
        <v>0</v>
      </c>
    </row>
    <row r="30" spans="1:57">
      <c r="A30" s="176">
        <f t="shared" si="47"/>
        <v>89.688308750000004</v>
      </c>
      <c r="B30" s="177"/>
      <c r="C30">
        <v>35</v>
      </c>
      <c r="D30" s="178">
        <f t="shared" si="30"/>
        <v>65.484373266956837</v>
      </c>
      <c r="E30" s="178">
        <f t="shared" si="31"/>
        <v>70.120037101297456</v>
      </c>
      <c r="F30" s="178">
        <f t="shared" si="32"/>
        <v>72.574818755646703</v>
      </c>
      <c r="G30" s="178">
        <f t="shared" si="33"/>
        <v>89.688308750000004</v>
      </c>
      <c r="H30" s="178">
        <f t="shared" si="34"/>
        <v>106.80179874435329</v>
      </c>
      <c r="I30" s="178">
        <f t="shared" si="35"/>
        <v>109.25658039870255</v>
      </c>
      <c r="J30" s="178">
        <f t="shared" si="36"/>
        <v>113.89224423304317</v>
      </c>
      <c r="K30" s="178">
        <f t="shared" si="37"/>
        <v>10.404263159920788</v>
      </c>
      <c r="M30" s="177">
        <f t="shared" si="0"/>
        <v>50</v>
      </c>
      <c r="N30" s="173">
        <f t="shared" si="38"/>
        <v>34.226979988706589</v>
      </c>
      <c r="O30" s="173">
        <f t="shared" si="39"/>
        <v>35</v>
      </c>
      <c r="P30" s="173" t="str">
        <f t="shared" si="40"/>
        <v>35s (%50)</v>
      </c>
      <c r="Q30" s="173">
        <f t="shared" si="48"/>
        <v>0</v>
      </c>
      <c r="R30" s="173">
        <f t="shared" si="49"/>
        <v>2</v>
      </c>
      <c r="S30" s="173"/>
      <c r="T30" s="173"/>
      <c r="U30" s="173">
        <f t="shared" si="50"/>
        <v>3</v>
      </c>
      <c r="V30" s="173">
        <f t="shared" si="51"/>
        <v>0</v>
      </c>
      <c r="W30" s="173">
        <f t="shared" si="52"/>
        <v>0</v>
      </c>
      <c r="X30" s="173">
        <f t="shared" si="53"/>
        <v>3</v>
      </c>
      <c r="Y30" s="173">
        <f t="shared" si="54"/>
        <v>0</v>
      </c>
      <c r="Z30" s="173">
        <f t="shared" si="55"/>
        <v>0</v>
      </c>
      <c r="AA30" s="173">
        <f t="shared" si="56"/>
        <v>6</v>
      </c>
      <c r="AB30" s="173">
        <f t="shared" si="68"/>
        <v>40</v>
      </c>
      <c r="AC30" s="173">
        <f t="shared" si="69"/>
        <v>1</v>
      </c>
      <c r="AD30" s="173">
        <f t="shared" si="70"/>
        <v>40</v>
      </c>
      <c r="AE30" s="173">
        <f t="shared" si="57"/>
        <v>0</v>
      </c>
      <c r="AF30" s="173">
        <f t="shared" si="58"/>
        <v>0</v>
      </c>
      <c r="AG30" s="173">
        <f t="shared" si="59"/>
        <v>6</v>
      </c>
      <c r="AH30" s="173">
        <f t="shared" si="60"/>
        <v>0</v>
      </c>
      <c r="AI30" s="173">
        <f t="shared" si="61"/>
        <v>0</v>
      </c>
      <c r="AJ30" s="173">
        <f t="shared" si="62"/>
        <v>3</v>
      </c>
      <c r="AK30" s="173">
        <f t="shared" si="63"/>
        <v>0</v>
      </c>
      <c r="AL30" s="173">
        <f t="shared" si="64"/>
        <v>0</v>
      </c>
      <c r="AM30" s="173">
        <f t="shared" si="65"/>
        <v>3</v>
      </c>
      <c r="AN30" s="173">
        <f t="shared" si="66"/>
        <v>2</v>
      </c>
      <c r="AO30" s="173">
        <f t="shared" si="67"/>
        <v>0</v>
      </c>
      <c r="AP30" s="173"/>
      <c r="AR30">
        <f t="shared" si="43"/>
        <v>50</v>
      </c>
      <c r="AS30">
        <f t="shared" si="44"/>
        <v>0</v>
      </c>
      <c r="AT30">
        <f t="shared" si="44"/>
        <v>2</v>
      </c>
      <c r="AU30">
        <f t="shared" si="45"/>
        <v>0</v>
      </c>
      <c r="AV30">
        <f t="shared" si="45"/>
        <v>0</v>
      </c>
      <c r="AW30">
        <f t="shared" si="45"/>
        <v>3</v>
      </c>
      <c r="AX30">
        <f t="shared" si="46"/>
        <v>40</v>
      </c>
      <c r="AY30">
        <f t="shared" si="46"/>
        <v>1</v>
      </c>
      <c r="AZ30">
        <f t="shared" si="46"/>
        <v>40</v>
      </c>
      <c r="BA30">
        <f t="shared" si="71"/>
        <v>0</v>
      </c>
      <c r="BB30">
        <f t="shared" si="71"/>
        <v>0</v>
      </c>
      <c r="BC30">
        <f t="shared" si="71"/>
        <v>3</v>
      </c>
      <c r="BD30">
        <f t="shared" si="42"/>
        <v>2</v>
      </c>
      <c r="BE30">
        <f t="shared" si="29"/>
        <v>0</v>
      </c>
    </row>
    <row r="31" spans="1:57">
      <c r="A31" s="176">
        <f t="shared" si="47"/>
        <v>91.238817760000018</v>
      </c>
      <c r="B31" s="177"/>
      <c r="C31">
        <v>36</v>
      </c>
      <c r="D31" s="178">
        <f t="shared" si="30"/>
        <v>66.204926875386548</v>
      </c>
      <c r="E31" s="178">
        <f t="shared" si="31"/>
        <v>70.999548092582131</v>
      </c>
      <c r="F31" s="178">
        <f t="shared" si="32"/>
        <v>73.53850445873104</v>
      </c>
      <c r="G31" s="178">
        <f t="shared" si="33"/>
        <v>91.238817760000018</v>
      </c>
      <c r="H31" s="178">
        <f t="shared" si="34"/>
        <v>108.93913106126898</v>
      </c>
      <c r="I31" s="178">
        <f t="shared" si="35"/>
        <v>111.4780874274179</v>
      </c>
      <c r="J31" s="178">
        <f t="shared" si="36"/>
        <v>116.27270864461349</v>
      </c>
      <c r="K31" s="178">
        <f t="shared" si="37"/>
        <v>10.761026398485228</v>
      </c>
      <c r="M31" s="177">
        <f t="shared" si="0"/>
        <v>50</v>
      </c>
      <c r="N31" s="173">
        <f t="shared" si="38"/>
        <v>35.40062660253794</v>
      </c>
      <c r="O31" s="173">
        <f t="shared" si="39"/>
        <v>36</v>
      </c>
      <c r="P31" s="173" t="str">
        <f t="shared" si="40"/>
        <v>36s (%50)</v>
      </c>
      <c r="Q31" s="173">
        <f t="shared" si="48"/>
        <v>0</v>
      </c>
      <c r="R31" s="173">
        <f t="shared" si="49"/>
        <v>2</v>
      </c>
      <c r="S31" s="173"/>
      <c r="T31" s="173"/>
      <c r="U31" s="173">
        <f t="shared" si="50"/>
        <v>3</v>
      </c>
      <c r="V31" s="173">
        <f t="shared" si="51"/>
        <v>0</v>
      </c>
      <c r="W31" s="173">
        <f t="shared" si="52"/>
        <v>0</v>
      </c>
      <c r="X31" s="173">
        <f t="shared" si="53"/>
        <v>3</v>
      </c>
      <c r="Y31" s="173">
        <f t="shared" si="54"/>
        <v>0</v>
      </c>
      <c r="Z31" s="173">
        <f t="shared" si="55"/>
        <v>0</v>
      </c>
      <c r="AA31" s="173">
        <f t="shared" si="56"/>
        <v>6</v>
      </c>
      <c r="AB31" s="173">
        <f t="shared" si="68"/>
        <v>40</v>
      </c>
      <c r="AC31" s="173">
        <f t="shared" si="69"/>
        <v>1</v>
      </c>
      <c r="AD31" s="173">
        <f t="shared" si="70"/>
        <v>40</v>
      </c>
      <c r="AE31" s="173">
        <f t="shared" si="57"/>
        <v>0</v>
      </c>
      <c r="AF31" s="173">
        <f t="shared" si="58"/>
        <v>0</v>
      </c>
      <c r="AG31" s="173">
        <f t="shared" si="59"/>
        <v>6</v>
      </c>
      <c r="AH31" s="173">
        <f t="shared" si="60"/>
        <v>0</v>
      </c>
      <c r="AI31" s="173">
        <f t="shared" si="61"/>
        <v>0</v>
      </c>
      <c r="AJ31" s="173">
        <f t="shared" si="62"/>
        <v>3</v>
      </c>
      <c r="AK31" s="173">
        <f t="shared" si="63"/>
        <v>0</v>
      </c>
      <c r="AL31" s="173">
        <f t="shared" si="64"/>
        <v>0</v>
      </c>
      <c r="AM31" s="173">
        <f t="shared" si="65"/>
        <v>3</v>
      </c>
      <c r="AN31" s="173">
        <f t="shared" si="66"/>
        <v>2</v>
      </c>
      <c r="AO31" s="173">
        <f t="shared" si="67"/>
        <v>0</v>
      </c>
      <c r="AP31" s="173"/>
      <c r="AR31">
        <f t="shared" si="43"/>
        <v>50</v>
      </c>
      <c r="AS31">
        <f t="shared" si="44"/>
        <v>0</v>
      </c>
      <c r="AT31">
        <f t="shared" si="44"/>
        <v>2</v>
      </c>
      <c r="AU31">
        <f t="shared" si="45"/>
        <v>0</v>
      </c>
      <c r="AV31">
        <f t="shared" si="45"/>
        <v>0</v>
      </c>
      <c r="AW31">
        <f t="shared" si="45"/>
        <v>3</v>
      </c>
      <c r="AX31">
        <f t="shared" si="46"/>
        <v>40</v>
      </c>
      <c r="AY31">
        <f t="shared" si="46"/>
        <v>1</v>
      </c>
      <c r="AZ31">
        <f t="shared" si="46"/>
        <v>40</v>
      </c>
      <c r="BA31">
        <f t="shared" si="71"/>
        <v>0</v>
      </c>
      <c r="BB31">
        <f t="shared" si="71"/>
        <v>0</v>
      </c>
      <c r="BC31">
        <f t="shared" si="71"/>
        <v>3</v>
      </c>
      <c r="BD31">
        <f t="shared" si="42"/>
        <v>2</v>
      </c>
      <c r="BE31">
        <f t="shared" si="29"/>
        <v>0</v>
      </c>
    </row>
    <row r="32" spans="1:57">
      <c r="A32" s="176">
        <f t="shared" si="47"/>
        <v>92.552286129999999</v>
      </c>
      <c r="B32" s="177"/>
      <c r="C32">
        <v>37</v>
      </c>
      <c r="D32" s="178">
        <f t="shared" si="30"/>
        <v>66.541620506084712</v>
      </c>
      <c r="E32" s="178">
        <f t="shared" si="31"/>
        <v>71.523318710675625</v>
      </c>
      <c r="F32" s="178">
        <f t="shared" si="32"/>
        <v>74.161340318183733</v>
      </c>
      <c r="G32" s="178">
        <f t="shared" si="33"/>
        <v>92.552286129999999</v>
      </c>
      <c r="H32" s="178">
        <f t="shared" si="34"/>
        <v>110.94323194181625</v>
      </c>
      <c r="I32" s="178">
        <f t="shared" si="35"/>
        <v>113.58125354932436</v>
      </c>
      <c r="J32" s="178">
        <f t="shared" si="36"/>
        <v>118.56295175391529</v>
      </c>
      <c r="K32" s="178">
        <f t="shared" si="37"/>
        <v>11.180901151612829</v>
      </c>
      <c r="M32" s="177">
        <f t="shared" si="0"/>
        <v>50</v>
      </c>
      <c r="N32" s="173">
        <f t="shared" si="38"/>
        <v>36.781891623632518</v>
      </c>
      <c r="O32" s="173">
        <f t="shared" si="39"/>
        <v>37</v>
      </c>
      <c r="P32" s="173" t="str">
        <f t="shared" si="40"/>
        <v>37s (%50)</v>
      </c>
      <c r="Q32" s="173">
        <f t="shared" si="48"/>
        <v>0</v>
      </c>
      <c r="R32" s="173">
        <f t="shared" si="49"/>
        <v>2</v>
      </c>
      <c r="S32" s="173"/>
      <c r="T32" s="173"/>
      <c r="U32" s="173">
        <f t="shared" si="50"/>
        <v>3</v>
      </c>
      <c r="V32" s="173">
        <f t="shared" si="51"/>
        <v>0</v>
      </c>
      <c r="W32" s="173">
        <f t="shared" si="52"/>
        <v>0</v>
      </c>
      <c r="X32" s="173">
        <f t="shared" si="53"/>
        <v>3</v>
      </c>
      <c r="Y32" s="173">
        <f t="shared" si="54"/>
        <v>0</v>
      </c>
      <c r="Z32" s="173">
        <f t="shared" si="55"/>
        <v>0</v>
      </c>
      <c r="AA32" s="173">
        <f t="shared" si="56"/>
        <v>6</v>
      </c>
      <c r="AB32" s="173">
        <f t="shared" si="68"/>
        <v>40</v>
      </c>
      <c r="AC32" s="173">
        <f t="shared" si="69"/>
        <v>1</v>
      </c>
      <c r="AD32" s="173">
        <f t="shared" si="70"/>
        <v>40</v>
      </c>
      <c r="AE32" s="173">
        <f t="shared" si="57"/>
        <v>0</v>
      </c>
      <c r="AF32" s="173">
        <f t="shared" si="58"/>
        <v>0</v>
      </c>
      <c r="AG32" s="173">
        <f t="shared" si="59"/>
        <v>6</v>
      </c>
      <c r="AH32" s="173">
        <f t="shared" si="60"/>
        <v>0</v>
      </c>
      <c r="AI32" s="173">
        <f t="shared" si="61"/>
        <v>0</v>
      </c>
      <c r="AJ32" s="173">
        <f t="shared" si="62"/>
        <v>3</v>
      </c>
      <c r="AK32" s="173">
        <f t="shared" si="63"/>
        <v>0</v>
      </c>
      <c r="AL32" s="173">
        <f t="shared" si="64"/>
        <v>0</v>
      </c>
      <c r="AM32" s="173">
        <f t="shared" si="65"/>
        <v>3</v>
      </c>
      <c r="AN32" s="173">
        <f t="shared" si="66"/>
        <v>2</v>
      </c>
      <c r="AO32" s="173">
        <f t="shared" si="67"/>
        <v>0</v>
      </c>
      <c r="AP32" s="173"/>
      <c r="AR32">
        <f t="shared" si="43"/>
        <v>50</v>
      </c>
      <c r="AS32">
        <f t="shared" si="44"/>
        <v>0</v>
      </c>
      <c r="AT32">
        <f t="shared" si="44"/>
        <v>2</v>
      </c>
      <c r="AU32">
        <f t="shared" si="45"/>
        <v>0</v>
      </c>
      <c r="AV32">
        <f t="shared" si="45"/>
        <v>0</v>
      </c>
      <c r="AW32">
        <f t="shared" si="45"/>
        <v>3</v>
      </c>
      <c r="AX32">
        <f t="shared" si="46"/>
        <v>40</v>
      </c>
      <c r="AY32">
        <f t="shared" si="46"/>
        <v>1</v>
      </c>
      <c r="AZ32">
        <f t="shared" si="46"/>
        <v>40</v>
      </c>
      <c r="BA32">
        <f t="shared" si="71"/>
        <v>0</v>
      </c>
      <c r="BB32">
        <f t="shared" si="71"/>
        <v>0</v>
      </c>
      <c r="BC32">
        <f t="shared" si="71"/>
        <v>3</v>
      </c>
      <c r="BD32">
        <f t="shared" si="42"/>
        <v>2</v>
      </c>
      <c r="BE32">
        <f t="shared" si="29"/>
        <v>0</v>
      </c>
    </row>
    <row r="33" spans="1:57">
      <c r="A33" s="176">
        <f t="shared" si="47"/>
        <v>93.613331120000026</v>
      </c>
      <c r="B33" s="177"/>
      <c r="C33">
        <v>38</v>
      </c>
      <c r="D33" s="178">
        <f t="shared" si="30"/>
        <v>66.455356291388711</v>
      </c>
      <c r="E33" s="178">
        <f t="shared" si="31"/>
        <v>71.656793132729078</v>
      </c>
      <c r="F33" s="178">
        <f t="shared" si="32"/>
        <v>74.411175717547138</v>
      </c>
      <c r="G33" s="178">
        <f t="shared" si="33"/>
        <v>93.613331120000026</v>
      </c>
      <c r="H33" s="178">
        <f t="shared" si="34"/>
        <v>112.8154865224529</v>
      </c>
      <c r="I33" s="178">
        <f t="shared" si="35"/>
        <v>115.56986910727096</v>
      </c>
      <c r="J33" s="178">
        <f t="shared" si="36"/>
        <v>120.77130594861134</v>
      </c>
      <c r="K33" s="178">
        <f t="shared" si="37"/>
        <v>11.674081564352718</v>
      </c>
      <c r="M33" s="177">
        <f t="shared" si="0"/>
        <v>50</v>
      </c>
      <c r="N33" s="173">
        <f t="shared" si="38"/>
        <v>38.404310804905762</v>
      </c>
      <c r="O33" s="173">
        <f t="shared" si="39"/>
        <v>38</v>
      </c>
      <c r="P33" s="173" t="str">
        <f t="shared" si="40"/>
        <v>38s (%50)</v>
      </c>
      <c r="Q33" s="173">
        <f t="shared" si="48"/>
        <v>0</v>
      </c>
      <c r="R33" s="173">
        <f t="shared" si="49"/>
        <v>2</v>
      </c>
      <c r="S33" s="173"/>
      <c r="T33" s="173"/>
      <c r="U33" s="173">
        <f t="shared" si="50"/>
        <v>3</v>
      </c>
      <c r="V33" s="173">
        <f t="shared" si="51"/>
        <v>0</v>
      </c>
      <c r="W33" s="173">
        <f t="shared" si="52"/>
        <v>0</v>
      </c>
      <c r="X33" s="173">
        <f t="shared" si="53"/>
        <v>3</v>
      </c>
      <c r="Y33" s="173">
        <f t="shared" si="54"/>
        <v>0</v>
      </c>
      <c r="Z33" s="173">
        <f t="shared" si="55"/>
        <v>0</v>
      </c>
      <c r="AA33" s="173">
        <f t="shared" si="56"/>
        <v>6</v>
      </c>
      <c r="AB33" s="173">
        <f t="shared" si="68"/>
        <v>40</v>
      </c>
      <c r="AC33" s="173">
        <f t="shared" si="69"/>
        <v>1</v>
      </c>
      <c r="AD33" s="173">
        <f t="shared" si="70"/>
        <v>40</v>
      </c>
      <c r="AE33" s="173">
        <f t="shared" si="57"/>
        <v>0</v>
      </c>
      <c r="AF33" s="173">
        <f t="shared" si="58"/>
        <v>0</v>
      </c>
      <c r="AG33" s="173">
        <f t="shared" si="59"/>
        <v>6</v>
      </c>
      <c r="AH33" s="173">
        <f t="shared" si="60"/>
        <v>0</v>
      </c>
      <c r="AI33" s="173">
        <f t="shared" si="61"/>
        <v>0</v>
      </c>
      <c r="AJ33" s="173">
        <f t="shared" si="62"/>
        <v>3</v>
      </c>
      <c r="AK33" s="173">
        <f t="shared" si="63"/>
        <v>0</v>
      </c>
      <c r="AL33" s="173">
        <f t="shared" si="64"/>
        <v>0</v>
      </c>
      <c r="AM33" s="173">
        <f t="shared" si="65"/>
        <v>3</v>
      </c>
      <c r="AN33" s="173">
        <f t="shared" si="66"/>
        <v>2</v>
      </c>
      <c r="AO33" s="173">
        <f t="shared" si="67"/>
        <v>0</v>
      </c>
      <c r="AP33" s="173"/>
      <c r="AR33">
        <f t="shared" si="43"/>
        <v>50</v>
      </c>
      <c r="AS33">
        <f t="shared" si="44"/>
        <v>0</v>
      </c>
      <c r="AT33">
        <f t="shared" si="44"/>
        <v>2</v>
      </c>
      <c r="AU33">
        <f t="shared" si="45"/>
        <v>0</v>
      </c>
      <c r="AV33">
        <f t="shared" si="45"/>
        <v>0</v>
      </c>
      <c r="AW33">
        <f t="shared" si="45"/>
        <v>3</v>
      </c>
      <c r="AX33">
        <f t="shared" si="46"/>
        <v>40</v>
      </c>
      <c r="AY33">
        <f t="shared" si="46"/>
        <v>1</v>
      </c>
      <c r="AZ33">
        <f t="shared" si="46"/>
        <v>40</v>
      </c>
      <c r="BA33">
        <f t="shared" si="71"/>
        <v>0</v>
      </c>
      <c r="BB33">
        <f t="shared" si="71"/>
        <v>0</v>
      </c>
      <c r="BC33">
        <f t="shared" si="71"/>
        <v>3</v>
      </c>
      <c r="BD33">
        <f t="shared" si="42"/>
        <v>2</v>
      </c>
      <c r="BE33">
        <f t="shared" si="29"/>
        <v>0</v>
      </c>
    </row>
    <row r="34" spans="1:57">
      <c r="A34" s="176">
        <f t="shared" si="47"/>
        <v>94.406569990000008</v>
      </c>
      <c r="B34" s="177"/>
      <c r="C34">
        <v>39</v>
      </c>
      <c r="D34" s="178">
        <f t="shared" si="30"/>
        <v>65.905766026841007</v>
      </c>
      <c r="E34" s="178">
        <f t="shared" si="31"/>
        <v>71.364388500620478</v>
      </c>
      <c r="F34" s="178">
        <f t="shared" si="32"/>
        <v>74.254961843620094</v>
      </c>
      <c r="G34" s="178">
        <f t="shared" si="33"/>
        <v>94.406569990000008</v>
      </c>
      <c r="H34" s="178">
        <f t="shared" si="34"/>
        <v>114.55817813637991</v>
      </c>
      <c r="I34" s="178">
        <f t="shared" si="35"/>
        <v>117.44875147937954</v>
      </c>
      <c r="J34" s="178">
        <f t="shared" si="36"/>
        <v>122.90737395315901</v>
      </c>
      <c r="K34" s="178">
        <f t="shared" si="37"/>
        <v>12.251307846600525</v>
      </c>
      <c r="M34" s="177">
        <f t="shared" si="0"/>
        <v>50</v>
      </c>
      <c r="N34" s="173">
        <f t="shared" si="38"/>
        <v>40.303216292759814</v>
      </c>
      <c r="O34" s="173">
        <f t="shared" si="39"/>
        <v>39</v>
      </c>
      <c r="P34" s="173" t="str">
        <f t="shared" si="40"/>
        <v>39s (%50)</v>
      </c>
      <c r="Q34" s="173">
        <f t="shared" si="48"/>
        <v>0</v>
      </c>
      <c r="R34" s="173">
        <f t="shared" si="49"/>
        <v>2</v>
      </c>
      <c r="S34" s="173"/>
      <c r="T34" s="173"/>
      <c r="U34" s="173">
        <f t="shared" si="50"/>
        <v>3</v>
      </c>
      <c r="V34" s="173">
        <f t="shared" si="51"/>
        <v>0</v>
      </c>
      <c r="W34" s="173">
        <f t="shared" si="52"/>
        <v>0</v>
      </c>
      <c r="X34" s="173">
        <f t="shared" si="53"/>
        <v>3</v>
      </c>
      <c r="Y34" s="173">
        <f t="shared" si="54"/>
        <v>0</v>
      </c>
      <c r="Z34" s="173">
        <f t="shared" si="55"/>
        <v>0</v>
      </c>
      <c r="AA34" s="173">
        <f t="shared" si="56"/>
        <v>6</v>
      </c>
      <c r="AB34" s="173">
        <f t="shared" si="68"/>
        <v>40</v>
      </c>
      <c r="AC34" s="173">
        <f t="shared" si="69"/>
        <v>1</v>
      </c>
      <c r="AD34" s="173">
        <f t="shared" si="70"/>
        <v>40</v>
      </c>
      <c r="AE34" s="173">
        <f t="shared" si="57"/>
        <v>0</v>
      </c>
      <c r="AF34" s="173">
        <f t="shared" si="58"/>
        <v>0</v>
      </c>
      <c r="AG34" s="173">
        <f t="shared" si="59"/>
        <v>6</v>
      </c>
      <c r="AH34" s="173">
        <f t="shared" si="60"/>
        <v>0</v>
      </c>
      <c r="AI34" s="173">
        <f t="shared" si="61"/>
        <v>0</v>
      </c>
      <c r="AJ34" s="173">
        <f t="shared" si="62"/>
        <v>3</v>
      </c>
      <c r="AK34" s="173">
        <f t="shared" si="63"/>
        <v>0</v>
      </c>
      <c r="AL34" s="173">
        <f t="shared" si="64"/>
        <v>0</v>
      </c>
      <c r="AM34" s="173">
        <f t="shared" si="65"/>
        <v>3</v>
      </c>
      <c r="AN34" s="173">
        <f t="shared" si="66"/>
        <v>2</v>
      </c>
      <c r="AO34" s="173">
        <f t="shared" si="67"/>
        <v>0</v>
      </c>
      <c r="AP34" s="173"/>
      <c r="AR34">
        <f t="shared" si="43"/>
        <v>50</v>
      </c>
      <c r="AS34">
        <f t="shared" si="44"/>
        <v>0</v>
      </c>
      <c r="AT34">
        <f t="shared" si="44"/>
        <v>2</v>
      </c>
      <c r="AU34">
        <f t="shared" si="45"/>
        <v>0</v>
      </c>
      <c r="AV34">
        <f t="shared" si="45"/>
        <v>0</v>
      </c>
      <c r="AW34">
        <f t="shared" si="45"/>
        <v>3</v>
      </c>
      <c r="AX34">
        <f t="shared" si="46"/>
        <v>40</v>
      </c>
      <c r="AY34">
        <f t="shared" si="46"/>
        <v>1</v>
      </c>
      <c r="AZ34">
        <f t="shared" si="46"/>
        <v>40</v>
      </c>
      <c r="BA34">
        <f t="shared" si="71"/>
        <v>0</v>
      </c>
      <c r="BB34">
        <f t="shared" si="71"/>
        <v>0</v>
      </c>
      <c r="BC34">
        <f t="shared" si="71"/>
        <v>3</v>
      </c>
      <c r="BD34">
        <f t="shared" si="42"/>
        <v>2</v>
      </c>
      <c r="BE34">
        <f t="shared" si="29"/>
        <v>0</v>
      </c>
    </row>
    <row r="35" spans="1:57">
      <c r="A35" s="176">
        <f t="shared" si="47"/>
        <v>94.916620000000023</v>
      </c>
      <c r="B35" s="177"/>
      <c r="C35">
        <v>40</v>
      </c>
      <c r="D35" s="178">
        <f t="shared" si="30"/>
        <v>64.851225472497703</v>
      </c>
      <c r="E35" s="178">
        <f t="shared" si="31"/>
        <v>70.60950648320221</v>
      </c>
      <c r="F35" s="178">
        <f t="shared" si="32"/>
        <v>73.658761798255881</v>
      </c>
      <c r="G35" s="178">
        <f t="shared" si="33"/>
        <v>94.916620000000023</v>
      </c>
      <c r="H35" s="178">
        <f t="shared" si="34"/>
        <v>116.17447820174417</v>
      </c>
      <c r="I35" s="178">
        <f t="shared" si="35"/>
        <v>119.22373351679782</v>
      </c>
      <c r="J35" s="178">
        <f t="shared" si="36"/>
        <v>124.98201452750234</v>
      </c>
      <c r="K35" s="178">
        <f t="shared" si="37"/>
        <v>12.923860125561987</v>
      </c>
      <c r="M35" s="177">
        <f t="shared" si="0"/>
        <v>50</v>
      </c>
      <c r="N35" s="173">
        <f t="shared" si="38"/>
        <v>42.515716403488284</v>
      </c>
      <c r="O35" s="173">
        <f t="shared" si="39"/>
        <v>40</v>
      </c>
      <c r="P35" s="173" t="str">
        <f t="shared" si="40"/>
        <v>40s (%50)</v>
      </c>
      <c r="Q35" s="173">
        <f t="shared" si="48"/>
        <v>0</v>
      </c>
      <c r="R35" s="173">
        <f t="shared" si="49"/>
        <v>2</v>
      </c>
      <c r="S35" s="173"/>
      <c r="T35" s="173"/>
      <c r="U35" s="173">
        <f t="shared" si="50"/>
        <v>3</v>
      </c>
      <c r="V35" s="173">
        <f t="shared" si="51"/>
        <v>0</v>
      </c>
      <c r="W35" s="173">
        <f t="shared" si="52"/>
        <v>0</v>
      </c>
      <c r="X35" s="173">
        <f t="shared" si="53"/>
        <v>3</v>
      </c>
      <c r="Y35" s="173">
        <f t="shared" si="54"/>
        <v>0</v>
      </c>
      <c r="Z35" s="173">
        <f t="shared" si="55"/>
        <v>0</v>
      </c>
      <c r="AA35" s="173">
        <f t="shared" si="56"/>
        <v>6</v>
      </c>
      <c r="AB35" s="173">
        <f t="shared" si="68"/>
        <v>40</v>
      </c>
      <c r="AC35" s="173">
        <f t="shared" si="69"/>
        <v>1</v>
      </c>
      <c r="AD35" s="173">
        <f t="shared" si="70"/>
        <v>40</v>
      </c>
      <c r="AE35" s="173">
        <f t="shared" si="57"/>
        <v>0</v>
      </c>
      <c r="AF35" s="173">
        <f t="shared" si="58"/>
        <v>0</v>
      </c>
      <c r="AG35" s="173">
        <f t="shared" si="59"/>
        <v>6</v>
      </c>
      <c r="AH35" s="173">
        <f t="shared" si="60"/>
        <v>0</v>
      </c>
      <c r="AI35" s="173">
        <f t="shared" si="61"/>
        <v>0</v>
      </c>
      <c r="AJ35" s="173">
        <f t="shared" si="62"/>
        <v>3</v>
      </c>
      <c r="AK35" s="173">
        <f t="shared" si="63"/>
        <v>0</v>
      </c>
      <c r="AL35" s="173">
        <f t="shared" si="64"/>
        <v>0</v>
      </c>
      <c r="AM35" s="173">
        <f t="shared" si="65"/>
        <v>3</v>
      </c>
      <c r="AN35" s="173">
        <f t="shared" si="66"/>
        <v>2</v>
      </c>
      <c r="AO35" s="173">
        <f t="shared" si="67"/>
        <v>0</v>
      </c>
      <c r="AP35" s="173"/>
      <c r="AR35">
        <f t="shared" si="43"/>
        <v>50</v>
      </c>
      <c r="AS35">
        <f t="shared" si="44"/>
        <v>0</v>
      </c>
      <c r="AT35">
        <f t="shared" si="44"/>
        <v>2</v>
      </c>
      <c r="AU35">
        <f t="shared" si="45"/>
        <v>0</v>
      </c>
      <c r="AV35">
        <f t="shared" si="45"/>
        <v>0</v>
      </c>
      <c r="AW35">
        <f t="shared" si="45"/>
        <v>3</v>
      </c>
      <c r="AX35">
        <f t="shared" si="46"/>
        <v>40</v>
      </c>
      <c r="AY35">
        <f t="shared" si="46"/>
        <v>1</v>
      </c>
      <c r="AZ35">
        <f t="shared" si="46"/>
        <v>40</v>
      </c>
      <c r="BA35">
        <f t="shared" si="71"/>
        <v>0</v>
      </c>
      <c r="BB35">
        <f t="shared" si="71"/>
        <v>0</v>
      </c>
      <c r="BC35">
        <f t="shared" si="71"/>
        <v>3</v>
      </c>
      <c r="BD35">
        <f t="shared" si="42"/>
        <v>2</v>
      </c>
      <c r="BE35">
        <f t="shared" si="29"/>
        <v>0</v>
      </c>
    </row>
    <row r="36" spans="1:57">
      <c r="A36" s="176">
        <f t="shared" si="47"/>
        <v>95.128098410000064</v>
      </c>
      <c r="B36" s="177"/>
      <c r="C36">
        <v>41</v>
      </c>
      <c r="D36" s="178">
        <f t="shared" si="30"/>
        <v>63.248868405335791</v>
      </c>
      <c r="E36" s="178">
        <f t="shared" si="31"/>
        <v>69.354544637318028</v>
      </c>
      <c r="F36" s="178">
        <f t="shared" si="32"/>
        <v>72.587760534173128</v>
      </c>
      <c r="G36" s="178">
        <f t="shared" si="33"/>
        <v>95.128098410000064</v>
      </c>
      <c r="H36" s="178">
        <f t="shared" si="34"/>
        <v>117.66843628582698</v>
      </c>
      <c r="I36" s="178">
        <f t="shared" si="35"/>
        <v>120.90165218268208</v>
      </c>
      <c r="J36" s="178">
        <f t="shared" si="36"/>
        <v>127.00732841466433</v>
      </c>
      <c r="K36" s="178">
        <f t="shared" si="37"/>
        <v>13.703552405208598</v>
      </c>
      <c r="M36" s="177">
        <f t="shared" si="0"/>
        <v>50</v>
      </c>
      <c r="N36" s="173">
        <f t="shared" si="38"/>
        <v>45.080675751653857</v>
      </c>
      <c r="O36" s="173">
        <f t="shared" si="39"/>
        <v>41</v>
      </c>
      <c r="P36" s="173" t="str">
        <f t="shared" si="40"/>
        <v>41s (%50)</v>
      </c>
      <c r="Q36" s="173">
        <f t="shared" si="48"/>
        <v>0</v>
      </c>
      <c r="R36" s="173">
        <f t="shared" si="49"/>
        <v>2</v>
      </c>
      <c r="S36" s="173"/>
      <c r="T36" s="173"/>
      <c r="U36" s="173">
        <f t="shared" si="50"/>
        <v>3</v>
      </c>
      <c r="V36" s="173">
        <f t="shared" si="51"/>
        <v>0</v>
      </c>
      <c r="W36" s="173">
        <f t="shared" si="52"/>
        <v>0</v>
      </c>
      <c r="X36" s="173">
        <f t="shared" si="53"/>
        <v>3</v>
      </c>
      <c r="Y36" s="173">
        <f t="shared" si="54"/>
        <v>0</v>
      </c>
      <c r="Z36" s="173">
        <f t="shared" si="55"/>
        <v>0</v>
      </c>
      <c r="AA36" s="173">
        <f t="shared" si="56"/>
        <v>6</v>
      </c>
      <c r="AB36" s="173">
        <f t="shared" si="68"/>
        <v>40</v>
      </c>
      <c r="AC36" s="173">
        <f t="shared" si="69"/>
        <v>1</v>
      </c>
      <c r="AD36" s="173">
        <f t="shared" si="70"/>
        <v>40</v>
      </c>
      <c r="AE36" s="173">
        <f t="shared" si="57"/>
        <v>0</v>
      </c>
      <c r="AF36" s="173">
        <f t="shared" si="58"/>
        <v>0</v>
      </c>
      <c r="AG36" s="173">
        <f t="shared" si="59"/>
        <v>6</v>
      </c>
      <c r="AH36" s="173">
        <f t="shared" si="60"/>
        <v>0</v>
      </c>
      <c r="AI36" s="173">
        <f t="shared" si="61"/>
        <v>0</v>
      </c>
      <c r="AJ36" s="173">
        <f t="shared" si="62"/>
        <v>3</v>
      </c>
      <c r="AK36" s="173">
        <f t="shared" si="63"/>
        <v>0</v>
      </c>
      <c r="AL36" s="173">
        <f t="shared" si="64"/>
        <v>0</v>
      </c>
      <c r="AM36" s="173">
        <f t="shared" si="65"/>
        <v>3</v>
      </c>
      <c r="AN36" s="173">
        <f t="shared" si="66"/>
        <v>2</v>
      </c>
      <c r="AO36" s="173">
        <f t="shared" si="67"/>
        <v>0</v>
      </c>
      <c r="AP36" s="173"/>
      <c r="AR36">
        <f t="shared" si="43"/>
        <v>50</v>
      </c>
      <c r="AS36">
        <f t="shared" si="44"/>
        <v>0</v>
      </c>
      <c r="AT36">
        <f t="shared" si="44"/>
        <v>2</v>
      </c>
      <c r="AU36">
        <f t="shared" si="45"/>
        <v>0</v>
      </c>
      <c r="AV36">
        <f t="shared" si="45"/>
        <v>0</v>
      </c>
      <c r="AW36">
        <f t="shared" si="45"/>
        <v>3</v>
      </c>
      <c r="AX36">
        <f t="shared" si="46"/>
        <v>40</v>
      </c>
      <c r="AY36">
        <f t="shared" si="46"/>
        <v>1</v>
      </c>
      <c r="AZ36">
        <f t="shared" si="46"/>
        <v>40</v>
      </c>
      <c r="BA36">
        <f t="shared" si="71"/>
        <v>0</v>
      </c>
      <c r="BB36">
        <f t="shared" si="71"/>
        <v>0</v>
      </c>
      <c r="BC36">
        <f t="shared" si="71"/>
        <v>3</v>
      </c>
      <c r="BD36">
        <f t="shared" si="42"/>
        <v>2</v>
      </c>
      <c r="BE36">
        <f t="shared" si="29"/>
        <v>0</v>
      </c>
    </row>
    <row r="37" spans="1:57">
      <c r="A37" s="176">
        <f t="shared" si="47"/>
        <v>95.025622480000067</v>
      </c>
      <c r="B37" s="177"/>
      <c r="C37">
        <v>42</v>
      </c>
      <c r="D37" s="178">
        <f t="shared" si="30"/>
        <v>61.05460041745858</v>
      </c>
      <c r="E37" s="178">
        <f t="shared" si="31"/>
        <v>67.560907563304227</v>
      </c>
      <c r="F37" s="178">
        <f t="shared" si="32"/>
        <v>71.006274611032609</v>
      </c>
      <c r="G37" s="178">
        <f t="shared" si="33"/>
        <v>95.025622480000067</v>
      </c>
      <c r="H37" s="178">
        <f t="shared" si="34"/>
        <v>119.04497034896752</v>
      </c>
      <c r="I37" s="178">
        <f t="shared" si="35"/>
        <v>122.49033739669591</v>
      </c>
      <c r="J37" s="178">
        <f t="shared" si="36"/>
        <v>128.99664454254156</v>
      </c>
      <c r="K37" s="178">
        <f t="shared" si="37"/>
        <v>14.60272663500416</v>
      </c>
      <c r="M37" s="177">
        <f t="shared" si="0"/>
        <v>50</v>
      </c>
      <c r="N37" s="173">
        <f t="shared" si="38"/>
        <v>48.038695737934916</v>
      </c>
      <c r="O37" s="173">
        <f t="shared" si="39"/>
        <v>42</v>
      </c>
      <c r="P37" s="173" t="str">
        <f t="shared" si="40"/>
        <v>42s (%50)</v>
      </c>
      <c r="Q37" s="173">
        <f t="shared" si="48"/>
        <v>0</v>
      </c>
      <c r="R37" s="173">
        <f t="shared" si="49"/>
        <v>2</v>
      </c>
      <c r="S37" s="173"/>
      <c r="T37" s="173"/>
      <c r="U37" s="173">
        <f t="shared" si="50"/>
        <v>3</v>
      </c>
      <c r="V37" s="173">
        <f t="shared" si="51"/>
        <v>0</v>
      </c>
      <c r="W37" s="173">
        <f t="shared" si="52"/>
        <v>0</v>
      </c>
      <c r="X37" s="173">
        <f t="shared" si="53"/>
        <v>3</v>
      </c>
      <c r="Y37" s="173">
        <f t="shared" si="54"/>
        <v>0</v>
      </c>
      <c r="Z37" s="173">
        <f t="shared" si="55"/>
        <v>0</v>
      </c>
      <c r="AA37" s="173">
        <f t="shared" si="56"/>
        <v>6</v>
      </c>
      <c r="AB37" s="173">
        <f t="shared" si="68"/>
        <v>40</v>
      </c>
      <c r="AC37" s="173">
        <f t="shared" si="69"/>
        <v>1</v>
      </c>
      <c r="AD37" s="173">
        <f t="shared" si="70"/>
        <v>40</v>
      </c>
      <c r="AE37" s="173">
        <f t="shared" si="57"/>
        <v>0</v>
      </c>
      <c r="AF37" s="173">
        <f t="shared" si="58"/>
        <v>0</v>
      </c>
      <c r="AG37" s="173">
        <f t="shared" si="59"/>
        <v>6</v>
      </c>
      <c r="AH37" s="173">
        <f t="shared" si="60"/>
        <v>0</v>
      </c>
      <c r="AI37" s="173">
        <f t="shared" si="61"/>
        <v>0</v>
      </c>
      <c r="AJ37" s="173">
        <f t="shared" si="62"/>
        <v>3</v>
      </c>
      <c r="AK37" s="173">
        <f t="shared" si="63"/>
        <v>0</v>
      </c>
      <c r="AL37" s="173">
        <f t="shared" si="64"/>
        <v>0</v>
      </c>
      <c r="AM37" s="173">
        <f t="shared" si="65"/>
        <v>3</v>
      </c>
      <c r="AN37" s="173">
        <f t="shared" si="66"/>
        <v>2</v>
      </c>
      <c r="AO37" s="173">
        <f t="shared" si="67"/>
        <v>0</v>
      </c>
      <c r="AP37" s="173"/>
      <c r="AR37">
        <f t="shared" si="43"/>
        <v>50</v>
      </c>
      <c r="AS37">
        <f t="shared" si="44"/>
        <v>0</v>
      </c>
      <c r="AT37">
        <f t="shared" si="44"/>
        <v>2</v>
      </c>
      <c r="AU37">
        <f t="shared" si="45"/>
        <v>0</v>
      </c>
      <c r="AV37">
        <f t="shared" si="45"/>
        <v>0</v>
      </c>
      <c r="AW37">
        <f t="shared" si="45"/>
        <v>3</v>
      </c>
      <c r="AX37">
        <f t="shared" si="46"/>
        <v>40</v>
      </c>
      <c r="AY37">
        <f t="shared" si="46"/>
        <v>1</v>
      </c>
      <c r="AZ37">
        <f t="shared" si="46"/>
        <v>40</v>
      </c>
      <c r="BA37">
        <f t="shared" si="71"/>
        <v>0</v>
      </c>
      <c r="BB37">
        <f t="shared" si="71"/>
        <v>0</v>
      </c>
      <c r="BC37">
        <f t="shared" si="71"/>
        <v>3</v>
      </c>
      <c r="BD37">
        <f t="shared" si="42"/>
        <v>2</v>
      </c>
      <c r="BE37">
        <f t="shared" si="29"/>
        <v>0</v>
      </c>
    </row>
    <row r="43" spans="1:57">
      <c r="D43" s="38"/>
      <c r="E43" s="38"/>
    </row>
    <row r="44" spans="1:57">
      <c r="C44" s="38"/>
    </row>
    <row r="45" spans="1:57">
      <c r="C45" s="38"/>
    </row>
    <row r="46" spans="1:57">
      <c r="C46" s="38"/>
    </row>
    <row r="47" spans="1:57">
      <c r="C47" s="38"/>
    </row>
    <row r="48" spans="1:57">
      <c r="C48" s="38"/>
    </row>
    <row r="49" spans="3:3">
      <c r="C49" s="38"/>
    </row>
    <row r="50" spans="3:3">
      <c r="C50" s="38"/>
    </row>
    <row r="51" spans="3:3">
      <c r="C51" s="38"/>
    </row>
    <row r="53" spans="3:3">
      <c r="C53" s="38"/>
    </row>
    <row r="55" spans="3:3">
      <c r="C55" s="38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206EE-7BEA-4B60-9500-0FFE8A03E0CF}">
  <sheetPr codeName="Planilha7"/>
  <dimension ref="B3:N46"/>
  <sheetViews>
    <sheetView topLeftCell="A3" workbookViewId="0">
      <selection activeCell="B5" sqref="B5:E46"/>
    </sheetView>
  </sheetViews>
  <sheetFormatPr defaultRowHeight="15"/>
  <cols>
    <col min="3" max="3" width="15.7109375" customWidth="1"/>
    <col min="4" max="4" width="11.5703125" customWidth="1"/>
    <col min="5" max="5" width="11.7109375" customWidth="1"/>
  </cols>
  <sheetData>
    <row r="3" spans="2:14">
      <c r="K3" t="s">
        <v>176</v>
      </c>
      <c r="L3">
        <f>Edit!S5</f>
        <v>170</v>
      </c>
    </row>
    <row r="4" spans="2:14">
      <c r="B4" t="s">
        <v>35</v>
      </c>
      <c r="C4" t="s">
        <v>159</v>
      </c>
      <c r="D4" t="s">
        <v>160</v>
      </c>
      <c r="E4" t="s">
        <v>161</v>
      </c>
      <c r="F4" t="s">
        <v>165</v>
      </c>
      <c r="G4" t="s">
        <v>166</v>
      </c>
      <c r="K4" t="s">
        <v>226</v>
      </c>
      <c r="L4" t="s">
        <v>35</v>
      </c>
      <c r="M4" t="s">
        <v>77</v>
      </c>
      <c r="N4" t="s">
        <v>157</v>
      </c>
    </row>
    <row r="5" spans="2:14">
      <c r="B5" s="208">
        <v>1</v>
      </c>
      <c r="C5">
        <v>20</v>
      </c>
      <c r="D5">
        <v>25</v>
      </c>
      <c r="E5">
        <v>30</v>
      </c>
      <c r="F5">
        <f>IF(L5="",0,L5)</f>
        <v>4.8571428571428568</v>
      </c>
      <c r="G5">
        <f>IF(N5="",0,N5)</f>
        <v>18.7</v>
      </c>
      <c r="K5">
        <v>1</v>
      </c>
      <c r="L5">
        <f>IF(Edit!H47="","",Edit!H47/7)</f>
        <v>4.8571428571428568</v>
      </c>
      <c r="M5">
        <f>Edit!C47</f>
        <v>54</v>
      </c>
      <c r="N5">
        <f>ROUND(M5/$L$3^2*10000,1)</f>
        <v>18.7</v>
      </c>
    </row>
    <row r="6" spans="2:14">
      <c r="B6" s="208">
        <v>2</v>
      </c>
      <c r="C6">
        <v>20</v>
      </c>
      <c r="D6">
        <v>25</v>
      </c>
      <c r="E6">
        <v>30</v>
      </c>
      <c r="F6">
        <f t="shared" ref="F6:F24" si="0">IF(L6="",0,L6)</f>
        <v>9.1428571428571423</v>
      </c>
      <c r="G6">
        <f t="shared" ref="G6:G24" si="1">IF(N6="",0,N6)</f>
        <v>22.5</v>
      </c>
      <c r="K6">
        <v>2</v>
      </c>
      <c r="L6">
        <f>IF(Edit!H48="","",Edit!H48/7)</f>
        <v>9.1428571428571423</v>
      </c>
      <c r="M6">
        <f>Edit!C48</f>
        <v>65</v>
      </c>
      <c r="N6">
        <f t="shared" ref="N6:N20" si="2">ROUND(M6/$L$3^2*10000,1)</f>
        <v>22.5</v>
      </c>
    </row>
    <row r="7" spans="2:14">
      <c r="B7" s="208">
        <v>3</v>
      </c>
      <c r="C7">
        <v>20</v>
      </c>
      <c r="D7">
        <v>25</v>
      </c>
      <c r="E7">
        <v>30</v>
      </c>
      <c r="F7">
        <f t="shared" si="0"/>
        <v>10.571428571428571</v>
      </c>
      <c r="G7">
        <f t="shared" si="1"/>
        <v>22.8</v>
      </c>
      <c r="K7">
        <v>3</v>
      </c>
      <c r="L7">
        <f>IF(Edit!H49="","",Edit!H49/7)</f>
        <v>10.571428571428571</v>
      </c>
      <c r="M7">
        <f>Edit!C49</f>
        <v>66</v>
      </c>
      <c r="N7">
        <f t="shared" si="2"/>
        <v>22.8</v>
      </c>
    </row>
    <row r="8" spans="2:14">
      <c r="B8" s="208">
        <v>4</v>
      </c>
      <c r="C8">
        <v>20</v>
      </c>
      <c r="D8">
        <v>25</v>
      </c>
      <c r="E8">
        <v>30</v>
      </c>
      <c r="F8">
        <f t="shared" si="0"/>
        <v>0</v>
      </c>
      <c r="G8">
        <f t="shared" si="1"/>
        <v>0</v>
      </c>
      <c r="K8">
        <v>4</v>
      </c>
      <c r="L8" t="str">
        <f>IF(Edit!H50="","",Edit!H50/7)</f>
        <v/>
      </c>
      <c r="M8">
        <f>Edit!C50</f>
        <v>0</v>
      </c>
      <c r="N8">
        <f t="shared" si="2"/>
        <v>0</v>
      </c>
    </row>
    <row r="9" spans="2:14">
      <c r="B9" s="208">
        <v>5</v>
      </c>
      <c r="C9">
        <v>20</v>
      </c>
      <c r="D9">
        <v>25</v>
      </c>
      <c r="E9">
        <v>30</v>
      </c>
      <c r="F9">
        <f t="shared" si="0"/>
        <v>0</v>
      </c>
      <c r="G9">
        <f t="shared" si="1"/>
        <v>0</v>
      </c>
      <c r="K9">
        <v>5</v>
      </c>
      <c r="L9" t="str">
        <f>IF(Edit!H51="","",Edit!H51/7)</f>
        <v/>
      </c>
      <c r="M9">
        <f>Edit!C51</f>
        <v>0</v>
      </c>
      <c r="N9">
        <f t="shared" si="2"/>
        <v>0</v>
      </c>
    </row>
    <row r="10" spans="2:14">
      <c r="B10" s="208">
        <v>6</v>
      </c>
      <c r="C10">
        <v>20</v>
      </c>
      <c r="D10">
        <v>25</v>
      </c>
      <c r="E10">
        <v>30</v>
      </c>
      <c r="F10">
        <f t="shared" si="0"/>
        <v>0</v>
      </c>
      <c r="G10">
        <f t="shared" si="1"/>
        <v>0</v>
      </c>
      <c r="K10">
        <v>6</v>
      </c>
      <c r="L10" t="str">
        <f>IF(Edit!H52="","",Edit!H52/7)</f>
        <v/>
      </c>
      <c r="M10">
        <f>Edit!C52</f>
        <v>0</v>
      </c>
      <c r="N10">
        <f t="shared" si="2"/>
        <v>0</v>
      </c>
    </row>
    <row r="11" spans="2:14">
      <c r="B11" s="208">
        <v>7</v>
      </c>
      <c r="C11">
        <v>20</v>
      </c>
      <c r="D11">
        <v>25</v>
      </c>
      <c r="E11">
        <v>30</v>
      </c>
      <c r="F11">
        <f t="shared" si="0"/>
        <v>0</v>
      </c>
      <c r="G11">
        <f t="shared" si="1"/>
        <v>0</v>
      </c>
      <c r="K11">
        <v>7</v>
      </c>
      <c r="L11" t="str">
        <f>IF(Edit!H53="","",Edit!H53/7)</f>
        <v/>
      </c>
      <c r="M11">
        <f>Edit!C53</f>
        <v>0</v>
      </c>
      <c r="N11">
        <f t="shared" si="2"/>
        <v>0</v>
      </c>
    </row>
    <row r="12" spans="2:14">
      <c r="B12" s="208">
        <v>8</v>
      </c>
      <c r="C12">
        <v>20.2</v>
      </c>
      <c r="D12">
        <v>25.1</v>
      </c>
      <c r="E12">
        <v>30.2</v>
      </c>
      <c r="F12">
        <f t="shared" si="0"/>
        <v>0</v>
      </c>
      <c r="G12">
        <f t="shared" si="1"/>
        <v>0</v>
      </c>
      <c r="K12">
        <v>8</v>
      </c>
      <c r="L12" t="str">
        <f>IF(Edit!H54="","",Edit!H54/7)</f>
        <v/>
      </c>
      <c r="M12">
        <f>Edit!C54</f>
        <v>0</v>
      </c>
      <c r="N12">
        <f t="shared" si="2"/>
        <v>0</v>
      </c>
    </row>
    <row r="13" spans="2:14">
      <c r="B13" s="208">
        <v>9</v>
      </c>
      <c r="C13">
        <v>20.2</v>
      </c>
      <c r="D13">
        <v>25.2</v>
      </c>
      <c r="E13">
        <v>30.2</v>
      </c>
      <c r="F13">
        <f t="shared" si="0"/>
        <v>0</v>
      </c>
      <c r="G13">
        <f t="shared" si="1"/>
        <v>0</v>
      </c>
      <c r="K13">
        <v>9</v>
      </c>
      <c r="L13" t="str">
        <f>IF(Edit!H55="","",Edit!H55/7)</f>
        <v/>
      </c>
      <c r="M13">
        <f>Edit!C55</f>
        <v>0</v>
      </c>
      <c r="N13">
        <f t="shared" si="2"/>
        <v>0</v>
      </c>
    </row>
    <row r="14" spans="2:14">
      <c r="B14" s="208">
        <v>10</v>
      </c>
      <c r="C14">
        <v>20.3</v>
      </c>
      <c r="D14">
        <v>25.3</v>
      </c>
      <c r="E14">
        <v>30.3</v>
      </c>
      <c r="F14">
        <f t="shared" si="0"/>
        <v>0</v>
      </c>
      <c r="G14">
        <f t="shared" si="1"/>
        <v>0</v>
      </c>
      <c r="K14">
        <v>10</v>
      </c>
      <c r="L14" t="str">
        <f>IF(Edit!H56="","",Edit!H56/7)</f>
        <v/>
      </c>
      <c r="M14">
        <f>Edit!C56</f>
        <v>0</v>
      </c>
      <c r="N14">
        <f t="shared" si="2"/>
        <v>0</v>
      </c>
    </row>
    <row r="15" spans="2:14">
      <c r="B15" s="208">
        <v>11</v>
      </c>
      <c r="C15">
        <v>20.399999999999999</v>
      </c>
      <c r="D15">
        <v>25.4</v>
      </c>
      <c r="E15">
        <v>30.4</v>
      </c>
      <c r="F15">
        <f t="shared" si="0"/>
        <v>0</v>
      </c>
      <c r="G15">
        <f t="shared" si="1"/>
        <v>0</v>
      </c>
      <c r="K15">
        <v>11</v>
      </c>
      <c r="L15" t="str">
        <f>IF(Edit!H57="","",Edit!H57/7)</f>
        <v/>
      </c>
      <c r="M15">
        <f>Edit!C57</f>
        <v>0</v>
      </c>
      <c r="N15">
        <f t="shared" si="2"/>
        <v>0</v>
      </c>
    </row>
    <row r="16" spans="2:14">
      <c r="B16" s="208">
        <v>12</v>
      </c>
      <c r="C16">
        <v>20.5</v>
      </c>
      <c r="D16">
        <v>25.5</v>
      </c>
      <c r="E16">
        <v>30.4</v>
      </c>
      <c r="F16">
        <f t="shared" si="0"/>
        <v>0</v>
      </c>
      <c r="G16">
        <f t="shared" si="1"/>
        <v>0</v>
      </c>
      <c r="K16">
        <v>12</v>
      </c>
      <c r="L16" t="str">
        <f>IF(Edit!H58="","",Edit!H58/7)</f>
        <v/>
      </c>
      <c r="M16">
        <f>Edit!C58</f>
        <v>0</v>
      </c>
      <c r="N16">
        <f t="shared" si="2"/>
        <v>0</v>
      </c>
    </row>
    <row r="17" spans="2:14">
      <c r="B17" s="208">
        <v>13</v>
      </c>
      <c r="C17">
        <v>20.7</v>
      </c>
      <c r="D17">
        <v>25.7</v>
      </c>
      <c r="E17">
        <v>30.5</v>
      </c>
      <c r="F17">
        <f t="shared" si="0"/>
        <v>0</v>
      </c>
      <c r="G17">
        <f t="shared" si="1"/>
        <v>0</v>
      </c>
      <c r="K17">
        <v>13</v>
      </c>
      <c r="L17" t="str">
        <f>IF(Edit!H59="","",Edit!H59/7)</f>
        <v/>
      </c>
      <c r="M17">
        <f>Edit!C59</f>
        <v>0</v>
      </c>
      <c r="N17">
        <f t="shared" si="2"/>
        <v>0</v>
      </c>
    </row>
    <row r="18" spans="2:14">
      <c r="B18" s="208">
        <v>14</v>
      </c>
      <c r="C18">
        <v>20.8</v>
      </c>
      <c r="D18">
        <v>25.8</v>
      </c>
      <c r="E18">
        <v>30.6</v>
      </c>
      <c r="F18">
        <f t="shared" si="0"/>
        <v>0</v>
      </c>
      <c r="G18">
        <f t="shared" si="1"/>
        <v>0</v>
      </c>
      <c r="K18">
        <v>14</v>
      </c>
      <c r="L18" t="str">
        <f>IF(Edit!H60="","",Edit!H60/7)</f>
        <v/>
      </c>
      <c r="M18">
        <f>Edit!C60</f>
        <v>0</v>
      </c>
      <c r="N18">
        <f t="shared" si="2"/>
        <v>0</v>
      </c>
    </row>
    <row r="19" spans="2:14">
      <c r="B19" s="208">
        <v>15</v>
      </c>
      <c r="C19">
        <v>20.9</v>
      </c>
      <c r="D19">
        <v>25.9</v>
      </c>
      <c r="E19">
        <v>30.7</v>
      </c>
      <c r="F19">
        <f t="shared" si="0"/>
        <v>0</v>
      </c>
      <c r="G19">
        <f t="shared" si="1"/>
        <v>0</v>
      </c>
      <c r="K19">
        <v>15</v>
      </c>
      <c r="L19" t="str">
        <f>IF(Edit!H61="","",Edit!H61/7)</f>
        <v/>
      </c>
      <c r="M19">
        <f>Edit!C61</f>
        <v>0</v>
      </c>
      <c r="N19">
        <f t="shared" si="2"/>
        <v>0</v>
      </c>
    </row>
    <row r="20" spans="2:14">
      <c r="B20" s="208">
        <v>16</v>
      </c>
      <c r="C20">
        <v>21.1</v>
      </c>
      <c r="D20">
        <v>26</v>
      </c>
      <c r="E20">
        <v>30.8</v>
      </c>
      <c r="F20">
        <f t="shared" si="0"/>
        <v>0</v>
      </c>
      <c r="G20">
        <f t="shared" si="1"/>
        <v>0</v>
      </c>
      <c r="K20">
        <v>16</v>
      </c>
      <c r="L20" t="str">
        <f>IF(Edit!H62="","",Edit!H62/7)</f>
        <v/>
      </c>
      <c r="M20">
        <f>Edit!C62</f>
        <v>0</v>
      </c>
      <c r="N20">
        <f t="shared" si="2"/>
        <v>0</v>
      </c>
    </row>
    <row r="21" spans="2:14">
      <c r="B21" s="208">
        <v>17</v>
      </c>
      <c r="C21">
        <v>21.2</v>
      </c>
      <c r="D21">
        <v>26.1</v>
      </c>
      <c r="E21">
        <v>30.9</v>
      </c>
      <c r="F21">
        <f t="shared" si="0"/>
        <v>0</v>
      </c>
      <c r="G21">
        <f t="shared" si="1"/>
        <v>0</v>
      </c>
    </row>
    <row r="22" spans="2:14">
      <c r="B22" s="208">
        <v>18</v>
      </c>
      <c r="C22">
        <v>21.3</v>
      </c>
      <c r="D22">
        <v>26.2</v>
      </c>
      <c r="E22">
        <v>31</v>
      </c>
      <c r="F22">
        <f t="shared" si="0"/>
        <v>0</v>
      </c>
      <c r="G22">
        <f t="shared" si="1"/>
        <v>0</v>
      </c>
    </row>
    <row r="23" spans="2:14">
      <c r="B23" s="208">
        <v>19</v>
      </c>
      <c r="C23">
        <v>21.5</v>
      </c>
      <c r="D23">
        <v>26.3</v>
      </c>
      <c r="E23">
        <v>31</v>
      </c>
      <c r="F23">
        <f t="shared" si="0"/>
        <v>0</v>
      </c>
      <c r="G23">
        <f t="shared" si="1"/>
        <v>0</v>
      </c>
    </row>
    <row r="24" spans="2:14">
      <c r="B24" s="208">
        <v>20</v>
      </c>
      <c r="C24">
        <v>21.6</v>
      </c>
      <c r="D24">
        <v>26.4</v>
      </c>
      <c r="E24">
        <v>31.1</v>
      </c>
      <c r="F24">
        <f t="shared" si="0"/>
        <v>0</v>
      </c>
      <c r="G24">
        <f t="shared" si="1"/>
        <v>0</v>
      </c>
    </row>
    <row r="25" spans="2:14">
      <c r="B25" s="208">
        <v>21</v>
      </c>
      <c r="C25">
        <v>21.8</v>
      </c>
      <c r="D25">
        <v>26.5</v>
      </c>
      <c r="E25">
        <v>31.2</v>
      </c>
    </row>
    <row r="26" spans="2:14">
      <c r="B26" s="208">
        <v>22</v>
      </c>
      <c r="C26">
        <v>21.9</v>
      </c>
      <c r="D26">
        <v>26.7</v>
      </c>
      <c r="E26">
        <v>31.3</v>
      </c>
    </row>
    <row r="27" spans="2:14">
      <c r="B27" s="208">
        <v>23</v>
      </c>
      <c r="C27">
        <v>22.1</v>
      </c>
      <c r="D27">
        <v>26.9</v>
      </c>
      <c r="E27">
        <v>31.4</v>
      </c>
    </row>
    <row r="28" spans="2:14">
      <c r="B28" s="208">
        <v>24</v>
      </c>
      <c r="C28">
        <v>22.3</v>
      </c>
      <c r="D28">
        <v>27</v>
      </c>
      <c r="E28">
        <v>31.6</v>
      </c>
    </row>
    <row r="29" spans="2:14">
      <c r="B29" s="208">
        <v>25</v>
      </c>
      <c r="C29">
        <v>22.4</v>
      </c>
      <c r="D29">
        <v>27.1</v>
      </c>
      <c r="E29">
        <v>31.7</v>
      </c>
    </row>
    <row r="30" spans="2:14">
      <c r="B30" s="208">
        <v>26</v>
      </c>
      <c r="C30">
        <v>22.7</v>
      </c>
      <c r="D30">
        <v>27.3</v>
      </c>
      <c r="E30">
        <v>31.8</v>
      </c>
    </row>
    <row r="31" spans="2:14">
      <c r="B31" s="208">
        <v>27</v>
      </c>
      <c r="C31">
        <v>22.8</v>
      </c>
      <c r="D31">
        <v>27.4</v>
      </c>
      <c r="E31">
        <v>31.9</v>
      </c>
    </row>
    <row r="32" spans="2:14">
      <c r="B32" s="208">
        <v>28</v>
      </c>
      <c r="C32">
        <v>23</v>
      </c>
      <c r="D32">
        <v>27.6</v>
      </c>
      <c r="E32">
        <v>32</v>
      </c>
    </row>
    <row r="33" spans="2:5">
      <c r="B33" s="208">
        <v>29</v>
      </c>
      <c r="C33">
        <v>23.2</v>
      </c>
      <c r="D33">
        <v>27.7</v>
      </c>
      <c r="E33">
        <v>32.1</v>
      </c>
    </row>
    <row r="34" spans="2:5">
      <c r="B34" s="208">
        <v>30</v>
      </c>
      <c r="C34">
        <v>23.4</v>
      </c>
      <c r="D34">
        <v>27.9</v>
      </c>
      <c r="E34">
        <v>32.200000000000003</v>
      </c>
    </row>
    <row r="35" spans="2:5">
      <c r="B35" s="208">
        <v>31</v>
      </c>
      <c r="C35">
        <v>23.5</v>
      </c>
      <c r="D35">
        <v>28</v>
      </c>
      <c r="E35">
        <v>32.299999999999997</v>
      </c>
    </row>
    <row r="36" spans="2:5">
      <c r="B36" s="208">
        <v>32</v>
      </c>
      <c r="C36">
        <v>23.7</v>
      </c>
      <c r="D36">
        <v>28.1</v>
      </c>
      <c r="E36">
        <v>32.4</v>
      </c>
    </row>
    <row r="37" spans="2:5">
      <c r="B37" s="208">
        <v>33</v>
      </c>
      <c r="C37">
        <v>23.9</v>
      </c>
      <c r="D37">
        <v>28.2</v>
      </c>
      <c r="E37">
        <v>32.5</v>
      </c>
    </row>
    <row r="38" spans="2:5">
      <c r="B38" s="208">
        <v>34</v>
      </c>
      <c r="C38">
        <v>24</v>
      </c>
      <c r="D38">
        <v>28.4</v>
      </c>
      <c r="E38">
        <v>32.6</v>
      </c>
    </row>
    <row r="39" spans="2:5">
      <c r="B39" s="208">
        <v>35</v>
      </c>
      <c r="C39">
        <v>24.2</v>
      </c>
      <c r="D39">
        <v>28.5</v>
      </c>
      <c r="E39">
        <v>32.700000000000003</v>
      </c>
    </row>
    <row r="40" spans="2:5">
      <c r="B40" s="208">
        <v>36</v>
      </c>
      <c r="C40">
        <v>24.3</v>
      </c>
      <c r="D40">
        <v>28.6</v>
      </c>
      <c r="E40">
        <v>32.799999999999997</v>
      </c>
    </row>
    <row r="41" spans="2:5">
      <c r="B41" s="208">
        <v>37</v>
      </c>
      <c r="C41">
        <v>24.5</v>
      </c>
      <c r="D41">
        <v>28.8</v>
      </c>
      <c r="E41">
        <v>32.9</v>
      </c>
    </row>
    <row r="42" spans="2:5">
      <c r="B42" s="208">
        <v>38</v>
      </c>
      <c r="C42">
        <v>24.6</v>
      </c>
      <c r="D42">
        <v>28.9</v>
      </c>
      <c r="E42">
        <v>33</v>
      </c>
    </row>
    <row r="43" spans="2:5">
      <c r="B43" s="208">
        <v>39</v>
      </c>
      <c r="C43">
        <v>24.8</v>
      </c>
      <c r="D43">
        <v>29</v>
      </c>
      <c r="E43">
        <v>33.1</v>
      </c>
    </row>
    <row r="44" spans="2:5">
      <c r="B44" s="208">
        <v>40</v>
      </c>
      <c r="C44">
        <v>25</v>
      </c>
      <c r="D44">
        <v>29.2</v>
      </c>
      <c r="E44">
        <v>33.200000000000003</v>
      </c>
    </row>
    <row r="45" spans="2:5">
      <c r="B45" s="208">
        <v>41</v>
      </c>
      <c r="C45">
        <v>25.1</v>
      </c>
      <c r="D45">
        <v>29.3</v>
      </c>
      <c r="E45">
        <v>33.299999999999997</v>
      </c>
    </row>
    <row r="46" spans="2:5">
      <c r="B46" s="208">
        <v>42</v>
      </c>
      <c r="C46">
        <v>25.1</v>
      </c>
      <c r="D46">
        <v>29.3</v>
      </c>
      <c r="E46">
        <v>33.299999999999997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3A3F-2A0A-4947-9AC6-606634A95D37}">
  <dimension ref="A1:BA34"/>
  <sheetViews>
    <sheetView workbookViewId="0">
      <selection activeCell="AF14" sqref="AF14"/>
    </sheetView>
  </sheetViews>
  <sheetFormatPr defaultRowHeight="15"/>
  <cols>
    <col min="1" max="54" width="2.5703125" customWidth="1"/>
  </cols>
  <sheetData>
    <row r="1" spans="1:5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36</v>
      </c>
    </row>
    <row r="2" spans="1:51">
      <c r="AI2">
        <v>1</v>
      </c>
      <c r="AQ2" s="390"/>
      <c r="AR2" s="390"/>
      <c r="AS2" s="390"/>
      <c r="AT2" s="390"/>
      <c r="AU2" s="390"/>
      <c r="AV2" s="390"/>
      <c r="AW2" s="390"/>
      <c r="AX2" s="390"/>
      <c r="AY2" s="390"/>
    </row>
    <row r="3" spans="1:51">
      <c r="AQ3" s="390"/>
      <c r="AR3" s="390"/>
      <c r="AS3" s="390"/>
      <c r="AT3" s="390"/>
      <c r="AU3" s="390"/>
      <c r="AV3" s="390"/>
      <c r="AW3" s="390"/>
      <c r="AX3" s="390"/>
      <c r="AY3" s="390"/>
    </row>
    <row r="24" spans="23:53" ht="14.45" customHeight="1"/>
    <row r="25" spans="23:53" ht="30.95" customHeight="1"/>
    <row r="26" spans="23:53" ht="14.45" customHeight="1">
      <c r="AK26" s="391" t="str">
        <f>Edit!B1</f>
        <v>Ana Carolina Silveira e Silva Streit</v>
      </c>
      <c r="AL26" s="391"/>
      <c r="AM26" s="391"/>
      <c r="AN26" s="391"/>
      <c r="AO26" s="391"/>
      <c r="AP26" s="391"/>
      <c r="AQ26" s="391"/>
      <c r="AR26" s="391"/>
      <c r="AS26" s="391"/>
      <c r="AT26" s="391"/>
      <c r="AU26" s="391"/>
      <c r="AV26" s="391"/>
      <c r="AW26" s="391"/>
      <c r="AX26" s="391"/>
      <c r="AY26" s="391"/>
      <c r="AZ26" s="391"/>
      <c r="BA26" s="391"/>
    </row>
    <row r="27" spans="23:53" ht="14.45" customHeight="1">
      <c r="W27" s="238"/>
      <c r="AJ27" s="239"/>
      <c r="AK27" s="391"/>
      <c r="AL27" s="391"/>
      <c r="AM27" s="391"/>
      <c r="AN27" s="391"/>
      <c r="AO27" s="391"/>
      <c r="AP27" s="391"/>
      <c r="AQ27" s="391"/>
      <c r="AR27" s="391"/>
      <c r="AS27" s="391"/>
      <c r="AT27" s="391"/>
      <c r="AU27" s="391"/>
      <c r="AV27" s="391"/>
      <c r="AW27" s="391"/>
      <c r="AX27" s="391"/>
      <c r="AY27" s="391"/>
      <c r="AZ27" s="391"/>
      <c r="BA27" s="391"/>
    </row>
    <row r="28" spans="23:53" ht="14.45" customHeight="1">
      <c r="AJ28" s="239"/>
      <c r="AK28" s="239"/>
      <c r="AL28" s="239"/>
      <c r="AM28" s="239"/>
      <c r="AN28" s="239"/>
      <c r="AO28" s="239"/>
      <c r="AP28" s="239"/>
      <c r="AQ28" s="239"/>
      <c r="AR28" s="239"/>
      <c r="AS28" s="237" t="s">
        <v>265</v>
      </c>
    </row>
    <row r="29" spans="23:53" ht="14.45" customHeight="1">
      <c r="AK29" s="391" t="s">
        <v>340</v>
      </c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</row>
    <row r="30" spans="23:53" ht="14.45" customHeight="1">
      <c r="W30" s="238"/>
      <c r="AJ30" s="239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</row>
    <row r="31" spans="23:53" ht="14.45" customHeight="1">
      <c r="AO31" s="393" t="s">
        <v>341</v>
      </c>
      <c r="AP31" s="393"/>
      <c r="AQ31" s="393"/>
      <c r="AR31" s="393"/>
      <c r="AS31" s="393"/>
      <c r="AT31" s="393"/>
      <c r="AU31" s="393"/>
      <c r="AV31" s="393"/>
      <c r="AW31" s="393"/>
    </row>
    <row r="32" spans="23:53" ht="14.45" customHeight="1"/>
    <row r="33" spans="36:36" ht="14.45" customHeight="1">
      <c r="AJ33" s="236"/>
    </row>
    <row r="34" spans="36:36" ht="14.45" customHeight="1">
      <c r="AJ34" s="236"/>
    </row>
  </sheetData>
  <mergeCells count="4">
    <mergeCell ref="AQ2:AY3"/>
    <mergeCell ref="AK26:BA27"/>
    <mergeCell ref="AK29:BA30"/>
    <mergeCell ref="AO31:AW31"/>
  </mergeCells>
  <pageMargins left="0.23622047244094491" right="0.23622047244094491" top="0.19685039370078741" bottom="0.19685039370078741" header="0" footer="0"/>
  <pageSetup paperSize="9" orientation="landscape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2341-BB27-45EF-BD20-6FEDA63EBAD3}">
  <dimension ref="A2:H45"/>
  <sheetViews>
    <sheetView topLeftCell="A3" workbookViewId="0">
      <selection activeCell="K31" sqref="K31"/>
    </sheetView>
  </sheetViews>
  <sheetFormatPr defaultRowHeight="15"/>
  <sheetData>
    <row r="2" spans="1:8">
      <c r="F2" t="s">
        <v>342</v>
      </c>
      <c r="H2" t="s">
        <v>18</v>
      </c>
    </row>
    <row r="3" spans="1:8">
      <c r="A3" t="s">
        <v>35</v>
      </c>
      <c r="B3" t="s">
        <v>344</v>
      </c>
      <c r="C3" t="s">
        <v>343</v>
      </c>
      <c r="D3" t="s">
        <v>345</v>
      </c>
      <c r="E3" t="s">
        <v>346</v>
      </c>
      <c r="F3" t="s">
        <v>165</v>
      </c>
      <c r="G3" t="s">
        <v>166</v>
      </c>
    </row>
    <row r="4" spans="1:8">
      <c r="A4" s="208">
        <v>1</v>
      </c>
      <c r="B4">
        <v>85</v>
      </c>
      <c r="C4">
        <v>110</v>
      </c>
      <c r="D4">
        <v>120</v>
      </c>
      <c r="E4">
        <v>160</v>
      </c>
      <c r="F4">
        <v>30</v>
      </c>
      <c r="G4">
        <v>100</v>
      </c>
      <c r="H4">
        <v>130</v>
      </c>
    </row>
    <row r="5" spans="1:8">
      <c r="A5" s="208">
        <v>2</v>
      </c>
      <c r="B5">
        <v>85</v>
      </c>
      <c r="C5">
        <v>110</v>
      </c>
      <c r="D5">
        <v>120</v>
      </c>
      <c r="E5">
        <v>160</v>
      </c>
      <c r="F5">
        <v>40</v>
      </c>
      <c r="G5">
        <v>45</v>
      </c>
      <c r="H5">
        <v>43</v>
      </c>
    </row>
    <row r="6" spans="1:8">
      <c r="A6" s="208">
        <v>3</v>
      </c>
      <c r="B6">
        <v>85</v>
      </c>
      <c r="C6">
        <v>110</v>
      </c>
      <c r="D6">
        <v>120</v>
      </c>
      <c r="E6">
        <v>160</v>
      </c>
      <c r="F6">
        <f t="shared" ref="F6:F23" si="0">IF(L6="",0,L6)</f>
        <v>0</v>
      </c>
      <c r="G6">
        <f t="shared" ref="G6:G23" si="1">IF(N6="",0,N6)</f>
        <v>0</v>
      </c>
    </row>
    <row r="7" spans="1:8">
      <c r="A7" s="208">
        <v>4</v>
      </c>
      <c r="B7">
        <v>85</v>
      </c>
      <c r="C7">
        <v>110</v>
      </c>
      <c r="D7">
        <v>120</v>
      </c>
      <c r="E7">
        <v>160</v>
      </c>
      <c r="F7">
        <f t="shared" si="0"/>
        <v>0</v>
      </c>
      <c r="G7">
        <f t="shared" si="1"/>
        <v>0</v>
      </c>
    </row>
    <row r="8" spans="1:8">
      <c r="A8" s="208">
        <v>5</v>
      </c>
      <c r="B8">
        <v>85</v>
      </c>
      <c r="C8">
        <v>110</v>
      </c>
      <c r="D8">
        <v>120</v>
      </c>
      <c r="E8">
        <v>160</v>
      </c>
      <c r="F8">
        <f t="shared" si="0"/>
        <v>0</v>
      </c>
      <c r="G8">
        <f t="shared" si="1"/>
        <v>0</v>
      </c>
    </row>
    <row r="9" spans="1:8">
      <c r="A9" s="208">
        <v>6</v>
      </c>
      <c r="B9">
        <v>85</v>
      </c>
      <c r="C9">
        <v>110</v>
      </c>
      <c r="D9">
        <v>120</v>
      </c>
      <c r="E9">
        <v>160</v>
      </c>
      <c r="F9">
        <f t="shared" si="0"/>
        <v>0</v>
      </c>
      <c r="G9">
        <f t="shared" si="1"/>
        <v>0</v>
      </c>
    </row>
    <row r="10" spans="1:8">
      <c r="A10" s="208">
        <v>7</v>
      </c>
      <c r="B10">
        <v>85</v>
      </c>
      <c r="C10">
        <v>110</v>
      </c>
      <c r="D10">
        <v>120</v>
      </c>
      <c r="E10">
        <v>160</v>
      </c>
      <c r="F10">
        <f t="shared" si="0"/>
        <v>0</v>
      </c>
      <c r="G10">
        <f t="shared" si="1"/>
        <v>0</v>
      </c>
    </row>
    <row r="11" spans="1:8">
      <c r="A11" s="208">
        <v>8</v>
      </c>
      <c r="B11">
        <v>85</v>
      </c>
      <c r="C11">
        <v>110</v>
      </c>
      <c r="D11">
        <v>120</v>
      </c>
      <c r="E11">
        <v>160</v>
      </c>
      <c r="F11">
        <f t="shared" si="0"/>
        <v>0</v>
      </c>
      <c r="G11">
        <f t="shared" si="1"/>
        <v>0</v>
      </c>
    </row>
    <row r="12" spans="1:8">
      <c r="A12" s="208">
        <v>9</v>
      </c>
      <c r="B12">
        <v>85</v>
      </c>
      <c r="C12">
        <v>110</v>
      </c>
      <c r="D12">
        <v>120</v>
      </c>
      <c r="E12">
        <v>160</v>
      </c>
      <c r="F12">
        <f t="shared" si="0"/>
        <v>0</v>
      </c>
      <c r="G12">
        <f t="shared" si="1"/>
        <v>0</v>
      </c>
    </row>
    <row r="13" spans="1:8">
      <c r="A13" s="208">
        <v>10</v>
      </c>
      <c r="B13">
        <v>85</v>
      </c>
      <c r="C13">
        <v>110</v>
      </c>
      <c r="D13">
        <v>120</v>
      </c>
      <c r="E13">
        <v>160</v>
      </c>
      <c r="F13">
        <f t="shared" si="0"/>
        <v>0</v>
      </c>
      <c r="G13">
        <f t="shared" si="1"/>
        <v>0</v>
      </c>
    </row>
    <row r="14" spans="1:8">
      <c r="A14" s="208">
        <v>11</v>
      </c>
      <c r="B14">
        <v>85</v>
      </c>
      <c r="C14">
        <v>110</v>
      </c>
      <c r="D14">
        <v>120</v>
      </c>
      <c r="E14">
        <v>160</v>
      </c>
      <c r="F14">
        <f t="shared" si="0"/>
        <v>0</v>
      </c>
      <c r="G14">
        <f t="shared" si="1"/>
        <v>0</v>
      </c>
    </row>
    <row r="15" spans="1:8">
      <c r="A15" s="208">
        <v>12</v>
      </c>
      <c r="B15">
        <v>85</v>
      </c>
      <c r="C15">
        <v>110</v>
      </c>
      <c r="D15">
        <v>120</v>
      </c>
      <c r="E15">
        <v>160</v>
      </c>
      <c r="F15">
        <f t="shared" si="0"/>
        <v>0</v>
      </c>
      <c r="G15">
        <f t="shared" si="1"/>
        <v>0</v>
      </c>
    </row>
    <row r="16" spans="1:8">
      <c r="A16" s="208">
        <v>13</v>
      </c>
      <c r="B16">
        <v>85</v>
      </c>
      <c r="C16">
        <v>110</v>
      </c>
      <c r="D16">
        <v>120</v>
      </c>
      <c r="E16">
        <v>160</v>
      </c>
      <c r="F16">
        <f t="shared" si="0"/>
        <v>0</v>
      </c>
      <c r="G16">
        <f t="shared" si="1"/>
        <v>0</v>
      </c>
    </row>
    <row r="17" spans="1:7">
      <c r="A17" s="208">
        <v>14</v>
      </c>
      <c r="B17">
        <v>85</v>
      </c>
      <c r="C17">
        <v>110</v>
      </c>
      <c r="D17">
        <v>120</v>
      </c>
      <c r="E17">
        <v>160</v>
      </c>
      <c r="F17">
        <f t="shared" si="0"/>
        <v>0</v>
      </c>
      <c r="G17">
        <f t="shared" si="1"/>
        <v>0</v>
      </c>
    </row>
    <row r="18" spans="1:7">
      <c r="A18" s="208">
        <v>15</v>
      </c>
      <c r="B18">
        <v>85</v>
      </c>
      <c r="C18">
        <v>110</v>
      </c>
      <c r="D18">
        <v>120</v>
      </c>
      <c r="E18">
        <v>160</v>
      </c>
      <c r="F18">
        <f t="shared" si="0"/>
        <v>0</v>
      </c>
      <c r="G18">
        <f t="shared" si="1"/>
        <v>0</v>
      </c>
    </row>
    <row r="19" spans="1:7">
      <c r="A19" s="208">
        <v>16</v>
      </c>
      <c r="B19">
        <v>85</v>
      </c>
      <c r="C19">
        <v>110</v>
      </c>
      <c r="D19">
        <v>120</v>
      </c>
      <c r="E19">
        <v>160</v>
      </c>
      <c r="F19">
        <f t="shared" si="0"/>
        <v>0</v>
      </c>
      <c r="G19">
        <f t="shared" si="1"/>
        <v>0</v>
      </c>
    </row>
    <row r="20" spans="1:7">
      <c r="A20" s="208">
        <v>17</v>
      </c>
      <c r="B20">
        <v>85</v>
      </c>
      <c r="C20">
        <v>110</v>
      </c>
      <c r="D20">
        <v>120</v>
      </c>
      <c r="E20">
        <v>160</v>
      </c>
      <c r="F20">
        <f t="shared" si="0"/>
        <v>0</v>
      </c>
      <c r="G20">
        <f t="shared" si="1"/>
        <v>0</v>
      </c>
    </row>
    <row r="21" spans="1:7">
      <c r="A21" s="208">
        <v>18</v>
      </c>
      <c r="B21">
        <v>85</v>
      </c>
      <c r="C21">
        <v>110</v>
      </c>
      <c r="D21">
        <v>120</v>
      </c>
      <c r="E21">
        <v>160</v>
      </c>
      <c r="F21">
        <f t="shared" si="0"/>
        <v>0</v>
      </c>
      <c r="G21">
        <f t="shared" si="1"/>
        <v>0</v>
      </c>
    </row>
    <row r="22" spans="1:7">
      <c r="A22" s="208">
        <v>19</v>
      </c>
      <c r="B22">
        <v>85</v>
      </c>
      <c r="C22">
        <v>110</v>
      </c>
      <c r="D22">
        <v>120</v>
      </c>
      <c r="E22">
        <v>160</v>
      </c>
      <c r="F22">
        <f t="shared" si="0"/>
        <v>0</v>
      </c>
      <c r="G22">
        <f t="shared" si="1"/>
        <v>0</v>
      </c>
    </row>
    <row r="23" spans="1:7">
      <c r="A23" s="208">
        <v>20</v>
      </c>
      <c r="B23">
        <v>85</v>
      </c>
      <c r="C23">
        <v>110</v>
      </c>
      <c r="D23">
        <v>120</v>
      </c>
      <c r="E23">
        <v>160</v>
      </c>
      <c r="F23">
        <f t="shared" si="0"/>
        <v>0</v>
      </c>
      <c r="G23">
        <f t="shared" si="1"/>
        <v>0</v>
      </c>
    </row>
    <row r="24" spans="1:7">
      <c r="A24" s="208">
        <v>21</v>
      </c>
      <c r="B24">
        <v>85</v>
      </c>
      <c r="C24">
        <v>110</v>
      </c>
      <c r="D24">
        <v>120</v>
      </c>
      <c r="E24">
        <v>160</v>
      </c>
    </row>
    <row r="25" spans="1:7">
      <c r="A25" s="208">
        <v>22</v>
      </c>
      <c r="B25">
        <v>85</v>
      </c>
      <c r="C25">
        <v>110</v>
      </c>
      <c r="D25">
        <v>120</v>
      </c>
      <c r="E25">
        <v>160</v>
      </c>
    </row>
    <row r="26" spans="1:7">
      <c r="A26" s="208">
        <v>23</v>
      </c>
      <c r="B26">
        <v>85</v>
      </c>
      <c r="C26">
        <v>110</v>
      </c>
      <c r="D26">
        <v>120</v>
      </c>
      <c r="E26">
        <v>160</v>
      </c>
    </row>
    <row r="27" spans="1:7">
      <c r="A27" s="208">
        <v>24</v>
      </c>
      <c r="B27">
        <v>85</v>
      </c>
      <c r="C27">
        <v>110</v>
      </c>
      <c r="D27">
        <v>120</v>
      </c>
      <c r="E27">
        <v>160</v>
      </c>
    </row>
    <row r="28" spans="1:7">
      <c r="A28" s="208">
        <v>25</v>
      </c>
      <c r="B28">
        <v>85</v>
      </c>
      <c r="C28">
        <v>110</v>
      </c>
      <c r="D28">
        <v>120</v>
      </c>
      <c r="E28">
        <v>160</v>
      </c>
    </row>
    <row r="29" spans="1:7">
      <c r="A29" s="208">
        <v>26</v>
      </c>
      <c r="B29">
        <v>85</v>
      </c>
      <c r="C29">
        <v>110</v>
      </c>
      <c r="D29">
        <v>120</v>
      </c>
      <c r="E29">
        <v>160</v>
      </c>
    </row>
    <row r="30" spans="1:7">
      <c r="A30" s="208">
        <v>27</v>
      </c>
      <c r="B30">
        <v>85</v>
      </c>
      <c r="C30">
        <v>110</v>
      </c>
      <c r="D30">
        <v>120</v>
      </c>
      <c r="E30">
        <v>160</v>
      </c>
    </row>
    <row r="31" spans="1:7">
      <c r="A31" s="208">
        <v>28</v>
      </c>
      <c r="B31">
        <v>85</v>
      </c>
      <c r="C31">
        <v>110</v>
      </c>
      <c r="D31">
        <v>120</v>
      </c>
      <c r="E31">
        <v>160</v>
      </c>
    </row>
    <row r="32" spans="1:7">
      <c r="A32" s="208">
        <v>29</v>
      </c>
      <c r="B32">
        <v>85</v>
      </c>
      <c r="C32">
        <v>110</v>
      </c>
      <c r="D32">
        <v>120</v>
      </c>
      <c r="E32">
        <v>160</v>
      </c>
    </row>
    <row r="33" spans="1:5">
      <c r="A33" s="208">
        <v>30</v>
      </c>
      <c r="B33">
        <v>85</v>
      </c>
      <c r="C33">
        <v>110</v>
      </c>
      <c r="D33">
        <v>120</v>
      </c>
      <c r="E33">
        <v>160</v>
      </c>
    </row>
    <row r="34" spans="1:5">
      <c r="A34" s="208">
        <v>31</v>
      </c>
      <c r="B34">
        <v>85</v>
      </c>
      <c r="C34">
        <v>110</v>
      </c>
      <c r="D34">
        <v>120</v>
      </c>
      <c r="E34">
        <v>160</v>
      </c>
    </row>
    <row r="35" spans="1:5">
      <c r="A35" s="208">
        <v>32</v>
      </c>
      <c r="B35">
        <v>85</v>
      </c>
      <c r="C35">
        <v>110</v>
      </c>
      <c r="D35">
        <v>120</v>
      </c>
      <c r="E35">
        <v>160</v>
      </c>
    </row>
    <row r="36" spans="1:5">
      <c r="A36" s="208">
        <v>33</v>
      </c>
      <c r="B36">
        <v>85</v>
      </c>
      <c r="C36">
        <v>110</v>
      </c>
      <c r="D36">
        <v>120</v>
      </c>
      <c r="E36">
        <v>160</v>
      </c>
    </row>
    <row r="37" spans="1:5">
      <c r="A37" s="208">
        <v>34</v>
      </c>
      <c r="B37">
        <v>85</v>
      </c>
      <c r="C37">
        <v>110</v>
      </c>
      <c r="D37">
        <v>120</v>
      </c>
      <c r="E37">
        <v>160</v>
      </c>
    </row>
    <row r="38" spans="1:5">
      <c r="A38" s="208">
        <v>35</v>
      </c>
      <c r="B38">
        <v>85</v>
      </c>
      <c r="C38">
        <v>110</v>
      </c>
      <c r="D38">
        <v>120</v>
      </c>
      <c r="E38">
        <v>160</v>
      </c>
    </row>
    <row r="39" spans="1:5">
      <c r="A39" s="208">
        <v>36</v>
      </c>
      <c r="B39">
        <v>85</v>
      </c>
      <c r="C39">
        <v>110</v>
      </c>
      <c r="D39">
        <v>120</v>
      </c>
      <c r="E39">
        <v>160</v>
      </c>
    </row>
    <row r="40" spans="1:5">
      <c r="A40" s="208">
        <v>37</v>
      </c>
      <c r="B40">
        <v>85</v>
      </c>
      <c r="C40">
        <v>110</v>
      </c>
      <c r="D40">
        <v>120</v>
      </c>
      <c r="E40">
        <v>160</v>
      </c>
    </row>
    <row r="41" spans="1:5">
      <c r="A41" s="208">
        <v>38</v>
      </c>
      <c r="B41">
        <v>85</v>
      </c>
      <c r="C41">
        <v>110</v>
      </c>
      <c r="D41">
        <v>120</v>
      </c>
      <c r="E41">
        <v>160</v>
      </c>
    </row>
    <row r="42" spans="1:5">
      <c r="A42" s="208">
        <v>39</v>
      </c>
      <c r="B42">
        <v>85</v>
      </c>
      <c r="C42">
        <v>110</v>
      </c>
      <c r="D42">
        <v>120</v>
      </c>
      <c r="E42">
        <v>160</v>
      </c>
    </row>
    <row r="43" spans="1:5">
      <c r="A43" s="208">
        <v>40</v>
      </c>
      <c r="B43">
        <v>85</v>
      </c>
      <c r="C43">
        <v>110</v>
      </c>
      <c r="D43">
        <v>120</v>
      </c>
      <c r="E43">
        <v>160</v>
      </c>
    </row>
    <row r="44" spans="1:5">
      <c r="A44" s="208">
        <v>41</v>
      </c>
      <c r="B44">
        <v>85</v>
      </c>
      <c r="C44">
        <v>110</v>
      </c>
      <c r="D44">
        <v>120</v>
      </c>
      <c r="E44">
        <v>160</v>
      </c>
    </row>
    <row r="45" spans="1:5">
      <c r="A45" s="208">
        <v>42</v>
      </c>
      <c r="B45">
        <v>85</v>
      </c>
      <c r="C45">
        <v>110</v>
      </c>
      <c r="D45">
        <v>120</v>
      </c>
      <c r="E45">
        <v>160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D5113-1223-410F-9E07-7FA6452834B9}">
  <dimension ref="A2:F45"/>
  <sheetViews>
    <sheetView workbookViewId="0">
      <selection activeCell="H19" sqref="H19"/>
    </sheetView>
  </sheetViews>
  <sheetFormatPr defaultRowHeight="15"/>
  <sheetData>
    <row r="2" spans="1:6">
      <c r="E2" t="s">
        <v>342</v>
      </c>
    </row>
    <row r="3" spans="1:6">
      <c r="A3" t="s">
        <v>35</v>
      </c>
      <c r="B3" t="s">
        <v>159</v>
      </c>
      <c r="C3" t="s">
        <v>160</v>
      </c>
      <c r="D3" t="s">
        <v>161</v>
      </c>
      <c r="E3" t="s">
        <v>165</v>
      </c>
      <c r="F3" t="s">
        <v>166</v>
      </c>
    </row>
    <row r="4" spans="1:6">
      <c r="A4" s="208">
        <v>1</v>
      </c>
      <c r="B4">
        <v>20</v>
      </c>
      <c r="C4">
        <v>25</v>
      </c>
      <c r="D4">
        <v>30</v>
      </c>
      <c r="E4">
        <v>30</v>
      </c>
      <c r="F4">
        <v>30</v>
      </c>
    </row>
    <row r="5" spans="1:6">
      <c r="A5" s="208">
        <v>2</v>
      </c>
      <c r="B5">
        <v>20</v>
      </c>
      <c r="C5">
        <v>25</v>
      </c>
      <c r="D5">
        <v>30</v>
      </c>
      <c r="E5">
        <f t="shared" ref="E5:E23" si="0">IF(K5="",0,K5)</f>
        <v>0</v>
      </c>
      <c r="F5">
        <f t="shared" ref="F5:F23" si="1">IF(M5="",0,M5)</f>
        <v>0</v>
      </c>
    </row>
    <row r="6" spans="1:6">
      <c r="A6" s="208">
        <v>3</v>
      </c>
      <c r="B6">
        <v>20</v>
      </c>
      <c r="C6">
        <v>25</v>
      </c>
      <c r="D6">
        <v>30</v>
      </c>
      <c r="E6">
        <f t="shared" si="0"/>
        <v>0</v>
      </c>
      <c r="F6">
        <f t="shared" si="1"/>
        <v>0</v>
      </c>
    </row>
    <row r="7" spans="1:6">
      <c r="A7" s="208">
        <v>4</v>
      </c>
      <c r="B7">
        <v>20</v>
      </c>
      <c r="C7">
        <v>25</v>
      </c>
      <c r="D7">
        <v>30</v>
      </c>
      <c r="E7">
        <f t="shared" si="0"/>
        <v>0</v>
      </c>
      <c r="F7">
        <f t="shared" si="1"/>
        <v>0</v>
      </c>
    </row>
    <row r="8" spans="1:6">
      <c r="A8" s="208">
        <v>5</v>
      </c>
      <c r="B8">
        <v>20</v>
      </c>
      <c r="C8">
        <v>25</v>
      </c>
      <c r="D8">
        <v>30</v>
      </c>
      <c r="E8">
        <f t="shared" si="0"/>
        <v>0</v>
      </c>
      <c r="F8">
        <f t="shared" si="1"/>
        <v>0</v>
      </c>
    </row>
    <row r="9" spans="1:6">
      <c r="A9" s="208">
        <v>6</v>
      </c>
      <c r="B9">
        <v>20</v>
      </c>
      <c r="C9">
        <v>25</v>
      </c>
      <c r="D9">
        <v>30</v>
      </c>
      <c r="E9">
        <f t="shared" si="0"/>
        <v>0</v>
      </c>
      <c r="F9">
        <f t="shared" si="1"/>
        <v>0</v>
      </c>
    </row>
    <row r="10" spans="1:6">
      <c r="A10" s="208">
        <v>7</v>
      </c>
      <c r="B10">
        <v>20</v>
      </c>
      <c r="C10">
        <v>25</v>
      </c>
      <c r="D10">
        <v>30</v>
      </c>
      <c r="E10">
        <f t="shared" si="0"/>
        <v>0</v>
      </c>
      <c r="F10">
        <f t="shared" si="1"/>
        <v>0</v>
      </c>
    </row>
    <row r="11" spans="1:6">
      <c r="A11" s="208">
        <v>8</v>
      </c>
      <c r="B11">
        <v>20.2</v>
      </c>
      <c r="C11">
        <v>25.1</v>
      </c>
      <c r="D11">
        <v>30.2</v>
      </c>
      <c r="E11">
        <f t="shared" si="0"/>
        <v>0</v>
      </c>
      <c r="F11">
        <f t="shared" si="1"/>
        <v>0</v>
      </c>
    </row>
    <row r="12" spans="1:6">
      <c r="A12" s="208">
        <v>9</v>
      </c>
      <c r="B12">
        <v>20.2</v>
      </c>
      <c r="C12">
        <v>25.2</v>
      </c>
      <c r="D12">
        <v>30.2</v>
      </c>
      <c r="E12">
        <f t="shared" si="0"/>
        <v>0</v>
      </c>
      <c r="F12">
        <f t="shared" si="1"/>
        <v>0</v>
      </c>
    </row>
    <row r="13" spans="1:6">
      <c r="A13" s="208">
        <v>10</v>
      </c>
      <c r="B13">
        <v>20.3</v>
      </c>
      <c r="C13">
        <v>25.3</v>
      </c>
      <c r="D13">
        <v>30.3</v>
      </c>
      <c r="E13">
        <f t="shared" si="0"/>
        <v>0</v>
      </c>
      <c r="F13">
        <f t="shared" si="1"/>
        <v>0</v>
      </c>
    </row>
    <row r="14" spans="1:6">
      <c r="A14" s="208">
        <v>11</v>
      </c>
      <c r="B14">
        <v>20.399999999999999</v>
      </c>
      <c r="C14">
        <v>25.4</v>
      </c>
      <c r="D14">
        <v>30.4</v>
      </c>
      <c r="E14">
        <f t="shared" si="0"/>
        <v>0</v>
      </c>
      <c r="F14">
        <f t="shared" si="1"/>
        <v>0</v>
      </c>
    </row>
    <row r="15" spans="1:6">
      <c r="A15" s="208">
        <v>12</v>
      </c>
      <c r="B15">
        <v>20.5</v>
      </c>
      <c r="C15">
        <v>25.5</v>
      </c>
      <c r="D15">
        <v>30.4</v>
      </c>
      <c r="E15">
        <f t="shared" si="0"/>
        <v>0</v>
      </c>
      <c r="F15">
        <f t="shared" si="1"/>
        <v>0</v>
      </c>
    </row>
    <row r="16" spans="1:6">
      <c r="A16" s="208">
        <v>13</v>
      </c>
      <c r="B16">
        <v>20.7</v>
      </c>
      <c r="C16">
        <v>25.7</v>
      </c>
      <c r="D16">
        <v>30.5</v>
      </c>
      <c r="E16">
        <f t="shared" si="0"/>
        <v>0</v>
      </c>
      <c r="F16">
        <f t="shared" si="1"/>
        <v>0</v>
      </c>
    </row>
    <row r="17" spans="1:6">
      <c r="A17" s="208">
        <v>14</v>
      </c>
      <c r="B17">
        <v>20.8</v>
      </c>
      <c r="C17">
        <v>25.8</v>
      </c>
      <c r="D17">
        <v>30.6</v>
      </c>
      <c r="E17">
        <f t="shared" si="0"/>
        <v>0</v>
      </c>
      <c r="F17">
        <f t="shared" si="1"/>
        <v>0</v>
      </c>
    </row>
    <row r="18" spans="1:6">
      <c r="A18" s="208">
        <v>15</v>
      </c>
      <c r="B18">
        <v>20.9</v>
      </c>
      <c r="C18">
        <v>25.9</v>
      </c>
      <c r="D18">
        <v>30.7</v>
      </c>
      <c r="E18">
        <f t="shared" si="0"/>
        <v>0</v>
      </c>
      <c r="F18">
        <f t="shared" si="1"/>
        <v>0</v>
      </c>
    </row>
    <row r="19" spans="1:6">
      <c r="A19" s="208">
        <v>16</v>
      </c>
      <c r="B19">
        <v>21.1</v>
      </c>
      <c r="C19">
        <v>26</v>
      </c>
      <c r="D19">
        <v>30.8</v>
      </c>
      <c r="E19">
        <f t="shared" si="0"/>
        <v>0</v>
      </c>
      <c r="F19">
        <f t="shared" si="1"/>
        <v>0</v>
      </c>
    </row>
    <row r="20" spans="1:6">
      <c r="A20" s="208">
        <v>17</v>
      </c>
      <c r="B20">
        <v>21.2</v>
      </c>
      <c r="C20">
        <v>26.1</v>
      </c>
      <c r="D20">
        <v>30.9</v>
      </c>
      <c r="E20">
        <f t="shared" si="0"/>
        <v>0</v>
      </c>
      <c r="F20">
        <f t="shared" si="1"/>
        <v>0</v>
      </c>
    </row>
    <row r="21" spans="1:6">
      <c r="A21" s="208">
        <v>18</v>
      </c>
      <c r="B21">
        <v>21.3</v>
      </c>
      <c r="C21">
        <v>26.2</v>
      </c>
      <c r="D21">
        <v>31</v>
      </c>
      <c r="E21">
        <f t="shared" si="0"/>
        <v>0</v>
      </c>
      <c r="F21">
        <f t="shared" si="1"/>
        <v>0</v>
      </c>
    </row>
    <row r="22" spans="1:6">
      <c r="A22" s="208">
        <v>19</v>
      </c>
      <c r="B22">
        <v>21.5</v>
      </c>
      <c r="C22">
        <v>26.3</v>
      </c>
      <c r="D22">
        <v>31</v>
      </c>
      <c r="E22">
        <f t="shared" si="0"/>
        <v>0</v>
      </c>
      <c r="F22">
        <f t="shared" si="1"/>
        <v>0</v>
      </c>
    </row>
    <row r="23" spans="1:6">
      <c r="A23" s="208">
        <v>20</v>
      </c>
      <c r="B23">
        <v>21.6</v>
      </c>
      <c r="C23">
        <v>26.4</v>
      </c>
      <c r="D23">
        <v>31.1</v>
      </c>
      <c r="E23">
        <f t="shared" si="0"/>
        <v>0</v>
      </c>
      <c r="F23">
        <f t="shared" si="1"/>
        <v>0</v>
      </c>
    </row>
    <row r="24" spans="1:6">
      <c r="A24" s="208">
        <v>21</v>
      </c>
      <c r="B24">
        <v>21.8</v>
      </c>
      <c r="C24">
        <v>26.5</v>
      </c>
      <c r="D24">
        <v>31.2</v>
      </c>
    </row>
    <row r="25" spans="1:6">
      <c r="A25" s="208">
        <v>22</v>
      </c>
      <c r="B25">
        <v>21.9</v>
      </c>
      <c r="C25">
        <v>26.7</v>
      </c>
      <c r="D25">
        <v>31.3</v>
      </c>
    </row>
    <row r="26" spans="1:6">
      <c r="A26" s="208">
        <v>23</v>
      </c>
      <c r="B26">
        <v>22.1</v>
      </c>
      <c r="C26">
        <v>26.9</v>
      </c>
      <c r="D26">
        <v>31.4</v>
      </c>
    </row>
    <row r="27" spans="1:6">
      <c r="A27" s="208">
        <v>24</v>
      </c>
      <c r="B27">
        <v>22.3</v>
      </c>
      <c r="C27">
        <v>27</v>
      </c>
      <c r="D27">
        <v>31.6</v>
      </c>
    </row>
    <row r="28" spans="1:6">
      <c r="A28" s="208">
        <v>25</v>
      </c>
      <c r="B28">
        <v>22.4</v>
      </c>
      <c r="C28">
        <v>27.1</v>
      </c>
      <c r="D28">
        <v>31.7</v>
      </c>
    </row>
    <row r="29" spans="1:6">
      <c r="A29" s="208">
        <v>26</v>
      </c>
      <c r="B29">
        <v>22.7</v>
      </c>
      <c r="C29">
        <v>27.3</v>
      </c>
      <c r="D29">
        <v>31.8</v>
      </c>
    </row>
    <row r="30" spans="1:6">
      <c r="A30" s="208">
        <v>27</v>
      </c>
      <c r="B30">
        <v>22.8</v>
      </c>
      <c r="C30">
        <v>27.4</v>
      </c>
      <c r="D30">
        <v>31.9</v>
      </c>
    </row>
    <row r="31" spans="1:6">
      <c r="A31" s="208">
        <v>28</v>
      </c>
      <c r="B31">
        <v>23</v>
      </c>
      <c r="C31">
        <v>27.6</v>
      </c>
      <c r="D31">
        <v>32</v>
      </c>
    </row>
    <row r="32" spans="1:6">
      <c r="A32" s="208">
        <v>29</v>
      </c>
      <c r="B32">
        <v>23.2</v>
      </c>
      <c r="C32">
        <v>27.7</v>
      </c>
      <c r="D32">
        <v>32.1</v>
      </c>
    </row>
    <row r="33" spans="1:4">
      <c r="A33" s="208">
        <v>30</v>
      </c>
      <c r="B33">
        <v>23.4</v>
      </c>
      <c r="C33">
        <v>27.9</v>
      </c>
      <c r="D33">
        <v>32.200000000000003</v>
      </c>
    </row>
    <row r="34" spans="1:4">
      <c r="A34" s="208">
        <v>31</v>
      </c>
      <c r="B34">
        <v>23.5</v>
      </c>
      <c r="C34">
        <v>28</v>
      </c>
      <c r="D34">
        <v>32.299999999999997</v>
      </c>
    </row>
    <row r="35" spans="1:4">
      <c r="A35" s="208">
        <v>32</v>
      </c>
      <c r="B35">
        <v>23.7</v>
      </c>
      <c r="C35">
        <v>28.1</v>
      </c>
      <c r="D35">
        <v>32.4</v>
      </c>
    </row>
    <row r="36" spans="1:4">
      <c r="A36" s="208">
        <v>33</v>
      </c>
      <c r="B36">
        <v>23.9</v>
      </c>
      <c r="C36">
        <v>28.2</v>
      </c>
      <c r="D36">
        <v>32.5</v>
      </c>
    </row>
    <row r="37" spans="1:4">
      <c r="A37" s="208">
        <v>34</v>
      </c>
      <c r="B37">
        <v>24</v>
      </c>
      <c r="C37">
        <v>28.4</v>
      </c>
      <c r="D37">
        <v>32.6</v>
      </c>
    </row>
    <row r="38" spans="1:4">
      <c r="A38" s="208">
        <v>35</v>
      </c>
      <c r="B38">
        <v>24.2</v>
      </c>
      <c r="C38">
        <v>28.5</v>
      </c>
      <c r="D38">
        <v>32.700000000000003</v>
      </c>
    </row>
    <row r="39" spans="1:4">
      <c r="A39" s="208">
        <v>36</v>
      </c>
      <c r="B39">
        <v>24.3</v>
      </c>
      <c r="C39">
        <v>28.6</v>
      </c>
      <c r="D39">
        <v>32.799999999999997</v>
      </c>
    </row>
    <row r="40" spans="1:4">
      <c r="A40" s="208">
        <v>37</v>
      </c>
      <c r="B40">
        <v>24.5</v>
      </c>
      <c r="C40">
        <v>28.8</v>
      </c>
      <c r="D40">
        <v>32.9</v>
      </c>
    </row>
    <row r="41" spans="1:4">
      <c r="A41" s="208">
        <v>38</v>
      </c>
      <c r="B41">
        <v>24.6</v>
      </c>
      <c r="C41">
        <v>28.9</v>
      </c>
      <c r="D41">
        <v>33</v>
      </c>
    </row>
    <row r="42" spans="1:4">
      <c r="A42" s="208">
        <v>39</v>
      </c>
      <c r="B42">
        <v>24.8</v>
      </c>
      <c r="C42">
        <v>29</v>
      </c>
      <c r="D42">
        <v>33.1</v>
      </c>
    </row>
    <row r="43" spans="1:4">
      <c r="A43" s="208">
        <v>40</v>
      </c>
      <c r="B43">
        <v>25</v>
      </c>
      <c r="C43">
        <v>29.2</v>
      </c>
      <c r="D43">
        <v>33.200000000000003</v>
      </c>
    </row>
    <row r="44" spans="1:4">
      <c r="A44" s="208">
        <v>41</v>
      </c>
      <c r="B44">
        <v>25.1</v>
      </c>
      <c r="C44">
        <v>29.3</v>
      </c>
      <c r="D44">
        <v>33.299999999999997</v>
      </c>
    </row>
    <row r="45" spans="1:4">
      <c r="A45" s="208">
        <v>42</v>
      </c>
      <c r="B45">
        <v>25.1</v>
      </c>
      <c r="C45">
        <v>29.3</v>
      </c>
      <c r="D45">
        <v>33.299999999999997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5B4D-9F54-4C89-8B2D-18153B08EF1C}">
  <dimension ref="A1:B6"/>
  <sheetViews>
    <sheetView workbookViewId="0">
      <selection activeCell="B6" sqref="B6"/>
    </sheetView>
  </sheetViews>
  <sheetFormatPr defaultRowHeight="15"/>
  <sheetData>
    <row r="1" spans="1:2">
      <c r="A1" t="s">
        <v>347</v>
      </c>
    </row>
    <row r="3" spans="1:2">
      <c r="A3" t="s">
        <v>96</v>
      </c>
    </row>
    <row r="4" spans="1:2">
      <c r="A4" t="s">
        <v>348</v>
      </c>
      <c r="B4">
        <v>92</v>
      </c>
    </row>
    <row r="5" spans="1:2">
      <c r="A5">
        <v>60</v>
      </c>
    </row>
    <row r="6" spans="1:2">
      <c r="A6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Planilha1</vt:lpstr>
      <vt:lpstr>Start</vt:lpstr>
      <vt:lpstr>Edit</vt:lpstr>
      <vt:lpstr>Sheet2</vt:lpstr>
      <vt:lpstr>peso</vt:lpstr>
      <vt:lpstr>Cart velha</vt:lpstr>
      <vt:lpstr>peso estimado</vt:lpstr>
      <vt:lpstr>Slide</vt:lpstr>
      <vt:lpstr>Planilha5</vt:lpstr>
      <vt:lpstr>Sheet1</vt:lpstr>
      <vt:lpstr>Pressao</vt:lpstr>
      <vt:lpstr>Sheet4</vt:lpstr>
      <vt:lpstr>LAB</vt:lpstr>
      <vt:lpstr>imc</vt:lpstr>
      <vt:lpstr>peso!Obesidade_e_gestacao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Peters</dc:creator>
  <cp:lastModifiedBy>Rafael Peters</cp:lastModifiedBy>
  <cp:lastPrinted>2024-11-03T23:37:51Z</cp:lastPrinted>
  <dcterms:created xsi:type="dcterms:W3CDTF">2023-04-24T00:58:22Z</dcterms:created>
  <dcterms:modified xsi:type="dcterms:W3CDTF">2026-04-17T12:03:20Z</dcterms:modified>
</cp:coreProperties>
</file>