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fae\Desktop\Analysis Projects\Crowdfunding Analysis\"/>
    </mc:Choice>
  </mc:AlternateContent>
  <xr:revisionPtr revIDLastSave="0" documentId="13_ncr:1_{1590B0D0-7AAE-4794-809E-CCFD91EC534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heater Outcomes by Launch Date" sheetId="10" r:id="rId1"/>
    <sheet name="Kickstarter" sheetId="1" r:id="rId2"/>
    <sheet name="Outcomes Based on Goals" sheetId="11" r:id="rId3"/>
    <sheet name="Descriptive Statistics" sheetId="8" r:id="rId4"/>
    <sheet name="Edinburgh Research" sheetId="5" r:id="rId5"/>
    <sheet name="Category Statistics" sheetId="2" r:id="rId6"/>
    <sheet name="Subcategory Statistics" sheetId="3" r:id="rId7"/>
    <sheet name="Outcomes Based on Launch Date" sheetId="4" r:id="rId8"/>
  </sheets>
  <definedNames>
    <definedName name="_xlnm._FilterDatabase" localSheetId="1" hidden="1">Kickstarter!$Q$1:$Q$4115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E11" i="11" s="1"/>
  <c r="B10" i="11"/>
  <c r="B9" i="11"/>
  <c r="B7" i="11"/>
  <c r="E7" i="11" s="1"/>
  <c r="B6" i="11"/>
  <c r="B5" i="11"/>
  <c r="B4" i="11"/>
  <c r="B3" i="11"/>
  <c r="E3" i="11" s="1"/>
  <c r="B8" i="11"/>
  <c r="B2" i="11"/>
  <c r="C13" i="8"/>
  <c r="C12" i="8"/>
  <c r="C11" i="8"/>
  <c r="B13" i="8"/>
  <c r="B12" i="8"/>
  <c r="B11" i="8"/>
  <c r="C6" i="8"/>
  <c r="C5" i="8"/>
  <c r="C4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B14" i="8" l="1"/>
  <c r="B7" i="8"/>
  <c r="G3" i="11"/>
  <c r="G7" i="11"/>
  <c r="G11" i="11"/>
  <c r="H3" i="11"/>
  <c r="H7" i="11"/>
  <c r="H11" i="11"/>
  <c r="E2" i="11"/>
  <c r="F2" i="11" s="1"/>
  <c r="E10" i="11"/>
  <c r="G10" i="11" s="1"/>
  <c r="E6" i="11"/>
  <c r="G6" i="11" s="1"/>
  <c r="F11" i="11"/>
  <c r="F7" i="11"/>
  <c r="E13" i="11"/>
  <c r="H13" i="11" s="1"/>
  <c r="E9" i="11"/>
  <c r="G9" i="11" s="1"/>
  <c r="E5" i="11"/>
  <c r="F5" i="11" s="1"/>
  <c r="F3" i="11"/>
  <c r="E12" i="11"/>
  <c r="F12" i="11" s="1"/>
  <c r="E8" i="11"/>
  <c r="H8" i="11" s="1"/>
  <c r="E4" i="11"/>
  <c r="H4" i="11" s="1"/>
  <c r="C14" i="8"/>
  <c r="C7" i="8"/>
  <c r="G13" i="11" l="1"/>
  <c r="G4" i="11"/>
  <c r="G5" i="11"/>
  <c r="H2" i="11"/>
  <c r="H5" i="11"/>
  <c r="G12" i="11"/>
  <c r="G2" i="11"/>
  <c r="H9" i="11"/>
  <c r="H6" i="11"/>
  <c r="F8" i="11"/>
  <c r="F13" i="11"/>
  <c r="H12" i="11"/>
  <c r="G8" i="11"/>
  <c r="H10" i="11"/>
  <c r="F10" i="11"/>
  <c r="F9" i="11"/>
  <c r="F4" i="11"/>
  <c r="F6" i="11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<sst xmlns="http://schemas.openxmlformats.org/spreadsheetml/2006/main" count="33050" uniqueCount="8418">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</sst>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2" applyNumberFormat="1" applyFont="1"/>
    <xf numFmtId="165" fontId="0" fillId="0" borderId="0" xfId="0" applyNumberFormat="1"/>
    <xf numFmtId="9" fontId="0" fillId="0" borderId="0" xfId="1" applyFont="1"/>
  </cellXfs>
  <cellStyles count="3">
    <cellStyle name="Currency" xfId="2" builtinId="4"/>
    <cellStyle name="Normal" xfId="0" builtinId="0"/>
    <cellStyle name="Percent" xfId="1" builtinId="5"/>
  </cellStyles>
  <dxfs count="5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41-4694-AACB-963F6E55682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41-4694-AACB-963F6E55682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41-4694-AACB-963F6E556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5954000"/>
        <c:axId val="535958920"/>
      </c:lineChart>
      <c:catAx>
        <c:axId val="53595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958920"/>
        <c:crosses val="autoZero"/>
        <c:auto val="1"/>
        <c:lblAlgn val="ctr"/>
        <c:lblOffset val="100"/>
        <c:noMultiLvlLbl val="0"/>
      </c:catAx>
      <c:valAx>
        <c:axId val="535958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95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15-49AE-A808-FBC47923C54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15-49AE-A808-FBC47923C54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15-49AE-A808-FBC47923C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646824"/>
        <c:axId val="583649448"/>
      </c:lineChart>
      <c:catAx>
        <c:axId val="583646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49448"/>
        <c:crosses val="autoZero"/>
        <c:auto val="1"/>
        <c:lblAlgn val="ctr"/>
        <c:lblOffset val="100"/>
        <c:noMultiLvlLbl val="0"/>
      </c:catAx>
      <c:valAx>
        <c:axId val="583649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46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CB-43B7-A526-CC06783ACF6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CB-43B7-A526-CC06783ACF6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CB-43B7-A526-CC06783ACF6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CB-43B7-A526-CC06783AC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9220336"/>
        <c:axId val="433997248"/>
      </c:barChart>
      <c:catAx>
        <c:axId val="52922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997248"/>
        <c:crosses val="autoZero"/>
        <c:auto val="1"/>
        <c:lblAlgn val="ctr"/>
        <c:lblOffset val="100"/>
        <c:noMultiLvlLbl val="0"/>
      </c:catAx>
      <c:valAx>
        <c:axId val="43399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22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46-4CD6-AFDE-54CE81A2326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46-4CD6-AFDE-54CE81A2326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46-4CD6-AFDE-54CE81A23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7570344"/>
        <c:axId val="557571984"/>
      </c:barChart>
      <c:catAx>
        <c:axId val="557570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571984"/>
        <c:crosses val="autoZero"/>
        <c:auto val="1"/>
        <c:lblAlgn val="ctr"/>
        <c:lblOffset val="100"/>
        <c:noMultiLvlLbl val="0"/>
      </c:catAx>
      <c:valAx>
        <c:axId val="55757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570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F4-4A4D-8C43-449DC162F95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F4-4A4D-8C43-449DC162F95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F4-4A4D-8C43-449DC162F95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F4-4A4D-8C43-449DC162F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368968"/>
        <c:axId val="527370280"/>
      </c:lineChart>
      <c:catAx>
        <c:axId val="527368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370280"/>
        <c:crosses val="autoZero"/>
        <c:auto val="1"/>
        <c:lblAlgn val="ctr"/>
        <c:lblOffset val="100"/>
        <c:noMultiLvlLbl val="0"/>
      </c:catAx>
      <c:valAx>
        <c:axId val="527370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368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129540</xdr:colOff>
      <xdr:row>3</xdr:row>
      <xdr:rowOff>11430</xdr:rowOff>
    </xdr:from>
    <xdr:to>
      <xdr:col>12</xdr:col>
      <xdr:colOff>304800</xdr:colOff>
      <xdr:row>18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041401-A857-4C74-8DBF-3994497DF4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129540</xdr:colOff>
      <xdr:row>0</xdr:row>
      <xdr:rowOff>34290</xdr:rowOff>
    </xdr:from>
    <xdr:to>
      <xdr:col>15</xdr:col>
      <xdr:colOff>434340</xdr:colOff>
      <xdr:row>15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896E6B-14DF-4A68-920E-E2A1976915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2</xdr:row>
      <xdr:rowOff>64770</xdr:rowOff>
    </xdr:from>
    <xdr:to>
      <xdr:col>14</xdr:col>
      <xdr:colOff>0</xdr:colOff>
      <xdr:row>17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7F2E57-2E2B-4E1B-8B59-9E95179AF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5</xdr:row>
      <xdr:rowOff>72390</xdr:rowOff>
    </xdr:from>
    <xdr:to>
      <xdr:col>13</xdr:col>
      <xdr:colOff>571500</xdr:colOff>
      <xdr:row>20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B06B24-37CC-47B7-9F89-D51E16319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480060</xdr:colOff>
      <xdr:row>3</xdr:row>
      <xdr:rowOff>72390</xdr:rowOff>
    </xdr:from>
    <xdr:to>
      <xdr:col>14</xdr:col>
      <xdr:colOff>175260</xdr:colOff>
      <xdr:row>18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07EC13-AF33-44B2-9314-D279C1F94F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fael Silva" refreshedDate="44718.980712847224" createdVersion="7" refreshedVersion="7" minRefreshableVersion="3" recordCount="4114" xr:uid="{58470961-531F-4211-B72A-A813E9C4BDE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fael Silva" refreshedDate="44719.002023032408" createdVersion="7" refreshedVersion="7" minRefreshableVersion="3" recordCount="4114" xr:uid="{7106F146-69E7-4089-B6E6-B0D5EB8B937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fael Silva" refreshedDate="44725.535805208332" createdVersion="7" refreshedVersion="7" minRefreshableVersion="3" recordCount="4114" xr:uid="{43E6482F-CF5A-4E52-9392-987F554B075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8D54E9-87BD-4DA3-8A8A-5C0F5A6D63AF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72A37B-3716-4349-8035-4FB8A62159C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F88C29-5459-4731-81BC-B92D693A1F5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AD277A-A239-459E-82F3-3AACD62A8C67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11FB4-F70E-46C3-9394-8980F5CD616F}">
  <dimension ref="A1:E18"/>
  <sheetViews>
    <sheetView tabSelected="1" workbookViewId="0">
      <selection activeCell="O8" sqref="O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3" t="s">
        <v>8358</v>
      </c>
      <c r="B1" t="s">
        <v>8315</v>
      </c>
    </row>
    <row r="2" spans="1:5" x14ac:dyDescent="0.3">
      <c r="A2" s="13" t="s">
        <v>8379</v>
      </c>
      <c r="B2" t="s">
        <v>8364</v>
      </c>
    </row>
    <row r="4" spans="1:5" x14ac:dyDescent="0.3">
      <c r="A4" s="13" t="s">
        <v>8363</v>
      </c>
      <c r="B4" s="13" t="s">
        <v>8360</v>
      </c>
    </row>
    <row r="5" spans="1:5" x14ac:dyDescent="0.3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7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">
      <c r="A7" s="17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">
      <c r="A8" s="17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">
      <c r="A9" s="17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">
      <c r="A10" s="17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">
      <c r="A11" s="17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">
      <c r="A12" s="17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">
      <c r="A13" s="17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">
      <c r="A14" s="17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">
      <c r="A15" s="17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3">
      <c r="A16" s="17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">
      <c r="A17" s="17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">
      <c r="A18" s="17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B2" sqref="B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style="10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0.77734375" style="16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9" t="s">
        <v>8365</v>
      </c>
      <c r="T1" s="9" t="s">
        <v>8366</v>
      </c>
      <c r="U1" s="9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ROUND(E67/D67*100,0)</f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2</v>
      </c>
      <c r="P13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ROUND(E131/D131*100,0)</f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0</v>
      </c>
      <c r="P194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5">ROUND(E195/D195*100,0)</f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5"/>
        <v>139</v>
      </c>
      <c r="P258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0">ROUND(E259/D259*100,0)</f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5">ROUND(E323/D323*100,0)</f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5"/>
        <v>112</v>
      </c>
      <c r="P386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0">ROUND(E387/D387*100,0)</f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0"/>
        <v>3</v>
      </c>
      <c r="P45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5">ROUND(E451/D451*100,0)</f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5"/>
        <v>0</v>
      </c>
      <c r="P514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0">ROUND(E515/D515*100,0)</f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0"/>
        <v>0</v>
      </c>
      <c r="P578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5">ROUND(E579/D579*100,0)</f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5"/>
        <v>144</v>
      </c>
      <c r="P642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0">ROUND(E643/D643*100,0)</f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0"/>
        <v>1</v>
      </c>
      <c r="P706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5">ROUND(E707/D707*100,0)</f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5"/>
        <v>0</v>
      </c>
      <c r="P770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0">ROUND(E771/D771*100,0)</f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0"/>
        <v>101</v>
      </c>
      <c r="P834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5">ROUND(E835/D835*100,0)</f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5"/>
        <v>40</v>
      </c>
      <c r="P898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0">ROUND(E899/D899*100,0)</f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0"/>
        <v>46</v>
      </c>
      <c r="P962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5">ROUND(E963/D963*100,0)</f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5"/>
        <v>119</v>
      </c>
      <c r="P1026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0"/>
        <v>14</v>
      </c>
      <c r="P1090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5">ROUND(E1091/D1091*100,0)</f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5"/>
        <v>6</v>
      </c>
      <c r="P1154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0">ROUND(E1155/D1155*100,0)</f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0"/>
        <v>146</v>
      </c>
      <c r="P1218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5">ROUND(E1219/D1219*100,0)</f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5"/>
        <v>111</v>
      </c>
      <c r="P1282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0">ROUND(E1283/D1283*100,0)</f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0"/>
        <v>378</v>
      </c>
      <c r="P1346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5">ROUND(E1347/D1347*100,0)</f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5"/>
        <v>7</v>
      </c>
      <c r="P1410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0">ROUND(E1411/D1411*100,0)</f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0"/>
        <v>139</v>
      </c>
      <c r="P1474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5">ROUND(E1475/D1475*100,0)</f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5"/>
        <v>250</v>
      </c>
      <c r="P1538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0">ROUND(E1539/D1539*100,0)</f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0"/>
        <v>7</v>
      </c>
      <c r="P1602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5">ROUND(E1603/D1603*100,0)</f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5"/>
        <v>122</v>
      </c>
      <c r="P1666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0">ROUND(E1667/D1667*100,0)</f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0"/>
        <v>68</v>
      </c>
      <c r="P1730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5">ROUND(E1731/D1731*100,0)</f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5"/>
        <v>61</v>
      </c>
      <c r="P1794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0">ROUND(E1795/D1795*100,0)</f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0"/>
        <v>101</v>
      </c>
      <c r="P1858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5"/>
        <v>43</v>
      </c>
      <c r="P1922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0">ROUND(E1923/D1923*100,0)</f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0"/>
        <v>21</v>
      </c>
      <c r="P1986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5">ROUND(E1987/D1987*100,0)</f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5"/>
        <v>148</v>
      </c>
      <c r="P2050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0"/>
        <v>100</v>
      </c>
      <c r="P2114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5"/>
        <v>126</v>
      </c>
      <c r="P2178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0">ROUND(E2179/D2179*100,0)</f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0"/>
        <v>271</v>
      </c>
      <c r="P2242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5">ROUND(E2243/D2243*100,0)</f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5"/>
        <v>101</v>
      </c>
      <c r="P2306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0">ROUND(E2307/D2307*100,0)</f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0"/>
        <v>0</v>
      </c>
      <c r="P2370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5">ROUND(E2371/D2371*100,0)</f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5"/>
        <v>0</v>
      </c>
      <c r="P2434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0">ROUND(E2435/D2435*100,0)</f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0"/>
        <v>100</v>
      </c>
      <c r="P2498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5">ROUND(E2499/D2499*100,0)</f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5"/>
        <v>100</v>
      </c>
      <c r="P2562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0">ROUND(E2563/D2563*100,0)</f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0"/>
        <v>1379</v>
      </c>
      <c r="P2626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5">ROUND(E2627/D2627*100,0)</f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5"/>
        <v>0</v>
      </c>
      <c r="P2690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0">ROUND(E2691/D2691*100,0)</f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0"/>
        <v>11</v>
      </c>
      <c r="P2754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5">ROUND(E2755/D2755*100,0)</f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5"/>
        <v>142</v>
      </c>
      <c r="P2818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0">ROUND(E2819/D2819*100,0)</f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0"/>
        <v>23</v>
      </c>
      <c r="P2882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5">ROUND(E2883/D2883*100,0)</f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5"/>
        <v>1</v>
      </c>
      <c r="P2946">
        <f t="shared" si="226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0">ROUND(E2947/D2947*100,0)</f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0"/>
        <v>101</v>
      </c>
      <c r="P3010">
        <f t="shared" si="231"/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5">ROUND(E3011/D3011*100,0)</f>
        <v>120</v>
      </c>
      <c r="P3011">
        <f t="shared" ref="P3011:P3074" si="236">IFERROR(ROUND(E3011/L3011,2),0)</f>
        <v>233.9</v>
      </c>
      <c r="Q3011" s="12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5"/>
        <v>0</v>
      </c>
      <c r="P3074">
        <f t="shared" si="236"/>
        <v>1</v>
      </c>
      <c r="Q3074" s="12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40">ROUND(E3075/D3075*100,0)</f>
        <v>0</v>
      </c>
      <c r="P3075">
        <f t="shared" ref="P3075:P3138" si="241">IFERROR(ROUND(E3075/L3075,2),0)</f>
        <v>92.14</v>
      </c>
      <c r="Q3075" s="12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0"/>
        <v>128</v>
      </c>
      <c r="P3138">
        <f t="shared" si="241"/>
        <v>29.05</v>
      </c>
      <c r="Q3138" s="12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5">ROUND(E3139/D3139*100,0)</f>
        <v>3</v>
      </c>
      <c r="P3139">
        <f t="shared" ref="P3139:P3202" si="246">IFERROR(ROUND(E3139/L3139,2),0)</f>
        <v>50</v>
      </c>
      <c r="Q3139" s="12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5"/>
        <v>0</v>
      </c>
      <c r="P3202">
        <f t="shared" si="246"/>
        <v>1</v>
      </c>
      <c r="Q3202" s="12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50">ROUND(E3203/D3203*100,0)</f>
        <v>1</v>
      </c>
      <c r="P3203">
        <f t="shared" ref="P3203:P3266" si="251">IFERROR(ROUND(E3203/L3203,2),0)</f>
        <v>12.5</v>
      </c>
      <c r="Q3203" s="12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0"/>
        <v>103</v>
      </c>
      <c r="P3266">
        <f t="shared" si="251"/>
        <v>52.55</v>
      </c>
      <c r="Q3266" s="12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2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5"/>
        <v>146</v>
      </c>
      <c r="P3330">
        <f t="shared" si="256"/>
        <v>292.77999999999997</v>
      </c>
      <c r="Q3330" s="12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60">ROUND(E3331/D3331*100,0)</f>
        <v>117</v>
      </c>
      <c r="P3331">
        <f t="shared" ref="P3331:P3394" si="261">IFERROR(ROUND(E3331/L3331,2),0)</f>
        <v>44.92</v>
      </c>
      <c r="Q3331" s="12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0"/>
        <v>100</v>
      </c>
      <c r="P3394">
        <f t="shared" si="261"/>
        <v>41.67</v>
      </c>
      <c r="Q3394" s="12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65">ROUND(E3395/D3395*100,0)</f>
        <v>106</v>
      </c>
      <c r="P3395">
        <f t="shared" ref="P3395:P3458" si="266">IFERROR(ROUND(E3395/L3395,2),0)</f>
        <v>36.07</v>
      </c>
      <c r="Q3395" s="12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65"/>
        <v>191</v>
      </c>
      <c r="P3458">
        <f t="shared" si="266"/>
        <v>358.69</v>
      </c>
      <c r="Q3458" s="12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70">ROUND(E3459/D3459*100,0)</f>
        <v>140</v>
      </c>
      <c r="P3459">
        <f t="shared" ref="P3459:P3522" si="271">IFERROR(ROUND(E3459/L3459,2),0)</f>
        <v>50.98</v>
      </c>
      <c r="Q3459" s="12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0"/>
        <v>101</v>
      </c>
      <c r="P3522">
        <f t="shared" si="271"/>
        <v>95.95</v>
      </c>
      <c r="Q3522" s="12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75">ROUND(E3523/D3523*100,0)</f>
        <v>169</v>
      </c>
      <c r="P3523">
        <f t="shared" ref="P3523:P3586" si="276">IFERROR(ROUND(E3523/L3523,2),0)</f>
        <v>45.62</v>
      </c>
      <c r="Q3523" s="12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75"/>
        <v>116</v>
      </c>
      <c r="P3586">
        <f t="shared" si="276"/>
        <v>30.94</v>
      </c>
      <c r="Q3586" s="12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80">ROUND(E3587/D3587*100,0)</f>
        <v>119</v>
      </c>
      <c r="P3587">
        <f t="shared" ref="P3587:P3650" si="281">IFERROR(ROUND(E3587/L3587,2),0)</f>
        <v>176.09</v>
      </c>
      <c r="Q3587" s="12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0"/>
        <v>100</v>
      </c>
      <c r="P3650">
        <f t="shared" si="281"/>
        <v>550.04</v>
      </c>
      <c r="Q3650" s="12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85">ROUND(E3651/D3651*100,0)</f>
        <v>104</v>
      </c>
      <c r="P3651">
        <f t="shared" ref="P3651:P3714" si="286">IFERROR(ROUND(E3651/L3651,2),0)</f>
        <v>97.5</v>
      </c>
      <c r="Q3651" s="12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85"/>
        <v>154</v>
      </c>
      <c r="P3714">
        <f t="shared" si="286"/>
        <v>110.87</v>
      </c>
      <c r="Q3714" s="12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90">ROUND(E3715/D3715*100,0)</f>
        <v>102</v>
      </c>
      <c r="P3715">
        <f t="shared" ref="P3715:P3778" si="291">IFERROR(ROUND(E3715/L3715,2),0)</f>
        <v>106.84</v>
      </c>
      <c r="Q3715" s="12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0"/>
        <v>107</v>
      </c>
      <c r="P3778">
        <f t="shared" si="291"/>
        <v>90.82</v>
      </c>
      <c r="Q3778" s="12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95">ROUND(E3779/D3779*100,0)</f>
        <v>143</v>
      </c>
      <c r="P3779">
        <f t="shared" ref="P3779:P3842" si="296">IFERROR(ROUND(E3779/L3779,2),0)</f>
        <v>48.54</v>
      </c>
      <c r="Q3779" s="12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95"/>
        <v>6500</v>
      </c>
      <c r="P3842">
        <f t="shared" si="296"/>
        <v>21.67</v>
      </c>
      <c r="Q3842" s="12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00">ROUND(E3843/D3843*100,0)</f>
        <v>9</v>
      </c>
      <c r="P3843">
        <f t="shared" ref="P3843:P3906" si="301">IFERROR(ROUND(E3843/L3843,2),0)</f>
        <v>25.65</v>
      </c>
      <c r="Q3843" s="12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00"/>
        <v>0</v>
      </c>
      <c r="P3906">
        <f t="shared" si="301"/>
        <v>1.5</v>
      </c>
      <c r="Q3906" s="12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05">ROUND(E3907/D3907*100,0)</f>
        <v>12</v>
      </c>
      <c r="P3907">
        <f t="shared" ref="P3907:P3970" si="306">IFERROR(ROUND(E3907/L3907,2),0)</f>
        <v>24.71</v>
      </c>
      <c r="Q3907" s="12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05"/>
        <v>11</v>
      </c>
      <c r="P3970">
        <f t="shared" si="306"/>
        <v>47.91</v>
      </c>
      <c r="Q3970" s="12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10">ROUND(E3971/D3971*100,0)</f>
        <v>7</v>
      </c>
      <c r="P3971">
        <f t="shared" ref="P3971:P4034" si="311">IFERROR(ROUND(E3971/L3971,2),0)</f>
        <v>35.17</v>
      </c>
      <c r="Q3971" s="12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10"/>
        <v>7</v>
      </c>
      <c r="P4034">
        <f t="shared" si="311"/>
        <v>59</v>
      </c>
      <c r="Q4034" s="12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15">ROUND(E4035/D4035*100,0)</f>
        <v>26</v>
      </c>
      <c r="P4035">
        <f t="shared" ref="P4035:P4098" si="316">IFERROR(ROUND(E4035/L4035,2),0)</f>
        <v>65.34</v>
      </c>
      <c r="Q4035" s="12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15"/>
        <v>11</v>
      </c>
      <c r="P4098">
        <f t="shared" si="316"/>
        <v>80</v>
      </c>
      <c r="Q4098" s="12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0">ROUND(E4099/D4099*100,0)</f>
        <v>0</v>
      </c>
      <c r="P4099">
        <f t="shared" ref="P4099:P4115" si="321">IFERROR(ROUND(E4099/L4099,2),0)</f>
        <v>0</v>
      </c>
      <c r="Q4099" s="12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conditionalFormatting sqref="F1:F1048576"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594D6-F96C-4499-B1A7-9B840DBF60EE}">
  <dimension ref="A1:H13"/>
  <sheetViews>
    <sheetView workbookViewId="0">
      <selection activeCell="B6" sqref="B6"/>
    </sheetView>
  </sheetViews>
  <sheetFormatPr defaultRowHeight="14.4" x14ac:dyDescent="0.3"/>
  <cols>
    <col min="1" max="1" width="13.777343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1" t="s">
        <v>8382</v>
      </c>
      <c r="B1" s="1" t="s">
        <v>8399</v>
      </c>
      <c r="C1" s="1" t="s">
        <v>8400</v>
      </c>
      <c r="D1" s="1" t="s">
        <v>8401</v>
      </c>
      <c r="E1" s="1" t="s">
        <v>8402</v>
      </c>
      <c r="F1" s="1" t="s">
        <v>8403</v>
      </c>
      <c r="G1" s="1" t="s">
        <v>8404</v>
      </c>
      <c r="H1" s="1" t="s">
        <v>8405</v>
      </c>
    </row>
    <row r="2" spans="1:8" x14ac:dyDescent="0.3">
      <c r="A2" t="s">
        <v>8406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20">
        <f>B2/$E2</f>
        <v>0.75806451612903225</v>
      </c>
      <c r="G2" s="20">
        <f>C2/$E2</f>
        <v>0.24193548387096775</v>
      </c>
      <c r="H2" s="20">
        <f>D2/$E2</f>
        <v>0</v>
      </c>
    </row>
    <row r="3" spans="1:8" x14ac:dyDescent="0.3">
      <c r="A3" t="s">
        <v>8407</v>
      </c>
      <c r="B3">
        <f>COUNTIFS(Kickstarter!$F:$F,"successful",Kickstarter!$D:$D,"&gt;=1000",Kickstarter!$D:$D,"&lt;5000",Kickstarter!$R:$R,"plays")</f>
        <v>388</v>
      </c>
      <c r="C3">
        <f>COUNTIFS(Kickstarter!$F:$F,"failed",Kickstarter!$D:$D,"&gt;=1000",Kickstarter!$D:$D,"&lt;5000",Kickstarter!$R:$R,"plays")</f>
        <v>146</v>
      </c>
      <c r="D3">
        <f>COUNTIFS(Kickstarter!$F:$F,"canceled",Kickstarter!$D:$D,"&gt;=1000",Kickstarter!$D:$D,"&lt;5000",Kickstarter!$R:$R,"plays")</f>
        <v>0</v>
      </c>
      <c r="E3">
        <f t="shared" ref="E3:E13" si="0">SUM(B3:D3)</f>
        <v>534</v>
      </c>
      <c r="F3" s="20">
        <f>B3/$E3</f>
        <v>0.72659176029962547</v>
      </c>
      <c r="G3" s="20">
        <f t="shared" ref="G3:G13" si="1">C3/$E3</f>
        <v>0.27340823970037453</v>
      </c>
      <c r="H3" s="20">
        <f t="shared" ref="H3:H13" si="2">D3/$E3</f>
        <v>0</v>
      </c>
    </row>
    <row r="4" spans="1:8" x14ac:dyDescent="0.3">
      <c r="A4" t="s">
        <v>8408</v>
      </c>
      <c r="B4">
        <f>COUNTIFS(Kickstarter!$F:$F,"successful",Kickstarter!$D:$D,"&gt;=5000",Kickstarter!$D:$D,"&lt;10000",Kickstarter!$R:$R,"plays")</f>
        <v>93</v>
      </c>
      <c r="C4">
        <f>COUNTIFS(Kickstarter!$F:$F,"failed",Kickstarter!$D:$D,"&gt;=5000",Kickstarter!$D:$D,"&lt;10000",Kickstarter!$R:$R,"plays")</f>
        <v>76</v>
      </c>
      <c r="D4">
        <f>COUNTIFS(Kickstarter!$F:$F,"canceled",Kickstarter!$D:$D,"&gt;=5000",Kickstarter!$D:$D,"&lt;10000",Kickstarter!$R:$R,"plays")</f>
        <v>0</v>
      </c>
      <c r="E4">
        <f t="shared" si="0"/>
        <v>169</v>
      </c>
      <c r="F4" s="20">
        <f t="shared" ref="F4:F13" si="3">B4/$E4</f>
        <v>0.55029585798816572</v>
      </c>
      <c r="G4" s="20">
        <f t="shared" si="1"/>
        <v>0.44970414201183434</v>
      </c>
      <c r="H4" s="20">
        <f t="shared" si="2"/>
        <v>0</v>
      </c>
    </row>
    <row r="5" spans="1:8" x14ac:dyDescent="0.3">
      <c r="A5" t="s">
        <v>8409</v>
      </c>
      <c r="B5">
        <f>COUNTIFS(Kickstarter!$F:$F,"successful",Kickstarter!$D:$D,"&gt;=10000",Kickstarter!$D:$D,"&lt;15000",Kickstarter!$R:$R,"plays")</f>
        <v>39</v>
      </c>
      <c r="C5">
        <f>COUNTIFS(Kickstarter!$F:$F,"failed",Kickstarter!$D:$D,"&gt;=10000",Kickstarter!$D:$D,"&lt;15000",Kickstarter!$R:$R,"plays")</f>
        <v>33</v>
      </c>
      <c r="D5">
        <f>COUNTIFS(Kickstarter!$F:$F,"canceled",Kickstarter!$D:$D,"&gt;=10000",Kickstarter!$D:$D,"&lt;15000",Kickstarter!$R:$R,"plays")</f>
        <v>0</v>
      </c>
      <c r="E5">
        <f t="shared" si="0"/>
        <v>72</v>
      </c>
      <c r="F5" s="20">
        <f t="shared" si="3"/>
        <v>0.54166666666666663</v>
      </c>
      <c r="G5" s="20">
        <f t="shared" si="1"/>
        <v>0.45833333333333331</v>
      </c>
      <c r="H5" s="20">
        <f t="shared" si="2"/>
        <v>0</v>
      </c>
    </row>
    <row r="6" spans="1:8" x14ac:dyDescent="0.3">
      <c r="A6" t="s">
        <v>8410</v>
      </c>
      <c r="B6">
        <f>COUNTIFS(Kickstarter!$F:$F,"successful",Kickstarter!$D:$D,"&gt;=15000",Kickstarter!$D:$D,"&lt;20000",Kickstarter!$R:$R,"plays")</f>
        <v>12</v>
      </c>
      <c r="C6">
        <f>COUNTIFS(Kickstarter!$F:$F,"failed",Kickstarter!$D:$D,"&gt;=15000",Kickstarter!$D:$D,"&lt;20000",Kickstarter!$R:$R,"plays")</f>
        <v>12</v>
      </c>
      <c r="D6">
        <f>COUNTIFS(Kickstarter!$F:$F,"canceled",Kickstarter!$D:$D,"&gt;=15000",Kickstarter!$D:$D,"&lt;20000",Kickstarter!$R:$R,"plays")</f>
        <v>0</v>
      </c>
      <c r="E6">
        <f t="shared" si="0"/>
        <v>24</v>
      </c>
      <c r="F6" s="20">
        <f t="shared" si="3"/>
        <v>0.5</v>
      </c>
      <c r="G6" s="20">
        <f t="shared" si="1"/>
        <v>0.5</v>
      </c>
      <c r="H6" s="20">
        <f t="shared" si="2"/>
        <v>0</v>
      </c>
    </row>
    <row r="7" spans="1:8" x14ac:dyDescent="0.3">
      <c r="A7" t="s">
        <v>8411</v>
      </c>
      <c r="B7">
        <f>COUNTIFS(Kickstarter!$F:$F,"successful",Kickstarter!$D:$D,"&gt;=20000",Kickstarter!$D:$D,"&lt;25000",Kickstarter!$R:$R,"plays")</f>
        <v>9</v>
      </c>
      <c r="C7">
        <f>COUNTIFS(Kickstarter!$F:$F,"failed",Kickstarter!$D:$D,"&gt;=20000",Kickstarter!$D:$D,"&lt;25000",Kickstarter!$R:$R,"plays")</f>
        <v>11</v>
      </c>
      <c r="D7">
        <f>COUNTIFS(Kickstarter!$F:$F,"canceled",Kickstarter!$D:$D,"&gt;=20000",Kickstarter!$D:$D,"&lt;25000",Kickstarter!$R:$R,"plays")</f>
        <v>0</v>
      </c>
      <c r="E7">
        <f t="shared" si="0"/>
        <v>20</v>
      </c>
      <c r="F7" s="20">
        <f t="shared" si="3"/>
        <v>0.45</v>
      </c>
      <c r="G7" s="20">
        <f t="shared" si="1"/>
        <v>0.55000000000000004</v>
      </c>
      <c r="H7" s="20">
        <f t="shared" si="2"/>
        <v>0</v>
      </c>
    </row>
    <row r="8" spans="1:8" x14ac:dyDescent="0.3">
      <c r="A8" t="s">
        <v>8412</v>
      </c>
      <c r="B8">
        <f>COUNTIFS(Kickstarter!$F:$F,"successful",Kickstarter!$D:$D,"&gt;=25000",Kickstarter!$D:$D,"&lt;30000",Kickstarter!$R:$R,"plays")</f>
        <v>1</v>
      </c>
      <c r="C8">
        <f>COUNTIFS(Kickstarter!$F:$F,"failed",Kickstarter!$D:$D,"&gt;=25000",Kickstarter!$D:$D,"&lt;30000",Kickstarter!$R:$R,"plays")</f>
        <v>4</v>
      </c>
      <c r="D8">
        <f>COUNTIFS(Kickstarter!$F:$F,"canceled",Kickstarter!$D:$D,"&gt;=25000",Kickstarter!$D:$D,"&lt;30000",Kickstarter!$R:$R,"plays")</f>
        <v>0</v>
      </c>
      <c r="E8">
        <f t="shared" si="0"/>
        <v>5</v>
      </c>
      <c r="F8" s="20">
        <f t="shared" si="3"/>
        <v>0.2</v>
      </c>
      <c r="G8" s="20">
        <f t="shared" si="1"/>
        <v>0.8</v>
      </c>
      <c r="H8" s="20">
        <f t="shared" si="2"/>
        <v>0</v>
      </c>
    </row>
    <row r="9" spans="1:8" x14ac:dyDescent="0.3">
      <c r="A9" t="s">
        <v>8413</v>
      </c>
      <c r="B9">
        <f>COUNTIFS(Kickstarter!$F:$F,"successful",Kickstarter!$D:$D,"&gt;=30000",Kickstarter!$D:$D,"&lt;35000",Kickstarter!$R:$R,"plays")</f>
        <v>3</v>
      </c>
      <c r="C9">
        <f>COUNTIFS(Kickstarter!$F:$F,"failed",Kickstarter!$D:$D,"&gt;=30000",Kickstarter!$D:$D,"&lt;35000",Kickstarter!$R:$R,"plays")</f>
        <v>8</v>
      </c>
      <c r="D9">
        <f>COUNTIFS(Kickstarter!$F:$F,"canceled",Kickstarter!$D:$D,"&gt;=30000",Kickstarter!$D:$D,"&lt;35000",Kickstarter!$R:$R,"plays")</f>
        <v>0</v>
      </c>
      <c r="E9">
        <f t="shared" si="0"/>
        <v>11</v>
      </c>
      <c r="F9" s="20">
        <f t="shared" si="3"/>
        <v>0.27272727272727271</v>
      </c>
      <c r="G9" s="20">
        <f t="shared" si="1"/>
        <v>0.72727272727272729</v>
      </c>
      <c r="H9" s="20">
        <f t="shared" si="2"/>
        <v>0</v>
      </c>
    </row>
    <row r="10" spans="1:8" x14ac:dyDescent="0.3">
      <c r="A10" t="s">
        <v>8414</v>
      </c>
      <c r="B10">
        <f>COUNTIFS(Kickstarter!$F:$F,"successful",Kickstarter!$D:$D,"&gt;=35000",Kickstarter!$D:$D,"&lt;40000",Kickstarter!$R:$R,"plays")</f>
        <v>4</v>
      </c>
      <c r="C10">
        <f>COUNTIFS(Kickstarter!$F:$F,"failed",Kickstarter!$D:$D,"&gt;=35000",Kickstarter!$D:$D,"&lt;40000",Kickstarter!$R:$R,"plays")</f>
        <v>2</v>
      </c>
      <c r="D10">
        <f>COUNTIFS(Kickstarter!$F:$F,"canceled",Kickstarter!$D:$D,"&gt;=35000",Kickstarter!$D:$D,"&lt;40000",Kickstarter!$R:$R,"plays")</f>
        <v>0</v>
      </c>
      <c r="E10">
        <f t="shared" si="0"/>
        <v>6</v>
      </c>
      <c r="F10" s="20">
        <f t="shared" si="3"/>
        <v>0.66666666666666663</v>
      </c>
      <c r="G10" s="20">
        <f t="shared" si="1"/>
        <v>0.33333333333333331</v>
      </c>
      <c r="H10" s="20">
        <f t="shared" si="2"/>
        <v>0</v>
      </c>
    </row>
    <row r="11" spans="1:8" x14ac:dyDescent="0.3">
      <c r="A11" t="s">
        <v>8415</v>
      </c>
      <c r="B11">
        <f>COUNTIFS(Kickstarter!$F:$F,"successful",Kickstarter!$D:$D,"&gt;=40000",Kickstarter!$D:$D,"&lt;45000",Kickstarter!$R:$R,"plays")</f>
        <v>2</v>
      </c>
      <c r="C11">
        <f>COUNTIFS(Kickstarter!$F:$F,"failed",Kickstarter!$D:$D,"&gt;=40000",Kickstarter!$D:$D,"&lt;45000",Kickstarter!$R:$R,"plays")</f>
        <v>1</v>
      </c>
      <c r="D11">
        <f>COUNTIFS(Kickstarter!$F:$F,"canceled",Kickstarter!$D:$D,"&gt;=40000",Kickstarter!$D:$D,"&lt;45000",Kickstarter!$R:$R,"plays")</f>
        <v>0</v>
      </c>
      <c r="E11">
        <f t="shared" si="0"/>
        <v>3</v>
      </c>
      <c r="F11" s="20">
        <f t="shared" si="3"/>
        <v>0.66666666666666663</v>
      </c>
      <c r="G11" s="20">
        <f t="shared" si="1"/>
        <v>0.33333333333333331</v>
      </c>
      <c r="H11" s="20">
        <f t="shared" si="2"/>
        <v>0</v>
      </c>
    </row>
    <row r="12" spans="1:8" x14ac:dyDescent="0.3">
      <c r="A12" t="s">
        <v>8416</v>
      </c>
      <c r="B12">
        <f>COUNTIFS(Kickstarter!$F:$F,"successful",Kickstarter!$D:$D,"&gt;=45000",Kickstarter!$D:$D,"&lt;50000",Kickstarter!$R:$R,"plays")</f>
        <v>0</v>
      </c>
      <c r="C12">
        <f>COUNTIFS(Kickstarter!$F:$F,"failed",Kickstarter!$D:$D,"&gt;=45000",Kickstarter!$D:$D,"&lt;50000",Kickstarter!$R:$R,"plays")</f>
        <v>1</v>
      </c>
      <c r="D12">
        <f>COUNTIFS(Kickstarter!$F:$F,"canceled",Kickstarter!$D:$D,"&gt;=45000",Kickstarter!$D:$D,"&lt;50000",Kickstarter!$R:$R,"plays")</f>
        <v>0</v>
      </c>
      <c r="E12">
        <f t="shared" si="0"/>
        <v>1</v>
      </c>
      <c r="F12" s="20">
        <f t="shared" si="3"/>
        <v>0</v>
      </c>
      <c r="G12" s="20">
        <f t="shared" si="1"/>
        <v>1</v>
      </c>
      <c r="H12" s="20">
        <f t="shared" si="2"/>
        <v>0</v>
      </c>
    </row>
    <row r="13" spans="1:8" x14ac:dyDescent="0.3">
      <c r="A13" t="s">
        <v>8417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20">
        <f t="shared" si="3"/>
        <v>0.125</v>
      </c>
      <c r="G13" s="20">
        <f t="shared" si="1"/>
        <v>0.875</v>
      </c>
      <c r="H13" s="20">
        <f t="shared" si="2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7FD4F-4AA0-4570-B84B-9B9A76B2162C}">
  <dimension ref="A1:C14"/>
  <sheetViews>
    <sheetView workbookViewId="0">
      <selection activeCell="C4" sqref="C4"/>
    </sheetView>
  </sheetViews>
  <sheetFormatPr defaultRowHeight="14.4" x14ac:dyDescent="0.3"/>
  <cols>
    <col min="1" max="1" width="25.88671875" bestFit="1" customWidth="1"/>
    <col min="2" max="2" width="11.109375" bestFit="1" customWidth="1"/>
    <col min="3" max="3" width="12.109375" bestFit="1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8387</v>
      </c>
      <c r="B2" s="18" t="e">
        <f>AVERAGE(#REF!)</f>
        <v>#REF!</v>
      </c>
      <c r="C2" s="18" t="e">
        <f>AVERAGE(#REF!)</f>
        <v>#REF!</v>
      </c>
    </row>
    <row r="3" spans="1:3" x14ac:dyDescent="0.3">
      <c r="A3" t="s">
        <v>8388</v>
      </c>
      <c r="B3" s="18" t="e">
        <f>MEDIAN(#REF!)</f>
        <v>#REF!</v>
      </c>
      <c r="C3" s="18" t="e">
        <f>MEDIAN(#REF!)</f>
        <v>#REF!</v>
      </c>
    </row>
    <row r="4" spans="1:3" x14ac:dyDescent="0.3">
      <c r="A4" t="s">
        <v>8395</v>
      </c>
      <c r="B4" s="18" t="e">
        <f>_xlfn.STDEV.P(#REF!)</f>
        <v>#REF!</v>
      </c>
      <c r="C4" s="18" t="e">
        <f>_xlfn.STDEV.P(#REF!)</f>
        <v>#REF!</v>
      </c>
    </row>
    <row r="5" spans="1:3" x14ac:dyDescent="0.3">
      <c r="A5" t="s">
        <v>8396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3">
      <c r="A6" t="s">
        <v>8397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3">
      <c r="A7" t="s">
        <v>8398</v>
      </c>
      <c r="B7" s="18" t="e">
        <f>B5-B6</f>
        <v>#REF!</v>
      </c>
      <c r="C7" s="18" t="e">
        <f>C5-C6</f>
        <v>#REF!</v>
      </c>
    </row>
    <row r="8" spans="1:3" x14ac:dyDescent="0.3">
      <c r="B8" s="18"/>
      <c r="C8" s="18"/>
    </row>
    <row r="9" spans="1:3" x14ac:dyDescent="0.3">
      <c r="A9" t="s">
        <v>8389</v>
      </c>
      <c r="B9" s="18" t="e">
        <f>AVERAGE(#REF!)</f>
        <v>#REF!</v>
      </c>
      <c r="C9" s="18" t="e">
        <f>AVERAGE(#REF!)</f>
        <v>#REF!</v>
      </c>
    </row>
    <row r="10" spans="1:3" x14ac:dyDescent="0.3">
      <c r="A10" t="s">
        <v>8390</v>
      </c>
      <c r="B10" s="18" t="e">
        <f>MEDIAN(#REF!)</f>
        <v>#REF!</v>
      </c>
      <c r="C10" s="18" t="e">
        <f>MEDIAN(#REF!)</f>
        <v>#REF!</v>
      </c>
    </row>
    <row r="11" spans="1:3" x14ac:dyDescent="0.3">
      <c r="A11" t="s">
        <v>8391</v>
      </c>
      <c r="B11" s="19" t="e">
        <f>_xlfn.STDEV.P(#REF!)</f>
        <v>#REF!</v>
      </c>
      <c r="C11" s="19" t="e">
        <f>_xlfn.STDEV.P(#REF!)</f>
        <v>#REF!</v>
      </c>
    </row>
    <row r="12" spans="1:3" x14ac:dyDescent="0.3">
      <c r="A12" t="s">
        <v>8392</v>
      </c>
      <c r="B12" s="19" t="e">
        <f>_xlfn.QUARTILE.EXC(#REF!,3)</f>
        <v>#REF!</v>
      </c>
      <c r="C12" s="19" t="e">
        <f>_xlfn.QUARTILE.EXC(#REF!,3)</f>
        <v>#REF!</v>
      </c>
    </row>
    <row r="13" spans="1:3" x14ac:dyDescent="0.3">
      <c r="A13" t="s">
        <v>8393</v>
      </c>
      <c r="B13" s="19" t="e">
        <f>_xlfn.QUARTILE.EXC(#REF!,1)</f>
        <v>#REF!</v>
      </c>
      <c r="C13" s="19" t="e">
        <f>_xlfn.QUARTILE.EXC(#REF!,1)</f>
        <v>#REF!</v>
      </c>
    </row>
    <row r="14" spans="1:3" x14ac:dyDescent="0.3">
      <c r="A14" t="s">
        <v>8394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A4446-5A57-4AF0-B02D-581A77B416CB}">
  <dimension ref="A1:F6"/>
  <sheetViews>
    <sheetView workbookViewId="0">
      <selection activeCell="A8" sqref="A8"/>
    </sheetView>
  </sheetViews>
  <sheetFormatPr defaultRowHeight="14.4" x14ac:dyDescent="0.3"/>
  <cols>
    <col min="1" max="1" width="30.5546875" bestFit="1" customWidth="1"/>
    <col min="2" max="2" width="117.21875" bestFit="1" customWidth="1"/>
    <col min="5" max="5" width="15.6640625" bestFit="1" customWidth="1"/>
  </cols>
  <sheetData>
    <row r="1" spans="1:6" x14ac:dyDescent="0.3">
      <c r="A1" t="s">
        <v>8380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3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 Kickstarter!B:P,15,FALSE)</f>
        <v>51.79</v>
      </c>
      <c r="F2">
        <f>VLOOKUP(A2, Kickstarter!B:P,11,FALSE)</f>
        <v>39</v>
      </c>
    </row>
    <row r="3" spans="1:6" x14ac:dyDescent="0.3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 Kickstarter!B:P,15,FALSE)</f>
        <v>36.07</v>
      </c>
      <c r="F3">
        <f>VLOOKUP(A3, Kickstarter!B:P,11,FALSE)</f>
        <v>56</v>
      </c>
    </row>
    <row r="4" spans="1:6" x14ac:dyDescent="0.3">
      <c r="A4" t="s">
        <v>8381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VLOOKUP(A4, Kickstarter!B:P,15,FALSE)</f>
        <v>33.03</v>
      </c>
      <c r="F4">
        <f>VLOOKUP(A4, Kickstarter!B:P,11,FALSE)</f>
        <v>78</v>
      </c>
    </row>
    <row r="5" spans="1:6" x14ac:dyDescent="0.3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VLOOKUP(A5, Kickstarter!B:P,15,FALSE)</f>
        <v>44.92</v>
      </c>
      <c r="F5">
        <f>VLOOKUP(A5, Kickstarter!B:P,11,FALSE)</f>
        <v>26</v>
      </c>
    </row>
    <row r="6" spans="1:6" x14ac:dyDescent="0.3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VLOOKUP(A6, Kickstarter!B:P,15,FALSE)</f>
        <v>36.61</v>
      </c>
      <c r="F6">
        <f>VLOOKUP(A6, 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93CDD-2B32-46E9-BF38-961AA54D208D}">
  <dimension ref="A1:F6"/>
  <sheetViews>
    <sheetView workbookViewId="0">
      <selection activeCell="C3" sqref="C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8363</v>
      </c>
      <c r="B3" s="13" t="s">
        <v>8360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B9B2A-33F4-40D7-8F14-C21DA63A2719}">
  <dimension ref="A1:E7"/>
  <sheetViews>
    <sheetView topLeftCell="A2"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3" t="s">
        <v>8222</v>
      </c>
      <c r="B1" t="s">
        <v>8223</v>
      </c>
    </row>
    <row r="2" spans="1:5" x14ac:dyDescent="0.3">
      <c r="A2" s="13" t="s">
        <v>8358</v>
      </c>
      <c r="B2" t="s">
        <v>8364</v>
      </c>
    </row>
    <row r="4" spans="1:5" x14ac:dyDescent="0.3">
      <c r="A4" s="13" t="s">
        <v>8363</v>
      </c>
      <c r="B4" s="13" t="s">
        <v>8360</v>
      </c>
    </row>
    <row r="5" spans="1:5" x14ac:dyDescent="0.3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3">
      <c r="A7" s="14" t="s">
        <v>8361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4C767-C610-4500-8243-6DEC4FC8D991}">
  <dimension ref="A1:F18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8358</v>
      </c>
      <c r="B1" t="s">
        <v>8315</v>
      </c>
    </row>
    <row r="2" spans="1:6" x14ac:dyDescent="0.3">
      <c r="A2" s="13" t="s">
        <v>8379</v>
      </c>
      <c r="B2" t="s">
        <v>8364</v>
      </c>
    </row>
    <row r="4" spans="1:6" x14ac:dyDescent="0.3">
      <c r="A4" s="13" t="s">
        <v>8363</v>
      </c>
      <c r="B4" s="13" t="s">
        <v>8360</v>
      </c>
    </row>
    <row r="5" spans="1:6" x14ac:dyDescent="0.3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">
      <c r="A18" s="17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Kickstarter</vt:lpstr>
      <vt:lpstr>Outcomes Based on Goals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Rafael Silva</cp:lastModifiedBy>
  <dcterms:created xsi:type="dcterms:W3CDTF">2017-04-20T15:17:24Z</dcterms:created>
  <dcterms:modified xsi:type="dcterms:W3CDTF">2022-06-16T21:47:00Z</dcterms:modified>
</cp:coreProperties>
</file>