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iar\OneDrive - Monsanto\Migrated from My PC\Desktop\"/>
    </mc:Choice>
  </mc:AlternateContent>
  <bookViews>
    <workbookView xWindow="-210" yWindow="-30" windowWidth="13260" windowHeight="6810" tabRatio="871" firstSheet="3" activeTab="3"/>
  </bookViews>
  <sheets>
    <sheet name="SUMMARY USD" sheetId="39" r:id="rId1"/>
    <sheet name="SUMMARY BRL" sheetId="27" r:id="rId2"/>
    <sheet name="SUMMARY USD Q3" sheetId="45" state="hidden" r:id="rId3"/>
    <sheet name="INPUT" sheetId="41" r:id="rId4"/>
    <sheet name="BAD DEBT All Business" sheetId="34" r:id="rId5"/>
    <sheet name="FUNNEL CP LP" sheetId="40" r:id="rId6"/>
    <sheet name="FUNNEL BAD DEBT" sheetId="38" r:id="rId7"/>
    <sheet name="BAD DEBT 4168 9280" sheetId="30" r:id="rId8"/>
    <sheet name="BAD DEBT 9115" sheetId="29" r:id="rId9"/>
    <sheet name="BAD DEBT 4168 9282" sheetId="36" r:id="rId10"/>
    <sheet name="BAD DEBT 4168 9290" sheetId="37" r:id="rId11"/>
    <sheet name="BAD DEBT 4188 9280" sheetId="32" r:id="rId12"/>
    <sheet name="BAD DEBT 4188 9117" sheetId="33" r:id="rId13"/>
    <sheet name="BAD DEBT 4188 9282" sheetId="42" r:id="rId14"/>
    <sheet name="BAD DEBT 9130" sheetId="35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_DAT10">#REF!</definedName>
    <definedName name="__DAT11">#REF!</definedName>
    <definedName name="__DAT12">#REF!</definedName>
    <definedName name="__DAT13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DAT1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0">#REF!</definedName>
    <definedName name="_xlnm._FilterDatabase" localSheetId="6" hidden="1">'FUNNEL BAD DEBT'!$A$1:$AY$37</definedName>
    <definedName name="DATA1">#REF!</definedName>
    <definedName name="DATA10">#REF!</definedName>
    <definedName name="DATA11">[1]SPB74003!#REF!</definedName>
    <definedName name="DATA12">[1]SPB74003!#REF!</definedName>
    <definedName name="DATA13">[1]SPB74003!#REF!</definedName>
    <definedName name="DATA15">[1]SPB74003!#REF!</definedName>
    <definedName name="DATA16">[1]SPB74003!#REF!</definedName>
    <definedName name="DATA17">[1]SPB74003!#REF!</definedName>
    <definedName name="DATA18">[1]SPB74003!#REF!</definedName>
    <definedName name="DATA2">#REF!</definedName>
    <definedName name="DATA20">[1]SPB74003!#REF!</definedName>
    <definedName name="DATA21">[1]SPB74003!#REF!</definedName>
    <definedName name="DATA23">[1]SPB74003!#REF!</definedName>
    <definedName name="DATA24">[1]SPB74003!#REF!</definedName>
    <definedName name="DATA25">[1]SPB74003!#REF!</definedName>
    <definedName name="DATA26">[1]SPB74003!#REF!</definedName>
    <definedName name="DATA27">[1]SPB74003!#REF!</definedName>
    <definedName name="DATA28">[1]SPB74003!#REF!</definedName>
    <definedName name="DATA29">[1]SPB74003!#REF!</definedName>
    <definedName name="DATA3">#REF!</definedName>
    <definedName name="DATA30">[1]SPB74003!#REF!</definedName>
    <definedName name="DATA31">[1]SPB74003!#REF!</definedName>
    <definedName name="DATA32">[1]SPB74003!#REF!</definedName>
    <definedName name="DATA33">[1]SPB74003!#REF!</definedName>
    <definedName name="DATA34">[1]SPB74003!#REF!</definedName>
    <definedName name="DATA36">[1]SPB74003!#REF!</definedName>
    <definedName name="DATA37">[1]SPB74003!#REF!</definedName>
    <definedName name="DATA38">[1]SPB74003!#REF!</definedName>
    <definedName name="DATA39">[1]SPB74003!#REF!</definedName>
    <definedName name="DATA4">[1]SPB74003!#REF!</definedName>
    <definedName name="DATA40">[1]SPB74003!#REF!</definedName>
    <definedName name="DATA41">[1]SPB74003!#REF!</definedName>
    <definedName name="DATA42">[1]SPB74003!#REF!</definedName>
    <definedName name="DATA43">[1]SPB74003!#REF!</definedName>
    <definedName name="DATA44">[1]SPB74003!#REF!</definedName>
    <definedName name="DATA45">[1]SPB74003!#REF!</definedName>
    <definedName name="DATA46">[1]SPB74003!#REF!</definedName>
    <definedName name="DATA47">[1]SPB74003!#REF!</definedName>
    <definedName name="DATA48">[1]SPB74003!#REF!</definedName>
    <definedName name="DATA5">#REF!</definedName>
    <definedName name="DATA50">[1]SPB74003!#REF!</definedName>
    <definedName name="DATA51">[1]SPB74003!#REF!</definedName>
    <definedName name="DATA52">[1]SPB74003!#REF!</definedName>
    <definedName name="DATA53">[1]SPB74003!#REF!</definedName>
    <definedName name="DATA55">[1]SPB74003!#REF!</definedName>
    <definedName name="DATA56">[1]SPB74003!#REF!</definedName>
    <definedName name="DATA58">[1]SPB74003!#REF!</definedName>
    <definedName name="DATA59">[1]SPB74003!#REF!</definedName>
    <definedName name="DATA6">#REF!</definedName>
    <definedName name="DATA60">[1]SPB74003!#REF!</definedName>
    <definedName name="DATA61">[1]SPB74003!#REF!</definedName>
    <definedName name="DATA62">[1]SPB74003!#REF!</definedName>
    <definedName name="DATA63">[1]SPB74003!#REF!</definedName>
    <definedName name="DATA64">[1]SPB74003!#REF!</definedName>
    <definedName name="DATA65">[1]SPB74003!#REF!</definedName>
    <definedName name="DATA66">[1]SPB74003!#REF!</definedName>
    <definedName name="DATA67">[1]SPB74003!#REF!</definedName>
    <definedName name="DATA68">[1]SPB74003!#REF!</definedName>
    <definedName name="DATA69">[1]SPB74003!#REF!</definedName>
    <definedName name="DATA7">[1]SPB74003!#REF!</definedName>
    <definedName name="DATA70">[1]SPB74003!#REF!</definedName>
    <definedName name="DATA71">[1]SPB74003!#REF!</definedName>
    <definedName name="DATA77">[1]SPB74003!#REF!</definedName>
    <definedName name="DATA78">[1]SPB74003!#REF!</definedName>
    <definedName name="DATA79">[1]SPB74003!#REF!</definedName>
    <definedName name="DATA8">[1]SPB74003!#REF!</definedName>
    <definedName name="DATA80">[1]SPB74003!#REF!</definedName>
    <definedName name="DATA81">[1]SPB74003!#REF!</definedName>
    <definedName name="DATA82">[1]SPB74003!#REF!</definedName>
    <definedName name="DATA83">[1]SPB74003!#REF!</definedName>
    <definedName name="DATA84">[1]SPB74003!#REF!</definedName>
    <definedName name="DATA85">[1]SPB74003!#REF!</definedName>
    <definedName name="DATA86">[1]SPB74003!#REF!</definedName>
    <definedName name="DATA87">[1]SPB74003!#REF!</definedName>
    <definedName name="DATA88">[1]SPB74003!#REF!</definedName>
    <definedName name="DATA89">[1]SPB74003!#REF!</definedName>
    <definedName name="DATA9">[1]SPB74003!#REF!</definedName>
    <definedName name="DATA90">[1]SPB74003!#REF!</definedName>
    <definedName name="DATA91">[1]SPB74003!#REF!</definedName>
    <definedName name="DATA92">[1]SPB74003!#REF!</definedName>
    <definedName name="DEV_FY03">#REF!</definedName>
    <definedName name="MODALIDADE">[2]Referencias!$F$3:$F$10</definedName>
    <definedName name="MOVCRAGO02">#REF!</definedName>
    <definedName name="Pfat">#REF!</definedName>
    <definedName name="_xlnm.Print_Area" localSheetId="7">'BAD DEBT 4168 9280'!$B$1:$P$52</definedName>
    <definedName name="_xlnm.Print_Area" localSheetId="9">'BAD DEBT 4168 9282'!$B$1:$P$51</definedName>
    <definedName name="_xlnm.Print_Area" localSheetId="10">'BAD DEBT 4168 9290'!$B$1:$P$51</definedName>
    <definedName name="_xlnm.Print_Area" localSheetId="12">'BAD DEBT 4188 9117'!$B$1:$P$51</definedName>
    <definedName name="_xlnm.Print_Area" localSheetId="11">'BAD DEBT 4188 9280'!$B$1:$P$51</definedName>
    <definedName name="_xlnm.Print_Area" localSheetId="13">'BAD DEBT 4188 9282'!$B$1:$P$51</definedName>
    <definedName name="_xlnm.Print_Area" localSheetId="8">'BAD DEBT 9115'!$B$1:$P$52</definedName>
    <definedName name="_xlnm.Print_Area" localSheetId="14">'BAD DEBT 9130'!$B$1:$P$51</definedName>
    <definedName name="_xlnm.Print_Area" localSheetId="4">'BAD DEBT All Business'!$B$6:$O$80</definedName>
    <definedName name="_xlnm.Print_Area" localSheetId="1">'SUMMARY BRL'!#REF!</definedName>
    <definedName name="_xlnm.Print_Area" localSheetId="0">'SUMMARY USD'!#REF!</definedName>
    <definedName name="_xlnm.Print_Area" localSheetId="2">'SUMMARY USD Q3'!#REF!</definedName>
    <definedName name="q">#REF!</definedName>
    <definedName name="TEST0">#REF!</definedName>
    <definedName name="TEST10">[3]PFAT!#REF!</definedName>
    <definedName name="TEST15">[3]PFAT!#REF!</definedName>
    <definedName name="TEST17">[3]PFAT!#REF!</definedName>
    <definedName name="TEST2">[1]SPB74003!#REF!</definedName>
    <definedName name="TEST3">[1]SPB74003!#REF!</definedName>
    <definedName name="TEST4">[1]SPB74003!#REF!</definedName>
    <definedName name="TEST9">[3]PFAT!#REF!</definedName>
    <definedName name="TESTHKEY">#REF!</definedName>
    <definedName name="TESTKEYS">#REF!</definedName>
    <definedName name="TESTVKEY">#REF!</definedName>
    <definedName name="Unidade_de_Negócio">[2]Referencias!$B$3:$B$8</definedName>
    <definedName name="Vencimento">[2]Referencias!$D$3:$D$15</definedName>
    <definedName name="VENDAS">#REF!</definedName>
  </definedNames>
  <calcPr calcId="171027"/>
</workbook>
</file>

<file path=xl/calcChain.xml><?xml version="1.0" encoding="utf-8"?>
<calcChain xmlns="http://schemas.openxmlformats.org/spreadsheetml/2006/main">
  <c r="O30" i="36" l="1"/>
  <c r="P23" i="36"/>
  <c r="N29" i="36"/>
  <c r="N27" i="36"/>
  <c r="P27" i="36"/>
  <c r="O27" i="36"/>
  <c r="R12" i="29"/>
  <c r="L17" i="36" l="1"/>
  <c r="L14" i="36"/>
  <c r="L23" i="36"/>
  <c r="L18" i="36"/>
  <c r="M27" i="36"/>
  <c r="M26" i="36"/>
  <c r="O23" i="36"/>
  <c r="Q35" i="33"/>
  <c r="P17" i="36" l="1"/>
  <c r="P10" i="41" l="1"/>
  <c r="M23" i="36"/>
  <c r="O10" i="41"/>
  <c r="P16" i="41" l="1"/>
  <c r="O16" i="41"/>
  <c r="O13" i="41"/>
  <c r="O12" i="41"/>
  <c r="O9" i="41"/>
  <c r="O7" i="41"/>
  <c r="O14" i="41" l="1"/>
  <c r="O11" i="41"/>
  <c r="O8" i="41"/>
  <c r="Q14" i="41" l="1"/>
  <c r="M14" i="41"/>
  <c r="Q13" i="41"/>
  <c r="M13" i="41"/>
  <c r="Q12" i="41"/>
  <c r="M12" i="41"/>
  <c r="Q11" i="41"/>
  <c r="M11" i="41"/>
  <c r="Q10" i="41"/>
  <c r="M10" i="41"/>
  <c r="Q9" i="41"/>
  <c r="M9" i="41"/>
  <c r="Q8" i="41"/>
  <c r="M8" i="41"/>
  <c r="Q7" i="41"/>
  <c r="M7" i="41"/>
  <c r="D23" i="45"/>
  <c r="D23" i="39"/>
  <c r="G85" i="41"/>
  <c r="G84" i="41"/>
  <c r="G83" i="41"/>
  <c r="G82" i="41"/>
  <c r="G81" i="41"/>
  <c r="G80" i="41"/>
  <c r="G79" i="41"/>
  <c r="G78" i="41"/>
  <c r="G77" i="41"/>
  <c r="G76" i="41"/>
  <c r="G51" i="41"/>
  <c r="G50" i="41"/>
  <c r="G49" i="41"/>
  <c r="G48" i="41"/>
  <c r="G47" i="41"/>
  <c r="G46" i="41"/>
  <c r="G45" i="41"/>
  <c r="G44" i="41"/>
  <c r="G43" i="41"/>
  <c r="G42" i="41"/>
  <c r="G41" i="41"/>
  <c r="G39" i="41"/>
  <c r="G38" i="41"/>
  <c r="G37" i="41"/>
  <c r="G36" i="41"/>
  <c r="G35" i="41"/>
  <c r="G34" i="41"/>
  <c r="G33" i="41"/>
  <c r="G32" i="41"/>
  <c r="G31" i="41"/>
  <c r="G30" i="41"/>
  <c r="G29" i="41"/>
  <c r="G16" i="41"/>
  <c r="G15" i="41"/>
  <c r="G14" i="41"/>
  <c r="G13" i="41"/>
  <c r="G12" i="41"/>
  <c r="G11" i="41"/>
  <c r="G10" i="41"/>
  <c r="G9" i="41"/>
  <c r="G8" i="41"/>
  <c r="G7" i="41"/>
  <c r="D7" i="41"/>
  <c r="D85" i="41"/>
  <c r="D84" i="41"/>
  <c r="D83" i="41"/>
  <c r="D82" i="41"/>
  <c r="D81" i="41"/>
  <c r="D80" i="41"/>
  <c r="D79" i="41"/>
  <c r="D78" i="41"/>
  <c r="D77" i="41"/>
  <c r="D76" i="41"/>
  <c r="D51" i="41"/>
  <c r="D50" i="41"/>
  <c r="D49" i="41"/>
  <c r="D48" i="41"/>
  <c r="D47" i="41"/>
  <c r="D46" i="41"/>
  <c r="D45" i="41"/>
  <c r="D44" i="41"/>
  <c r="D43" i="41"/>
  <c r="D42" i="41"/>
  <c r="D41" i="41"/>
  <c r="D39" i="41"/>
  <c r="D38" i="41"/>
  <c r="D37" i="41"/>
  <c r="D36" i="41"/>
  <c r="D35" i="41"/>
  <c r="D34" i="41"/>
  <c r="D33" i="41"/>
  <c r="D32" i="41"/>
  <c r="D31" i="41"/>
  <c r="D30" i="41"/>
  <c r="D29" i="41"/>
  <c r="D16" i="41"/>
  <c r="D15" i="41"/>
  <c r="D14" i="41"/>
  <c r="D13" i="41"/>
  <c r="D12" i="41"/>
  <c r="D11" i="41"/>
  <c r="D10" i="41"/>
  <c r="D9" i="41"/>
  <c r="D8" i="41"/>
  <c r="N16" i="41" l="1"/>
  <c r="L1" i="39" l="1"/>
  <c r="B9" i="38" l="1"/>
  <c r="A9" i="38"/>
  <c r="A17" i="38" l="1"/>
  <c r="B17" i="38"/>
  <c r="A27" i="38"/>
  <c r="B27" i="38"/>
  <c r="A37" i="38"/>
  <c r="B37" i="38"/>
  <c r="N50" i="34" l="1"/>
  <c r="M50" i="34"/>
  <c r="N44" i="34"/>
  <c r="M44" i="34"/>
  <c r="J49" i="34" l="1"/>
  <c r="J48" i="34"/>
  <c r="J47" i="34"/>
  <c r="J46" i="34"/>
  <c r="J45" i="34"/>
  <c r="J43" i="34"/>
  <c r="J42" i="34"/>
  <c r="J41" i="34"/>
  <c r="G45" i="34"/>
  <c r="H45" i="34"/>
  <c r="G46" i="34"/>
  <c r="H46" i="34"/>
  <c r="G47" i="34"/>
  <c r="H47" i="34"/>
  <c r="G48" i="34"/>
  <c r="H48" i="34"/>
  <c r="I48" i="34"/>
  <c r="K48" i="34"/>
  <c r="L48" i="34"/>
  <c r="G49" i="34"/>
  <c r="H49" i="34"/>
  <c r="G41" i="34"/>
  <c r="H41" i="34"/>
  <c r="G42" i="34"/>
  <c r="H42" i="34"/>
  <c r="I42" i="34"/>
  <c r="K42" i="34"/>
  <c r="L42" i="34"/>
  <c r="G43" i="34"/>
  <c r="H43" i="34"/>
  <c r="I43" i="34"/>
  <c r="K43" i="34"/>
  <c r="L43" i="34"/>
  <c r="F48" i="34"/>
  <c r="F43" i="34"/>
  <c r="F42" i="34"/>
  <c r="H41" i="38" l="1"/>
  <c r="D64" i="41" l="1"/>
  <c r="M26" i="41" l="1"/>
  <c r="N57" i="32" l="1"/>
  <c r="J47" i="29" l="1"/>
  <c r="J46" i="29"/>
  <c r="J45" i="29"/>
  <c r="J50" i="30"/>
  <c r="J49" i="30"/>
  <c r="J48" i="30"/>
  <c r="J7" i="29"/>
  <c r="J8" i="29"/>
  <c r="J9" i="29"/>
  <c r="J18" i="30"/>
  <c r="J19" i="30"/>
  <c r="J20" i="30"/>
  <c r="J18" i="36"/>
  <c r="J19" i="36"/>
  <c r="J20" i="36"/>
  <c r="V55" i="34" l="1"/>
  <c r="U30" i="34"/>
  <c r="U29" i="34"/>
  <c r="Y9" i="34"/>
  <c r="N26" i="41" l="1"/>
  <c r="N26" i="45" l="1"/>
  <c r="M26" i="45"/>
  <c r="L26" i="45"/>
  <c r="K26" i="45"/>
  <c r="J26" i="45"/>
  <c r="I26" i="45"/>
  <c r="H26" i="45"/>
  <c r="G26" i="45"/>
  <c r="F26" i="45"/>
  <c r="N24" i="45"/>
  <c r="M24" i="45"/>
  <c r="L24" i="45"/>
  <c r="K24" i="45"/>
  <c r="J24" i="45"/>
  <c r="I24" i="45"/>
  <c r="H24" i="45"/>
  <c r="G24" i="45"/>
  <c r="F24" i="45"/>
  <c r="L23" i="45"/>
  <c r="K23" i="45"/>
  <c r="I23" i="45"/>
  <c r="H23" i="45"/>
  <c r="G23" i="45"/>
  <c r="F23" i="45"/>
  <c r="E23" i="45"/>
  <c r="L22" i="45"/>
  <c r="K22" i="45"/>
  <c r="I22" i="45"/>
  <c r="H22" i="45"/>
  <c r="G22" i="45"/>
  <c r="F22" i="45"/>
  <c r="L21" i="45"/>
  <c r="K21" i="45"/>
  <c r="I21" i="45"/>
  <c r="H21" i="45"/>
  <c r="G21" i="45"/>
  <c r="F21" i="45"/>
  <c r="N18" i="45"/>
  <c r="M18" i="45"/>
  <c r="L18" i="45"/>
  <c r="K18" i="45"/>
  <c r="I18" i="45"/>
  <c r="H18" i="45"/>
  <c r="G18" i="45"/>
  <c r="F18" i="45"/>
  <c r="N17" i="45"/>
  <c r="M17" i="45"/>
  <c r="L17" i="45"/>
  <c r="K17" i="45"/>
  <c r="I17" i="45"/>
  <c r="H17" i="45"/>
  <c r="G17" i="45"/>
  <c r="F17" i="45"/>
  <c r="L16" i="45"/>
  <c r="K16" i="45"/>
  <c r="I16" i="45"/>
  <c r="H16" i="45"/>
  <c r="G16" i="45"/>
  <c r="F16" i="45"/>
  <c r="L15" i="45"/>
  <c r="K15" i="45"/>
  <c r="I15" i="45"/>
  <c r="H15" i="45"/>
  <c r="G15" i="45"/>
  <c r="F15" i="45"/>
  <c r="L14" i="45"/>
  <c r="K14" i="45"/>
  <c r="I14" i="45"/>
  <c r="H14" i="45"/>
  <c r="G14" i="45"/>
  <c r="F14" i="45"/>
  <c r="L13" i="45"/>
  <c r="K13" i="45"/>
  <c r="I13" i="45"/>
  <c r="H13" i="45"/>
  <c r="G13" i="45"/>
  <c r="F13" i="45"/>
  <c r="L12" i="45"/>
  <c r="K12" i="45"/>
  <c r="I12" i="45"/>
  <c r="H12" i="45"/>
  <c r="G12" i="45"/>
  <c r="F12" i="45"/>
  <c r="N11" i="45"/>
  <c r="M11" i="45"/>
  <c r="L11" i="45"/>
  <c r="K11" i="45"/>
  <c r="I11" i="45"/>
  <c r="H11" i="45"/>
  <c r="G11" i="45"/>
  <c r="F11" i="45"/>
  <c r="L10" i="45"/>
  <c r="K10" i="45"/>
  <c r="I10" i="45"/>
  <c r="H10" i="45"/>
  <c r="G10" i="45"/>
  <c r="F10" i="45"/>
  <c r="L9" i="45"/>
  <c r="K9" i="45"/>
  <c r="I9" i="45"/>
  <c r="H9" i="45"/>
  <c r="G9" i="45"/>
  <c r="F9" i="45"/>
  <c r="L8" i="45"/>
  <c r="K8" i="45"/>
  <c r="I8" i="45"/>
  <c r="H8" i="45"/>
  <c r="G8" i="45"/>
  <c r="F8" i="45"/>
  <c r="J17" i="45" l="1"/>
  <c r="J18" i="45"/>
  <c r="M48" i="29" l="1"/>
  <c r="M51" i="30"/>
  <c r="F46" i="29"/>
  <c r="F49" i="30"/>
  <c r="N23" i="30" l="1"/>
  <c r="D86" i="41" l="1"/>
  <c r="M23" i="30" l="1"/>
  <c r="S11" i="29" l="1"/>
  <c r="J10" i="29" l="1"/>
  <c r="J11" i="29"/>
  <c r="J22" i="42" l="1"/>
  <c r="J21" i="42"/>
  <c r="J20" i="42"/>
  <c r="J19" i="42"/>
  <c r="J18" i="42"/>
  <c r="J22" i="32"/>
  <c r="J21" i="32"/>
  <c r="J20" i="32"/>
  <c r="J19" i="32"/>
  <c r="J18" i="32"/>
  <c r="J33" i="33"/>
  <c r="J32" i="33"/>
  <c r="J31" i="33"/>
  <c r="J30" i="33"/>
  <c r="J29" i="33"/>
  <c r="J22" i="36"/>
  <c r="J21" i="36"/>
  <c r="J22" i="30"/>
  <c r="J21" i="30"/>
  <c r="J11" i="35"/>
  <c r="J10" i="35"/>
  <c r="J8" i="35"/>
  <c r="J9" i="35"/>
  <c r="J7" i="35"/>
  <c r="N12" i="29" l="1"/>
  <c r="N23" i="32"/>
  <c r="N24" i="32"/>
  <c r="M12" i="29" l="1"/>
  <c r="O12" i="29" s="1"/>
  <c r="N23" i="37" l="1"/>
  <c r="B3" i="40" l="1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2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4" i="40"/>
  <c r="A3" i="40"/>
  <c r="F48" i="30" l="1"/>
  <c r="F45" i="29"/>
  <c r="U41" i="38" l="1"/>
  <c r="V41" i="38" s="1"/>
  <c r="K90" i="34" l="1"/>
  <c r="O51" i="30" l="1"/>
  <c r="O17" i="42" l="1"/>
  <c r="M12" i="35" l="1"/>
  <c r="B23" i="38" l="1"/>
  <c r="A23" i="38"/>
  <c r="X20" i="38"/>
  <c r="B20" i="38"/>
  <c r="B30" i="38"/>
  <c r="A30" i="38"/>
  <c r="B32" i="38"/>
  <c r="A32" i="38"/>
  <c r="A28" i="38"/>
  <c r="B28" i="38"/>
  <c r="A29" i="38"/>
  <c r="B29" i="38"/>
  <c r="A31" i="38"/>
  <c r="B31" i="38"/>
  <c r="A33" i="38"/>
  <c r="B33" i="38"/>
  <c r="A34" i="38"/>
  <c r="B34" i="38"/>
  <c r="A35" i="38"/>
  <c r="B35" i="38"/>
  <c r="A36" i="38"/>
  <c r="B36" i="38"/>
  <c r="X19" i="38" l="1"/>
  <c r="X30" i="38" s="1"/>
  <c r="X29" i="38" l="1"/>
  <c r="X28" i="38"/>
  <c r="F9" i="41" l="1"/>
  <c r="F13" i="41"/>
  <c r="F14" i="41"/>
  <c r="F18" i="41"/>
  <c r="F19" i="41"/>
  <c r="F20" i="41"/>
  <c r="F21" i="41"/>
  <c r="F22" i="41"/>
  <c r="F23" i="41"/>
  <c r="F24" i="41"/>
  <c r="F25" i="41"/>
  <c r="F26" i="41"/>
  <c r="F27" i="41"/>
  <c r="F83" i="41" l="1"/>
  <c r="F82" i="41"/>
  <c r="F80" i="41"/>
  <c r="F79" i="41"/>
  <c r="F78" i="41"/>
  <c r="F72" i="41"/>
  <c r="F71" i="41"/>
  <c r="F69" i="41"/>
  <c r="F68" i="41"/>
  <c r="F67" i="41"/>
  <c r="F62" i="41"/>
  <c r="F61" i="41"/>
  <c r="F60" i="41"/>
  <c r="F59" i="41"/>
  <c r="F58" i="41"/>
  <c r="F57" i="41"/>
  <c r="F56" i="41"/>
  <c r="F55" i="41"/>
  <c r="F54" i="41"/>
  <c r="F53" i="41"/>
  <c r="F49" i="41"/>
  <c r="F48" i="41"/>
  <c r="F46" i="41"/>
  <c r="F45" i="41"/>
  <c r="F44" i="41"/>
  <c r="F43" i="41"/>
  <c r="F37" i="41"/>
  <c r="F36" i="41"/>
  <c r="F34" i="41"/>
  <c r="F33" i="41"/>
  <c r="F32" i="41"/>
  <c r="F31" i="41"/>
  <c r="G54" i="36" l="1"/>
  <c r="J14" i="36" l="1"/>
  <c r="M17" i="36" l="1"/>
  <c r="L9" i="41"/>
  <c r="M24" i="36" l="1"/>
  <c r="O17" i="36"/>
  <c r="H21" i="27" l="1"/>
  <c r="H20" i="27"/>
  <c r="H19" i="27"/>
  <c r="G21" i="27"/>
  <c r="G20" i="27"/>
  <c r="G19" i="27"/>
  <c r="J74" i="34"/>
  <c r="J78" i="34" s="1"/>
  <c r="N79" i="34"/>
  <c r="F78" i="34"/>
  <c r="F77" i="34"/>
  <c r="F76" i="34"/>
  <c r="F48" i="29" l="1"/>
  <c r="I49" i="30"/>
  <c r="L49" i="30" s="1"/>
  <c r="K49" i="30" l="1"/>
  <c r="L77" i="34"/>
  <c r="K77" i="34" s="1"/>
  <c r="F74" i="34" l="1"/>
  <c r="F21" i="27" l="1"/>
  <c r="I74" i="34"/>
  <c r="E23" i="39" l="1"/>
  <c r="G23" i="39" l="1"/>
  <c r="H23" i="39"/>
  <c r="F23" i="39"/>
  <c r="I47" i="29" l="1"/>
  <c r="L47" i="29" s="1"/>
  <c r="X21" i="38" l="1"/>
  <c r="X32" i="38" l="1"/>
  <c r="X31" i="38"/>
  <c r="X22" i="38"/>
  <c r="I21" i="27"/>
  <c r="X33" i="38" l="1"/>
  <c r="X23" i="38"/>
  <c r="K47" i="29"/>
  <c r="L74" i="34"/>
  <c r="I23" i="39"/>
  <c r="X24" i="38"/>
  <c r="X34" i="38" s="1"/>
  <c r="J16" i="34"/>
  <c r="K74" i="34" l="1"/>
  <c r="X25" i="38"/>
  <c r="X35" i="38" s="1"/>
  <c r="X26" i="38" l="1"/>
  <c r="N75" i="34"/>
  <c r="X36" i="38" l="1"/>
  <c r="X27" i="38"/>
  <c r="X37" i="38" s="1"/>
  <c r="M22" i="27"/>
  <c r="G32" i="33" l="1"/>
  <c r="N34" i="33"/>
  <c r="N40" i="33" l="1"/>
  <c r="M22" i="34" l="1"/>
  <c r="M11" i="34"/>
  <c r="H52" i="34" l="1"/>
  <c r="H22" i="37"/>
  <c r="H54" i="34"/>
  <c r="H53" i="34"/>
  <c r="H32" i="34"/>
  <c r="H31" i="34"/>
  <c r="H30" i="34"/>
  <c r="M33" i="34"/>
  <c r="O40" i="42"/>
  <c r="N40" i="42"/>
  <c r="O39" i="42"/>
  <c r="N39" i="42"/>
  <c r="N40" i="32"/>
  <c r="N39" i="32"/>
  <c r="N36" i="32"/>
  <c r="N41" i="32" l="1"/>
  <c r="O41" i="42"/>
  <c r="N41" i="42"/>
  <c r="H44" i="34"/>
  <c r="M51" i="34"/>
  <c r="N28" i="33" l="1"/>
  <c r="N39" i="37"/>
  <c r="N40" i="37"/>
  <c r="N39" i="36"/>
  <c r="N35" i="33" l="1"/>
  <c r="N36" i="33" s="1"/>
  <c r="M55" i="34"/>
  <c r="M66" i="34" s="1"/>
  <c r="N39" i="33"/>
  <c r="N41" i="33" s="1"/>
  <c r="N24" i="37"/>
  <c r="N36" i="37" s="1"/>
  <c r="N41" i="37"/>
  <c r="M61" i="34" l="1"/>
  <c r="M62" i="34" s="1"/>
  <c r="N39" i="30"/>
  <c r="N40" i="30" l="1"/>
  <c r="N41" i="30" s="1"/>
  <c r="M28" i="34"/>
  <c r="M29" i="34" s="1"/>
  <c r="N24" i="30"/>
  <c r="N36" i="30" s="1"/>
  <c r="H21" i="34"/>
  <c r="N39" i="29" l="1"/>
  <c r="H20" i="34"/>
  <c r="H19" i="34"/>
  <c r="H22" i="34" l="1"/>
  <c r="N39" i="35"/>
  <c r="N13" i="29" l="1"/>
  <c r="N36" i="29" l="1"/>
  <c r="N40" i="29"/>
  <c r="N41" i="29" s="1"/>
  <c r="N12" i="35"/>
  <c r="O12" i="35" s="1"/>
  <c r="N13" i="35" l="1"/>
  <c r="M17" i="34" s="1"/>
  <c r="M18" i="34" l="1"/>
  <c r="N40" i="35"/>
  <c r="N36" i="35"/>
  <c r="H33" i="34"/>
  <c r="N41" i="35" l="1"/>
  <c r="H50" i="42"/>
  <c r="G50" i="42"/>
  <c r="F50" i="42"/>
  <c r="J49" i="42" l="1"/>
  <c r="I49" i="42"/>
  <c r="J48" i="42"/>
  <c r="I48" i="42"/>
  <c r="H47" i="42"/>
  <c r="G47" i="42"/>
  <c r="F47" i="42"/>
  <c r="J46" i="42"/>
  <c r="I46" i="42"/>
  <c r="J45" i="42"/>
  <c r="I45" i="42"/>
  <c r="M40" i="42"/>
  <c r="L49" i="42" l="1"/>
  <c r="K49" i="42" s="1"/>
  <c r="L48" i="42"/>
  <c r="K48" i="42" s="1"/>
  <c r="L45" i="42"/>
  <c r="L46" i="42"/>
  <c r="K46" i="42" s="1"/>
  <c r="M39" i="42"/>
  <c r="M41" i="42" s="1"/>
  <c r="M35" i="42"/>
  <c r="H34" i="42"/>
  <c r="G34" i="42"/>
  <c r="F34" i="42"/>
  <c r="I33" i="42"/>
  <c r="I32" i="42"/>
  <c r="I31" i="42"/>
  <c r="I30" i="42"/>
  <c r="I29" i="42"/>
  <c r="L50" i="42" l="1"/>
  <c r="L47" i="42"/>
  <c r="K45" i="42"/>
  <c r="K47" i="42" s="1"/>
  <c r="I47" i="42" s="1"/>
  <c r="K50" i="42"/>
  <c r="I50" i="42" s="1"/>
  <c r="M50" i="42"/>
  <c r="G28" i="42"/>
  <c r="F28" i="42"/>
  <c r="I27" i="42"/>
  <c r="I26" i="42"/>
  <c r="I25" i="42"/>
  <c r="M24" i="42"/>
  <c r="H23" i="42"/>
  <c r="G23" i="42"/>
  <c r="I21" i="42"/>
  <c r="L51" i="42" l="1"/>
  <c r="P50" i="42"/>
  <c r="G17" i="42"/>
  <c r="I16" i="42"/>
  <c r="I15" i="42"/>
  <c r="M13" i="42"/>
  <c r="H12" i="42"/>
  <c r="G12" i="42"/>
  <c r="F12" i="42"/>
  <c r="I11" i="42"/>
  <c r="I10" i="42"/>
  <c r="I9" i="42"/>
  <c r="I8" i="42"/>
  <c r="I7" i="42"/>
  <c r="G6" i="42" l="1"/>
  <c r="F6" i="42"/>
  <c r="I5" i="42"/>
  <c r="I4" i="42"/>
  <c r="I3" i="42"/>
  <c r="I6" i="42" l="1"/>
  <c r="H50" i="32" l="1"/>
  <c r="G50" i="32"/>
  <c r="F50" i="32"/>
  <c r="F51" i="32" s="1"/>
  <c r="J49" i="32"/>
  <c r="I49" i="32"/>
  <c r="J48" i="32"/>
  <c r="I48" i="32"/>
  <c r="H47" i="32"/>
  <c r="G47" i="32"/>
  <c r="G51" i="32" s="1"/>
  <c r="F47" i="32"/>
  <c r="J46" i="32"/>
  <c r="I46" i="32"/>
  <c r="J45" i="32"/>
  <c r="I45" i="32"/>
  <c r="M35" i="32"/>
  <c r="H34" i="32"/>
  <c r="H35" i="32" s="1"/>
  <c r="G34" i="32"/>
  <c r="F34" i="32"/>
  <c r="I33" i="32"/>
  <c r="I32" i="32"/>
  <c r="I31" i="32"/>
  <c r="I30" i="32"/>
  <c r="I29" i="32"/>
  <c r="G28" i="32"/>
  <c r="F28" i="32"/>
  <c r="I27" i="32"/>
  <c r="I26" i="32"/>
  <c r="I25" i="32"/>
  <c r="I50" i="32" l="1"/>
  <c r="G35" i="32"/>
  <c r="F35" i="32" s="1"/>
  <c r="I28" i="32"/>
  <c r="H51" i="32"/>
  <c r="I47" i="32"/>
  <c r="I51" i="32" s="1"/>
  <c r="L48" i="32"/>
  <c r="K48" i="32" s="1"/>
  <c r="L46" i="32"/>
  <c r="K46" i="32" s="1"/>
  <c r="L49" i="32"/>
  <c r="K49" i="32" s="1"/>
  <c r="L45" i="32"/>
  <c r="L47" i="32" l="1"/>
  <c r="K45" i="32"/>
  <c r="L50" i="32"/>
  <c r="G21" i="32"/>
  <c r="G20" i="32"/>
  <c r="G19" i="32"/>
  <c r="G18" i="32"/>
  <c r="G16" i="32"/>
  <c r="G15" i="32"/>
  <c r="M13" i="32"/>
  <c r="H12" i="32"/>
  <c r="G12" i="32"/>
  <c r="F12" i="32"/>
  <c r="I11" i="32"/>
  <c r="I10" i="32"/>
  <c r="I9" i="32"/>
  <c r="I8" i="32"/>
  <c r="I7" i="32"/>
  <c r="G6" i="32"/>
  <c r="F6" i="32"/>
  <c r="I5" i="32"/>
  <c r="I4" i="32"/>
  <c r="I3" i="32"/>
  <c r="H50" i="33"/>
  <c r="G50" i="33"/>
  <c r="F50" i="33"/>
  <c r="G13" i="32" l="1"/>
  <c r="F13" i="32"/>
  <c r="I12" i="32"/>
  <c r="I6" i="32"/>
  <c r="K47" i="32"/>
  <c r="K50" i="32"/>
  <c r="L51" i="32"/>
  <c r="M50" i="32"/>
  <c r="J49" i="33"/>
  <c r="I49" i="33"/>
  <c r="J48" i="33"/>
  <c r="I48" i="33"/>
  <c r="H47" i="33"/>
  <c r="H51" i="33" s="1"/>
  <c r="G47" i="33"/>
  <c r="F47" i="33"/>
  <c r="F51" i="33" s="1"/>
  <c r="J46" i="33"/>
  <c r="I46" i="33"/>
  <c r="J45" i="33"/>
  <c r="I45" i="33"/>
  <c r="G31" i="33"/>
  <c r="G30" i="33"/>
  <c r="G57" i="34" s="1"/>
  <c r="G29" i="33"/>
  <c r="M28" i="33"/>
  <c r="O28" i="33" s="1"/>
  <c r="G27" i="33"/>
  <c r="G54" i="34" s="1"/>
  <c r="G26" i="33"/>
  <c r="G53" i="34" s="1"/>
  <c r="G25" i="33"/>
  <c r="M24" i="33"/>
  <c r="G51" i="33" l="1"/>
  <c r="L49" i="33"/>
  <c r="K49" i="33" s="1"/>
  <c r="I50" i="33"/>
  <c r="L45" i="33"/>
  <c r="O39" i="33"/>
  <c r="P50" i="32"/>
  <c r="M39" i="33"/>
  <c r="K45" i="33"/>
  <c r="L46" i="33"/>
  <c r="K46" i="33" s="1"/>
  <c r="G28" i="33"/>
  <c r="L48" i="33"/>
  <c r="J51" i="32"/>
  <c r="K51" i="32"/>
  <c r="H23" i="33"/>
  <c r="G23" i="33"/>
  <c r="F23" i="33"/>
  <c r="I22" i="33"/>
  <c r="I21" i="33"/>
  <c r="I20" i="33"/>
  <c r="I19" i="33"/>
  <c r="I18" i="33"/>
  <c r="G17" i="33"/>
  <c r="F17" i="33"/>
  <c r="I16" i="33"/>
  <c r="I15" i="33"/>
  <c r="I14" i="33"/>
  <c r="M13" i="33"/>
  <c r="I23" i="33" l="1"/>
  <c r="I17" i="33"/>
  <c r="G24" i="33"/>
  <c r="F24" i="33" s="1"/>
  <c r="L47" i="33"/>
  <c r="K47" i="33" s="1"/>
  <c r="I47" i="33" s="1"/>
  <c r="L50" i="33"/>
  <c r="K48" i="33"/>
  <c r="H12" i="33"/>
  <c r="G12" i="33"/>
  <c r="F12" i="33"/>
  <c r="I11" i="33"/>
  <c r="I10" i="33"/>
  <c r="I9" i="33"/>
  <c r="I8" i="33"/>
  <c r="I7" i="33"/>
  <c r="G6" i="33"/>
  <c r="F6" i="33"/>
  <c r="I5" i="33"/>
  <c r="I4" i="33"/>
  <c r="I3" i="33"/>
  <c r="M50" i="37"/>
  <c r="J49" i="37"/>
  <c r="J48" i="37"/>
  <c r="H47" i="37"/>
  <c r="G47" i="37"/>
  <c r="F47" i="37"/>
  <c r="J46" i="37"/>
  <c r="I46" i="37"/>
  <c r="J45" i="37"/>
  <c r="I45" i="37"/>
  <c r="M35" i="37"/>
  <c r="L46" i="37" l="1"/>
  <c r="K46" i="37" s="1"/>
  <c r="I47" i="37"/>
  <c r="F13" i="33"/>
  <c r="I12" i="33"/>
  <c r="I6" i="33"/>
  <c r="G13" i="33"/>
  <c r="L45" i="37"/>
  <c r="K50" i="33"/>
  <c r="L51" i="33"/>
  <c r="K51" i="33" s="1"/>
  <c r="M50" i="33"/>
  <c r="H34" i="37"/>
  <c r="G34" i="37"/>
  <c r="F34" i="37"/>
  <c r="I33" i="37"/>
  <c r="I32" i="37"/>
  <c r="I31" i="37"/>
  <c r="I30" i="37"/>
  <c r="I29" i="37"/>
  <c r="G28" i="37"/>
  <c r="F28" i="37"/>
  <c r="I27" i="37"/>
  <c r="I26" i="37"/>
  <c r="I25" i="37"/>
  <c r="I34" i="37" l="1"/>
  <c r="I28" i="37"/>
  <c r="P50" i="33"/>
  <c r="L47" i="37"/>
  <c r="K45" i="37"/>
  <c r="K47" i="37" s="1"/>
  <c r="L51" i="37" l="1"/>
  <c r="M47" i="37"/>
  <c r="G21" i="37"/>
  <c r="G59" i="34" s="1"/>
  <c r="G20" i="37"/>
  <c r="G19" i="37"/>
  <c r="G18" i="37"/>
  <c r="G56" i="34" s="1"/>
  <c r="G16" i="37"/>
  <c r="G15" i="37"/>
  <c r="G14" i="37"/>
  <c r="M13" i="37"/>
  <c r="H12" i="37"/>
  <c r="G12" i="37"/>
  <c r="F12" i="37"/>
  <c r="I11" i="37"/>
  <c r="I10" i="37"/>
  <c r="I9" i="37"/>
  <c r="I8" i="37"/>
  <c r="I7" i="37"/>
  <c r="I12" i="37" l="1"/>
  <c r="G17" i="37"/>
  <c r="P47" i="37"/>
  <c r="M51" i="37"/>
  <c r="G6" i="37"/>
  <c r="G13" i="37" s="1"/>
  <c r="F6" i="37"/>
  <c r="I5" i="37"/>
  <c r="I4" i="37"/>
  <c r="I3" i="37"/>
  <c r="M50" i="36"/>
  <c r="J49" i="36"/>
  <c r="J48" i="36"/>
  <c r="H47" i="36"/>
  <c r="G47" i="36"/>
  <c r="F47" i="36"/>
  <c r="J46" i="36"/>
  <c r="I46" i="36"/>
  <c r="J45" i="36"/>
  <c r="I45" i="36"/>
  <c r="F13" i="37" l="1"/>
  <c r="L45" i="36"/>
  <c r="K45" i="36" s="1"/>
  <c r="I6" i="37"/>
  <c r="I47" i="36"/>
  <c r="L46" i="36"/>
  <c r="K46" i="36" s="1"/>
  <c r="M35" i="36"/>
  <c r="K47" i="36" l="1"/>
  <c r="L47" i="36"/>
  <c r="M47" i="36" s="1"/>
  <c r="P47" i="36" s="1"/>
  <c r="P51" i="37"/>
  <c r="H34" i="36"/>
  <c r="G34" i="36"/>
  <c r="F34" i="36"/>
  <c r="I33" i="36"/>
  <c r="I32" i="36"/>
  <c r="I31" i="36"/>
  <c r="I30" i="36"/>
  <c r="I29" i="36"/>
  <c r="G28" i="36"/>
  <c r="F28" i="36"/>
  <c r="I27" i="36"/>
  <c r="I26" i="36"/>
  <c r="I25" i="36"/>
  <c r="M13" i="36"/>
  <c r="H12" i="36"/>
  <c r="G12" i="36"/>
  <c r="F12" i="36"/>
  <c r="I11" i="36"/>
  <c r="I10" i="36"/>
  <c r="I9" i="36"/>
  <c r="I8" i="36"/>
  <c r="I28" i="36" l="1"/>
  <c r="I34" i="36"/>
  <c r="G35" i="36"/>
  <c r="F35" i="36" s="1"/>
  <c r="M51" i="36"/>
  <c r="L51" i="36"/>
  <c r="I7" i="36"/>
  <c r="I12" i="36" s="1"/>
  <c r="G6" i="36"/>
  <c r="G13" i="36" s="1"/>
  <c r="F6" i="36"/>
  <c r="F13" i="36" s="1"/>
  <c r="I5" i="36"/>
  <c r="I4" i="36"/>
  <c r="I3" i="36"/>
  <c r="I6" i="36" l="1"/>
  <c r="I13" i="36" s="1"/>
  <c r="H13" i="36" s="1"/>
  <c r="P51" i="36"/>
  <c r="H51" i="30" l="1"/>
  <c r="G51" i="30"/>
  <c r="H47" i="30" l="1"/>
  <c r="H52" i="30" s="1"/>
  <c r="G47" i="30"/>
  <c r="G52" i="30" s="1"/>
  <c r="F47" i="30"/>
  <c r="J46" i="30"/>
  <c r="I46" i="30"/>
  <c r="J45" i="30"/>
  <c r="I45" i="30"/>
  <c r="M35" i="30"/>
  <c r="H34" i="30"/>
  <c r="G34" i="30"/>
  <c r="F34" i="30"/>
  <c r="I33" i="30"/>
  <c r="I32" i="30"/>
  <c r="I31" i="30"/>
  <c r="I30" i="30"/>
  <c r="I29" i="30"/>
  <c r="I47" i="30" l="1"/>
  <c r="I34" i="30"/>
  <c r="L45" i="30"/>
  <c r="L46" i="30"/>
  <c r="K46" i="30" s="1"/>
  <c r="G28" i="30"/>
  <c r="G35" i="30" s="1"/>
  <c r="F28" i="30"/>
  <c r="I27" i="30"/>
  <c r="I26" i="30"/>
  <c r="I25" i="30"/>
  <c r="I28" i="30" l="1"/>
  <c r="F35" i="30"/>
  <c r="L47" i="30"/>
  <c r="K45" i="30"/>
  <c r="K47" i="30" l="1"/>
  <c r="M13" i="30" l="1"/>
  <c r="H12" i="30"/>
  <c r="G12" i="30"/>
  <c r="F12" i="30"/>
  <c r="I11" i="30"/>
  <c r="I10" i="30"/>
  <c r="I9" i="30"/>
  <c r="I8" i="30"/>
  <c r="I7" i="30"/>
  <c r="G6" i="30"/>
  <c r="F6" i="30"/>
  <c r="I5" i="30"/>
  <c r="I4" i="30"/>
  <c r="I3" i="30"/>
  <c r="I6" i="30" l="1"/>
  <c r="I12" i="30"/>
  <c r="G13" i="30"/>
  <c r="F13" i="30"/>
  <c r="H50" i="35"/>
  <c r="G50" i="35"/>
  <c r="F50" i="35"/>
  <c r="J49" i="35"/>
  <c r="I49" i="35"/>
  <c r="J48" i="35"/>
  <c r="I48" i="35"/>
  <c r="H47" i="35"/>
  <c r="G47" i="35"/>
  <c r="J46" i="35"/>
  <c r="I46" i="35"/>
  <c r="J45" i="35"/>
  <c r="I45" i="35"/>
  <c r="I13" i="30" l="1"/>
  <c r="H13" i="30" s="1"/>
  <c r="L45" i="35"/>
  <c r="K45" i="35" s="1"/>
  <c r="I47" i="35"/>
  <c r="H51" i="35"/>
  <c r="G51" i="35"/>
  <c r="F51" i="35" s="1"/>
  <c r="I50" i="35"/>
  <c r="L49" i="35"/>
  <c r="K49" i="35" s="1"/>
  <c r="L48" i="35"/>
  <c r="L46" i="35"/>
  <c r="K46" i="35" s="1"/>
  <c r="O35" i="35"/>
  <c r="H34" i="35"/>
  <c r="G34" i="35"/>
  <c r="F34" i="35"/>
  <c r="I33" i="35"/>
  <c r="I32" i="35"/>
  <c r="I31" i="35"/>
  <c r="I30" i="35"/>
  <c r="I29" i="35"/>
  <c r="G28" i="35"/>
  <c r="F28" i="35"/>
  <c r="I27" i="35"/>
  <c r="I26" i="35"/>
  <c r="I25" i="35"/>
  <c r="F35" i="35" l="1"/>
  <c r="I34" i="35"/>
  <c r="I28" i="35"/>
  <c r="L50" i="35"/>
  <c r="O50" i="35" s="1"/>
  <c r="O51" i="35" s="1"/>
  <c r="K48" i="35"/>
  <c r="K50" i="35" s="1"/>
  <c r="L47" i="35"/>
  <c r="K47" i="35" s="1"/>
  <c r="O24" i="35"/>
  <c r="P50" i="35" l="1"/>
  <c r="L51" i="35"/>
  <c r="K51" i="35" l="1"/>
  <c r="H23" i="35"/>
  <c r="G23" i="35"/>
  <c r="F23" i="35"/>
  <c r="I22" i="35"/>
  <c r="I21" i="35"/>
  <c r="I20" i="35"/>
  <c r="I19" i="35" l="1"/>
  <c r="I18" i="35"/>
  <c r="G17" i="35"/>
  <c r="F17" i="35"/>
  <c r="F24" i="35" s="1"/>
  <c r="I16" i="35"/>
  <c r="I15" i="35"/>
  <c r="I14" i="35"/>
  <c r="I17" i="35" l="1"/>
  <c r="I23" i="35"/>
  <c r="G10" i="35"/>
  <c r="G9" i="35"/>
  <c r="G8" i="35"/>
  <c r="G7" i="35"/>
  <c r="G5" i="35"/>
  <c r="G4" i="35"/>
  <c r="G3" i="35"/>
  <c r="I24" i="35" l="1"/>
  <c r="H24" i="35" s="1"/>
  <c r="G24" i="35" s="1"/>
  <c r="G6" i="35"/>
  <c r="H51" i="29"/>
  <c r="H52" i="29" s="1"/>
  <c r="G51" i="29"/>
  <c r="G52" i="29" s="1"/>
  <c r="F51" i="29"/>
  <c r="J50" i="29"/>
  <c r="I50" i="29"/>
  <c r="J49" i="29"/>
  <c r="I49" i="29"/>
  <c r="I51" i="29" l="1"/>
  <c r="L50" i="29"/>
  <c r="K50" i="29" s="1"/>
  <c r="L49" i="29"/>
  <c r="K49" i="29" l="1"/>
  <c r="L51" i="29"/>
  <c r="P51" i="35"/>
  <c r="K51" i="29" l="1"/>
  <c r="M51" i="29"/>
  <c r="M35" i="29"/>
  <c r="N51" i="29" l="1"/>
  <c r="H34" i="29"/>
  <c r="G34" i="29"/>
  <c r="F34" i="29"/>
  <c r="I33" i="29"/>
  <c r="I32" i="29"/>
  <c r="I31" i="29"/>
  <c r="I30" i="29"/>
  <c r="I29" i="29"/>
  <c r="G28" i="29"/>
  <c r="F28" i="29"/>
  <c r="I27" i="29"/>
  <c r="I26" i="29"/>
  <c r="I25" i="29"/>
  <c r="G35" i="29" l="1"/>
  <c r="I34" i="29"/>
  <c r="F35" i="29"/>
  <c r="I28" i="29"/>
  <c r="M24" i="29"/>
  <c r="H23" i="29" l="1"/>
  <c r="G23" i="29"/>
  <c r="F23" i="29"/>
  <c r="I22" i="29"/>
  <c r="I21" i="29"/>
  <c r="I20" i="29" l="1"/>
  <c r="I19" i="29"/>
  <c r="I18" i="29"/>
  <c r="G17" i="29"/>
  <c r="G24" i="29" s="1"/>
  <c r="F17" i="29"/>
  <c r="I16" i="29"/>
  <c r="I15" i="29"/>
  <c r="I14" i="29"/>
  <c r="I17" i="29" l="1"/>
  <c r="F24" i="29"/>
  <c r="I23" i="29"/>
  <c r="I24" i="29" l="1"/>
  <c r="H24" i="29" s="1"/>
  <c r="F88" i="41"/>
  <c r="F86" i="41"/>
  <c r="H20" i="32" l="1"/>
  <c r="H19" i="32"/>
  <c r="H31" i="33"/>
  <c r="H30" i="33"/>
  <c r="H21" i="37" l="1"/>
  <c r="H20" i="37"/>
  <c r="H58" i="34" s="1"/>
  <c r="H19" i="37"/>
  <c r="H57" i="34" s="1"/>
  <c r="F52" i="41"/>
  <c r="H20" i="36"/>
  <c r="H36" i="34" s="1"/>
  <c r="H19" i="36"/>
  <c r="H35" i="34" s="1"/>
  <c r="H20" i="30"/>
  <c r="H25" i="34" s="1"/>
  <c r="H11" i="35"/>
  <c r="H10" i="35"/>
  <c r="H9" i="35"/>
  <c r="H18" i="37" l="1"/>
  <c r="H8" i="35"/>
  <c r="H23" i="37" l="1"/>
  <c r="M52" i="29" l="1"/>
  <c r="H7" i="35" l="1"/>
  <c r="H12" i="35" s="1"/>
  <c r="I50" i="30"/>
  <c r="L50" i="30" s="1"/>
  <c r="I46" i="29"/>
  <c r="F17" i="41"/>
  <c r="L46" i="29" l="1"/>
  <c r="K50" i="30"/>
  <c r="L78" i="34"/>
  <c r="F51" i="30"/>
  <c r="F52" i="30" s="1"/>
  <c r="I48" i="30"/>
  <c r="L48" i="30" s="1"/>
  <c r="F52" i="29"/>
  <c r="I45" i="29"/>
  <c r="L21" i="27" l="1"/>
  <c r="L23" i="39" s="1"/>
  <c r="K46" i="29"/>
  <c r="I48" i="29"/>
  <c r="L45" i="29"/>
  <c r="K45" i="29" s="1"/>
  <c r="L76" i="34"/>
  <c r="I51" i="30"/>
  <c r="I52" i="30" s="1"/>
  <c r="K21" i="27" l="1"/>
  <c r="K23" i="39" s="1"/>
  <c r="L48" i="29"/>
  <c r="K48" i="29"/>
  <c r="L79" i="34"/>
  <c r="K76" i="34"/>
  <c r="J51" i="30"/>
  <c r="L51" i="30"/>
  <c r="P51" i="30" s="1"/>
  <c r="K48" i="30"/>
  <c r="K51" i="30" s="1"/>
  <c r="J48" i="29"/>
  <c r="N48" i="29" l="1"/>
  <c r="L75" i="34"/>
  <c r="L52" i="30"/>
  <c r="L52" i="29"/>
  <c r="H9" i="29"/>
  <c r="O75" i="34" l="1"/>
  <c r="K52" i="29"/>
  <c r="N52" i="29"/>
  <c r="J52" i="30"/>
  <c r="K52" i="30"/>
  <c r="H22" i="27" l="1"/>
  <c r="G22" i="27"/>
  <c r="O79" i="34" l="1"/>
  <c r="O80" i="34" l="1"/>
  <c r="H79" i="34"/>
  <c r="G79" i="34"/>
  <c r="H75" i="34" l="1"/>
  <c r="G75" i="34"/>
  <c r="G80" i="34" s="1"/>
  <c r="L73" i="34"/>
  <c r="J73" i="34"/>
  <c r="J77" i="34" s="1"/>
  <c r="F73" i="34"/>
  <c r="L72" i="34"/>
  <c r="J72" i="34"/>
  <c r="J76" i="34" s="1"/>
  <c r="F72" i="34"/>
  <c r="L20" i="27" l="1"/>
  <c r="F20" i="27"/>
  <c r="I20" i="27" s="1"/>
  <c r="L19" i="27"/>
  <c r="I72" i="34"/>
  <c r="K72" i="34"/>
  <c r="F79" i="34"/>
  <c r="I78" i="34"/>
  <c r="K78" i="34" s="1"/>
  <c r="F19" i="27"/>
  <c r="I19" i="27" s="1"/>
  <c r="N80" i="34"/>
  <c r="K73" i="34"/>
  <c r="L80" i="34"/>
  <c r="I73" i="34"/>
  <c r="F75" i="34"/>
  <c r="I76" i="34"/>
  <c r="L22" i="27" l="1"/>
  <c r="N22" i="27" s="1"/>
  <c r="N24" i="39" s="1"/>
  <c r="J75" i="34"/>
  <c r="F22" i="27"/>
  <c r="K19" i="27"/>
  <c r="K75" i="34"/>
  <c r="I79" i="34"/>
  <c r="H55" i="34"/>
  <c r="J79" i="34"/>
  <c r="I75" i="34"/>
  <c r="I22" i="27"/>
  <c r="K79" i="34"/>
  <c r="F80" i="34"/>
  <c r="K80" i="34" s="1"/>
  <c r="K20" i="27" l="1"/>
  <c r="K22" i="27" s="1"/>
  <c r="J24" i="39"/>
  <c r="I80" i="34"/>
  <c r="J80" i="34" s="1"/>
  <c r="H80" i="34"/>
  <c r="H14" i="34" l="1"/>
  <c r="H10" i="34"/>
  <c r="H9" i="34"/>
  <c r="H8" i="34"/>
  <c r="H8" i="27" l="1"/>
  <c r="H6" i="27"/>
  <c r="H7" i="27"/>
  <c r="M24" i="39"/>
  <c r="L24" i="39" s="1"/>
  <c r="K24" i="39" s="1"/>
  <c r="H9" i="27" l="1"/>
  <c r="B26" i="38" l="1"/>
  <c r="A26" i="38"/>
  <c r="B25" i="38"/>
  <c r="A25" i="38"/>
  <c r="B24" i="38"/>
  <c r="A24" i="38"/>
  <c r="B22" i="38"/>
  <c r="A22" i="38"/>
  <c r="B21" i="38"/>
  <c r="A21" i="38"/>
  <c r="B19" i="38"/>
  <c r="A19" i="38"/>
  <c r="A20" i="38" s="1"/>
  <c r="B18" i="38"/>
  <c r="A18" i="38"/>
  <c r="B16" i="38"/>
  <c r="A16" i="38"/>
  <c r="B15" i="38"/>
  <c r="A15" i="38"/>
  <c r="B14" i="38"/>
  <c r="A14" i="38"/>
  <c r="B13" i="38"/>
  <c r="A13" i="38"/>
  <c r="B12" i="38"/>
  <c r="A12" i="38"/>
  <c r="B11" i="38"/>
  <c r="A11" i="38"/>
  <c r="B10" i="38"/>
  <c r="A10" i="38"/>
  <c r="B8" i="38"/>
  <c r="A8" i="38"/>
  <c r="B7" i="38"/>
  <c r="A7" i="38"/>
  <c r="B6" i="38"/>
  <c r="A6" i="38"/>
  <c r="B5" i="38"/>
  <c r="A5" i="38"/>
  <c r="B4" i="38"/>
  <c r="A4" i="38"/>
  <c r="B3" i="38"/>
  <c r="A3" i="38"/>
  <c r="B2" i="38"/>
  <c r="L21" i="39" l="1"/>
  <c r="L22" i="39"/>
  <c r="I21" i="39"/>
  <c r="I22" i="39"/>
  <c r="I24" i="39"/>
  <c r="H24" i="39"/>
  <c r="G24" i="39"/>
  <c r="F24" i="39"/>
  <c r="K22" i="39"/>
  <c r="H22" i="39"/>
  <c r="G22" i="39"/>
  <c r="F22" i="39"/>
  <c r="K21" i="39"/>
  <c r="H21" i="39"/>
  <c r="G21" i="39"/>
  <c r="F21" i="39"/>
  <c r="I52" i="29"/>
  <c r="J52" i="29" s="1"/>
  <c r="H13" i="35"/>
  <c r="I35" i="29"/>
  <c r="H35" i="29"/>
  <c r="M47" i="30"/>
  <c r="P47" i="30" s="1"/>
  <c r="P52" i="30" s="1"/>
  <c r="H24" i="37"/>
  <c r="I24" i="33"/>
  <c r="H24" i="33"/>
  <c r="M47" i="33"/>
  <c r="M51" i="33" s="1"/>
  <c r="M47" i="32"/>
  <c r="P47" i="32" s="1"/>
  <c r="P51" i="32" s="1"/>
  <c r="M36" i="42"/>
  <c r="H24" i="42"/>
  <c r="G24" i="42"/>
  <c r="M47" i="42"/>
  <c r="P47" i="42" s="1"/>
  <c r="P51" i="42" s="1"/>
  <c r="M51" i="42" l="1"/>
  <c r="M51" i="32"/>
  <c r="M52" i="30"/>
  <c r="O52" i="30" s="1"/>
  <c r="P47" i="33"/>
  <c r="P51" i="33" s="1"/>
  <c r="I35" i="30" l="1"/>
  <c r="H35" i="30"/>
  <c r="I35" i="35"/>
  <c r="H35" i="35"/>
  <c r="H36" i="35" s="1"/>
  <c r="G35" i="35"/>
  <c r="I35" i="36"/>
  <c r="H35" i="36"/>
  <c r="I13" i="37"/>
  <c r="H13" i="37"/>
  <c r="I13" i="33"/>
  <c r="H13" i="33"/>
  <c r="I35" i="37"/>
  <c r="H35" i="37"/>
  <c r="H36" i="37" s="1"/>
  <c r="G35" i="37"/>
  <c r="F35" i="37"/>
  <c r="I13" i="32"/>
  <c r="H13" i="32"/>
  <c r="H13" i="42"/>
  <c r="G13" i="42"/>
  <c r="F13" i="42"/>
  <c r="H35" i="42"/>
  <c r="G35" i="42"/>
  <c r="F35" i="42"/>
  <c r="I28" i="42"/>
  <c r="H11" i="39"/>
  <c r="H10" i="39"/>
  <c r="H9" i="39"/>
  <c r="H8" i="39"/>
  <c r="H36" i="42" l="1"/>
  <c r="G36" i="42"/>
  <c r="J19" i="34"/>
  <c r="J52" i="34"/>
  <c r="J14" i="29"/>
  <c r="L14" i="29" s="1"/>
  <c r="K14" i="29" s="1"/>
  <c r="J3" i="33"/>
  <c r="L3" i="33" s="1"/>
  <c r="J25" i="37"/>
  <c r="L25" i="37" s="1"/>
  <c r="K25" i="37" s="1"/>
  <c r="J14" i="30"/>
  <c r="J14" i="42"/>
  <c r="J25" i="30"/>
  <c r="L25" i="30" s="1"/>
  <c r="J3" i="30"/>
  <c r="L3" i="30" s="1"/>
  <c r="J30" i="34"/>
  <c r="J3" i="36"/>
  <c r="L3" i="36" s="1"/>
  <c r="J14" i="33"/>
  <c r="L14" i="33" s="1"/>
  <c r="K14" i="33" s="1"/>
  <c r="J25" i="42"/>
  <c r="L25" i="42" s="1"/>
  <c r="J25" i="33"/>
  <c r="J14" i="32"/>
  <c r="J3" i="29"/>
  <c r="J25" i="35"/>
  <c r="L25" i="35" s="1"/>
  <c r="J3" i="37"/>
  <c r="L3" i="37" s="1"/>
  <c r="J14" i="37"/>
  <c r="J25" i="36"/>
  <c r="L25" i="36" s="1"/>
  <c r="J3" i="35"/>
  <c r="J3" i="42"/>
  <c r="L3" i="42" s="1"/>
  <c r="J3" i="32"/>
  <c r="L3" i="32" s="1"/>
  <c r="J14" i="35"/>
  <c r="L14" i="35" s="1"/>
  <c r="J25" i="32"/>
  <c r="L25" i="32" s="1"/>
  <c r="J8" i="34"/>
  <c r="J25" i="29"/>
  <c r="L25" i="29" s="1"/>
  <c r="K25" i="29" s="1"/>
  <c r="K25" i="32" l="1"/>
  <c r="K3" i="32"/>
  <c r="K3" i="37"/>
  <c r="K3" i="30"/>
  <c r="K3" i="42"/>
  <c r="K25" i="35"/>
  <c r="K25" i="30"/>
  <c r="K14" i="35"/>
  <c r="K3" i="36"/>
  <c r="K3" i="33"/>
  <c r="K25" i="36"/>
  <c r="K25" i="42"/>
  <c r="J31" i="34" l="1"/>
  <c r="J20" i="34"/>
  <c r="J53" i="34"/>
  <c r="J4" i="37"/>
  <c r="L4" i="37" s="1"/>
  <c r="L26" i="29"/>
  <c r="J4" i="30"/>
  <c r="L4" i="30" s="1"/>
  <c r="J4" i="32"/>
  <c r="L4" i="32" s="1"/>
  <c r="L26" i="36"/>
  <c r="K26" i="36" s="1"/>
  <c r="L15" i="42"/>
  <c r="K15" i="42" s="1"/>
  <c r="J4" i="36"/>
  <c r="L4" i="36" s="1"/>
  <c r="J26" i="35"/>
  <c r="L26" i="35" s="1"/>
  <c r="K26" i="35" s="1"/>
  <c r="J26" i="32"/>
  <c r="L26" i="32" s="1"/>
  <c r="J26" i="30"/>
  <c r="L26" i="30" s="1"/>
  <c r="K26" i="30" s="1"/>
  <c r="J26" i="42"/>
  <c r="L26" i="42" s="1"/>
  <c r="J4" i="33"/>
  <c r="L4" i="33" s="1"/>
  <c r="K4" i="33" s="1"/>
  <c r="J26" i="37"/>
  <c r="L26" i="37" s="1"/>
  <c r="J15" i="33"/>
  <c r="L15" i="33" s="1"/>
  <c r="L15" i="29"/>
  <c r="K15" i="29" s="1"/>
  <c r="J15" i="35"/>
  <c r="L15" i="35" s="1"/>
  <c r="K15" i="35" s="1"/>
  <c r="J4" i="42"/>
  <c r="L4" i="42" s="1"/>
  <c r="K4" i="42" s="1"/>
  <c r="J9" i="34"/>
  <c r="K26" i="37" l="1"/>
  <c r="K4" i="37"/>
  <c r="K15" i="33"/>
  <c r="K26" i="42"/>
  <c r="K26" i="32"/>
  <c r="K4" i="30"/>
  <c r="K4" i="32"/>
  <c r="K4" i="36"/>
  <c r="K26" i="29"/>
  <c r="J21" i="34" l="1"/>
  <c r="J54" i="34"/>
  <c r="J32" i="34"/>
  <c r="J5" i="32"/>
  <c r="L5" i="32" s="1"/>
  <c r="L6" i="32" s="1"/>
  <c r="J5" i="36"/>
  <c r="L5" i="36" s="1"/>
  <c r="L16" i="42"/>
  <c r="J27" i="32"/>
  <c r="L27" i="32" s="1"/>
  <c r="J27" i="35"/>
  <c r="L27" i="35" s="1"/>
  <c r="L27" i="29"/>
  <c r="J27" i="37"/>
  <c r="L27" i="37" s="1"/>
  <c r="L28" i="37" s="1"/>
  <c r="J16" i="35"/>
  <c r="L16" i="35" s="1"/>
  <c r="L17" i="35" s="1"/>
  <c r="J5" i="37"/>
  <c r="L5" i="37" s="1"/>
  <c r="K5" i="37" s="1"/>
  <c r="K6" i="37" s="1"/>
  <c r="J27" i="30"/>
  <c r="L27" i="30" s="1"/>
  <c r="J5" i="42"/>
  <c r="L5" i="42" s="1"/>
  <c r="L16" i="29"/>
  <c r="J5" i="33"/>
  <c r="L5" i="33" s="1"/>
  <c r="K5" i="33" s="1"/>
  <c r="K6" i="33" s="1"/>
  <c r="J5" i="30"/>
  <c r="L5" i="30" s="1"/>
  <c r="L6" i="30" s="1"/>
  <c r="L27" i="36"/>
  <c r="L28" i="36" s="1"/>
  <c r="J16" i="33"/>
  <c r="L16" i="33" s="1"/>
  <c r="K16" i="33" s="1"/>
  <c r="K17" i="33" s="1"/>
  <c r="J27" i="42"/>
  <c r="L27" i="42" s="1"/>
  <c r="J10" i="34"/>
  <c r="K16" i="42" l="1"/>
  <c r="L28" i="35"/>
  <c r="P28" i="35" s="1"/>
  <c r="K27" i="35"/>
  <c r="K28" i="35" s="1"/>
  <c r="K5" i="36"/>
  <c r="K6" i="36" s="1"/>
  <c r="L6" i="36"/>
  <c r="P6" i="36" s="1"/>
  <c r="L28" i="42"/>
  <c r="K27" i="42"/>
  <c r="K28" i="42" s="1"/>
  <c r="L6" i="42"/>
  <c r="K5" i="42"/>
  <c r="K6" i="42" s="1"/>
  <c r="K16" i="29"/>
  <c r="K17" i="29" s="1"/>
  <c r="L17" i="29"/>
  <c r="J28" i="37"/>
  <c r="P28" i="37"/>
  <c r="L28" i="32"/>
  <c r="K27" i="32"/>
  <c r="K28" i="32" s="1"/>
  <c r="J6" i="32"/>
  <c r="P6" i="32"/>
  <c r="J28" i="36"/>
  <c r="P28" i="36"/>
  <c r="J6" i="30"/>
  <c r="P6" i="30"/>
  <c r="K27" i="30"/>
  <c r="K28" i="30" s="1"/>
  <c r="L28" i="30"/>
  <c r="J17" i="35"/>
  <c r="P17" i="35"/>
  <c r="L28" i="29"/>
  <c r="K27" i="29"/>
  <c r="K28" i="29" s="1"/>
  <c r="L6" i="37"/>
  <c r="L17" i="33"/>
  <c r="K27" i="37"/>
  <c r="K28" i="37" s="1"/>
  <c r="L6" i="33"/>
  <c r="K27" i="36"/>
  <c r="K28" i="36" s="1"/>
  <c r="K5" i="30"/>
  <c r="K6" i="30" s="1"/>
  <c r="K5" i="32"/>
  <c r="K6" i="32" s="1"/>
  <c r="K16" i="35"/>
  <c r="K17" i="35" s="1"/>
  <c r="J28" i="35" l="1"/>
  <c r="J6" i="36"/>
  <c r="J17" i="33"/>
  <c r="P17" i="33"/>
  <c r="P28" i="42"/>
  <c r="J28" i="42"/>
  <c r="J6" i="33"/>
  <c r="P6" i="33"/>
  <c r="P28" i="29"/>
  <c r="J28" i="29"/>
  <c r="J28" i="30"/>
  <c r="P28" i="30"/>
  <c r="P28" i="32"/>
  <c r="J28" i="32"/>
  <c r="J17" i="29"/>
  <c r="P17" i="29"/>
  <c r="J6" i="42"/>
  <c r="P6" i="42"/>
  <c r="J6" i="37"/>
  <c r="P6" i="37"/>
  <c r="I34" i="32" l="1"/>
  <c r="I35" i="32" s="1"/>
  <c r="I12" i="42"/>
  <c r="I13" i="42" s="1"/>
  <c r="I34" i="42"/>
  <c r="I35" i="42" s="1"/>
  <c r="J23" i="34"/>
  <c r="J56" i="34"/>
  <c r="J29" i="37"/>
  <c r="L29" i="37" s="1"/>
  <c r="J34" i="34"/>
  <c r="J18" i="29"/>
  <c r="L18" i="29" s="1"/>
  <c r="K18" i="29" s="1"/>
  <c r="J18" i="35"/>
  <c r="L18" i="35" s="1"/>
  <c r="K18" i="35" s="1"/>
  <c r="J29" i="35"/>
  <c r="L29" i="35" s="1"/>
  <c r="J7" i="36"/>
  <c r="L7" i="36" s="1"/>
  <c r="K7" i="36" s="1"/>
  <c r="J7" i="42"/>
  <c r="L7" i="42" s="1"/>
  <c r="J7" i="33"/>
  <c r="L7" i="33" s="1"/>
  <c r="J29" i="36"/>
  <c r="L29" i="36" s="1"/>
  <c r="K29" i="36" s="1"/>
  <c r="J7" i="37"/>
  <c r="L7" i="37" s="1"/>
  <c r="J29" i="42"/>
  <c r="L29" i="42" s="1"/>
  <c r="K29" i="42" s="1"/>
  <c r="J29" i="29"/>
  <c r="L29" i="29" s="1"/>
  <c r="J7" i="32"/>
  <c r="L7" i="32" s="1"/>
  <c r="K7" i="32" s="1"/>
  <c r="J18" i="33"/>
  <c r="L18" i="33" s="1"/>
  <c r="J29" i="32"/>
  <c r="L29" i="32" s="1"/>
  <c r="K29" i="32" s="1"/>
  <c r="J29" i="30"/>
  <c r="L29" i="30" s="1"/>
  <c r="J12" i="34"/>
  <c r="J7" i="30"/>
  <c r="L7" i="30" s="1"/>
  <c r="K7" i="30" s="1"/>
  <c r="K29" i="29" l="1"/>
  <c r="K7" i="33"/>
  <c r="K7" i="37"/>
  <c r="K7" i="42"/>
  <c r="K29" i="30"/>
  <c r="K18" i="33"/>
  <c r="K29" i="37"/>
  <c r="K29" i="35"/>
  <c r="J57" i="34" l="1"/>
  <c r="J24" i="34"/>
  <c r="J35" i="34"/>
  <c r="J8" i="36"/>
  <c r="L8" i="36" s="1"/>
  <c r="K8" i="36" s="1"/>
  <c r="J19" i="29"/>
  <c r="L19" i="29" s="1"/>
  <c r="J8" i="32"/>
  <c r="L8" i="32" s="1"/>
  <c r="K8" i="32" s="1"/>
  <c r="J30" i="32"/>
  <c r="L30" i="32" s="1"/>
  <c r="J19" i="35"/>
  <c r="L19" i="35" s="1"/>
  <c r="K19" i="35" s="1"/>
  <c r="J30" i="42"/>
  <c r="L30" i="42" s="1"/>
  <c r="J8" i="30"/>
  <c r="L8" i="30" s="1"/>
  <c r="K8" i="30" s="1"/>
  <c r="J30" i="35"/>
  <c r="L30" i="35" s="1"/>
  <c r="K30" i="35" s="1"/>
  <c r="J30" i="29"/>
  <c r="L30" i="29" s="1"/>
  <c r="K30" i="29" s="1"/>
  <c r="J8" i="42"/>
  <c r="L8" i="42" s="1"/>
  <c r="K8" i="42" s="1"/>
  <c r="J8" i="37"/>
  <c r="L8" i="37" s="1"/>
  <c r="K8" i="37" s="1"/>
  <c r="J19" i="33"/>
  <c r="L19" i="33" s="1"/>
  <c r="K19" i="33" s="1"/>
  <c r="J30" i="37"/>
  <c r="L30" i="37" s="1"/>
  <c r="J30" i="36"/>
  <c r="L30" i="36" s="1"/>
  <c r="J30" i="30"/>
  <c r="L30" i="30" s="1"/>
  <c r="J13" i="34"/>
  <c r="J8" i="33"/>
  <c r="L8" i="33" s="1"/>
  <c r="K30" i="32" l="1"/>
  <c r="K8" i="33"/>
  <c r="K30" i="37"/>
  <c r="K19" i="29"/>
  <c r="K30" i="36"/>
  <c r="K30" i="30"/>
  <c r="K30" i="42"/>
  <c r="J25" i="34" l="1"/>
  <c r="J58" i="34"/>
  <c r="J36" i="34"/>
  <c r="J9" i="37"/>
  <c r="L9" i="37" s="1"/>
  <c r="K9" i="37" s="1"/>
  <c r="J20" i="33"/>
  <c r="L20" i="33" s="1"/>
  <c r="J20" i="35"/>
  <c r="L20" i="35" s="1"/>
  <c r="K20" i="35" s="1"/>
  <c r="J9" i="32"/>
  <c r="L9" i="32" s="1"/>
  <c r="J31" i="42"/>
  <c r="L31" i="42" s="1"/>
  <c r="J20" i="29"/>
  <c r="L20" i="29" s="1"/>
  <c r="K20" i="29" s="1"/>
  <c r="J9" i="33"/>
  <c r="L9" i="33" s="1"/>
  <c r="J31" i="29"/>
  <c r="L31" i="29" s="1"/>
  <c r="J9" i="42"/>
  <c r="L9" i="42" s="1"/>
  <c r="J31" i="36"/>
  <c r="L31" i="36" s="1"/>
  <c r="K31" i="36" s="1"/>
  <c r="J31" i="32"/>
  <c r="L31" i="32" s="1"/>
  <c r="J31" i="37"/>
  <c r="L31" i="37" s="1"/>
  <c r="J9" i="30"/>
  <c r="L9" i="30" s="1"/>
  <c r="J31" i="35"/>
  <c r="L31" i="35" s="1"/>
  <c r="J9" i="36"/>
  <c r="L9" i="36" s="1"/>
  <c r="J14" i="34"/>
  <c r="J31" i="30"/>
  <c r="L31" i="30" s="1"/>
  <c r="K9" i="30" l="1"/>
  <c r="K31" i="29"/>
  <c r="K31" i="35"/>
  <c r="K9" i="36"/>
  <c r="K31" i="37"/>
  <c r="K9" i="42"/>
  <c r="K31" i="32"/>
  <c r="K20" i="33"/>
  <c r="K9" i="32"/>
  <c r="K31" i="30"/>
  <c r="K31" i="42"/>
  <c r="K9" i="33"/>
  <c r="J26" i="34" l="1"/>
  <c r="J59" i="34"/>
  <c r="L32" i="29"/>
  <c r="J32" i="42"/>
  <c r="L32" i="42" s="1"/>
  <c r="J10" i="33"/>
  <c r="L10" i="33" s="1"/>
  <c r="K10" i="33" s="1"/>
  <c r="J10" i="37"/>
  <c r="L10" i="37" s="1"/>
  <c r="L32" i="36"/>
  <c r="L21" i="42"/>
  <c r="K21" i="42" s="1"/>
  <c r="J32" i="30"/>
  <c r="L32" i="30" s="1"/>
  <c r="J37" i="34"/>
  <c r="J21" i="35"/>
  <c r="L21" i="35" s="1"/>
  <c r="K21" i="35" s="1"/>
  <c r="L21" i="29"/>
  <c r="K21" i="29" s="1"/>
  <c r="J10" i="36"/>
  <c r="L10" i="36" s="1"/>
  <c r="K10" i="36" s="1"/>
  <c r="J21" i="33"/>
  <c r="L21" i="33" s="1"/>
  <c r="J32" i="32"/>
  <c r="L32" i="32" s="1"/>
  <c r="J10" i="32"/>
  <c r="L10" i="32" s="1"/>
  <c r="J10" i="42"/>
  <c r="L10" i="42" s="1"/>
  <c r="K10" i="42" s="1"/>
  <c r="J32" i="35"/>
  <c r="L32" i="35" s="1"/>
  <c r="J10" i="30"/>
  <c r="L10" i="30" s="1"/>
  <c r="J32" i="37"/>
  <c r="L32" i="37" s="1"/>
  <c r="J15" i="34"/>
  <c r="K10" i="30" l="1"/>
  <c r="K32" i="35"/>
  <c r="K10" i="37"/>
  <c r="K32" i="37"/>
  <c r="K32" i="36"/>
  <c r="K32" i="42"/>
  <c r="K21" i="33"/>
  <c r="K32" i="32"/>
  <c r="K32" i="29"/>
  <c r="K10" i="32"/>
  <c r="K32" i="30"/>
  <c r="J27" i="34" l="1"/>
  <c r="J60" i="34"/>
  <c r="J38" i="34"/>
  <c r="J33" i="42"/>
  <c r="L33" i="42" s="1"/>
  <c r="L34" i="42" s="1"/>
  <c r="L22" i="29"/>
  <c r="L23" i="29" s="1"/>
  <c r="J11" i="36"/>
  <c r="L11" i="36" s="1"/>
  <c r="K11" i="36" s="1"/>
  <c r="K12" i="36" s="1"/>
  <c r="K13" i="36" s="1"/>
  <c r="J11" i="42"/>
  <c r="L11" i="42" s="1"/>
  <c r="K11" i="42" s="1"/>
  <c r="K12" i="42" s="1"/>
  <c r="K13" i="42" s="1"/>
  <c r="J11" i="33"/>
  <c r="L11" i="33" s="1"/>
  <c r="K11" i="33" s="1"/>
  <c r="K12" i="33" s="1"/>
  <c r="K13" i="33" s="1"/>
  <c r="J22" i="35"/>
  <c r="L22" i="35" s="1"/>
  <c r="J22" i="33"/>
  <c r="L22" i="33" s="1"/>
  <c r="K22" i="33" s="1"/>
  <c r="K23" i="33" s="1"/>
  <c r="K24" i="33" s="1"/>
  <c r="J11" i="32"/>
  <c r="L11" i="32" s="1"/>
  <c r="K11" i="32" s="1"/>
  <c r="K12" i="32" s="1"/>
  <c r="K13" i="32" s="1"/>
  <c r="L33" i="29"/>
  <c r="J11" i="37"/>
  <c r="L11" i="37" s="1"/>
  <c r="L12" i="37" s="1"/>
  <c r="J33" i="30"/>
  <c r="L33" i="30" s="1"/>
  <c r="L33" i="36"/>
  <c r="J33" i="37"/>
  <c r="L33" i="37" s="1"/>
  <c r="J33" i="35"/>
  <c r="L33" i="35" s="1"/>
  <c r="J33" i="32"/>
  <c r="L33" i="32" s="1"/>
  <c r="J11" i="30"/>
  <c r="L11" i="30" s="1"/>
  <c r="K22" i="29" l="1"/>
  <c r="K23" i="29" s="1"/>
  <c r="K24" i="29" s="1"/>
  <c r="L34" i="35"/>
  <c r="K33" i="35"/>
  <c r="K34" i="35" s="1"/>
  <c r="K35" i="35" s="1"/>
  <c r="K33" i="29"/>
  <c r="K34" i="29" s="1"/>
  <c r="K35" i="29" s="1"/>
  <c r="L34" i="29"/>
  <c r="J34" i="42"/>
  <c r="L35" i="42"/>
  <c r="P34" i="42"/>
  <c r="P35" i="42" s="1"/>
  <c r="L34" i="32"/>
  <c r="K33" i="32"/>
  <c r="K34" i="32" s="1"/>
  <c r="K35" i="32" s="1"/>
  <c r="K33" i="36"/>
  <c r="K34" i="36" s="1"/>
  <c r="K35" i="36" s="1"/>
  <c r="L34" i="36"/>
  <c r="J12" i="37"/>
  <c r="L13" i="37"/>
  <c r="J13" i="37" s="1"/>
  <c r="P12" i="37"/>
  <c r="L23" i="35"/>
  <c r="K22" i="35"/>
  <c r="K23" i="35" s="1"/>
  <c r="K24" i="35" s="1"/>
  <c r="K11" i="30"/>
  <c r="K12" i="30" s="1"/>
  <c r="K13" i="30" s="1"/>
  <c r="L12" i="30"/>
  <c r="L34" i="37"/>
  <c r="K33" i="37"/>
  <c r="K34" i="37" s="1"/>
  <c r="K35" i="37" s="1"/>
  <c r="K33" i="30"/>
  <c r="K34" i="30" s="1"/>
  <c r="K35" i="30" s="1"/>
  <c r="L34" i="30"/>
  <c r="L24" i="29"/>
  <c r="J24" i="29" s="1"/>
  <c r="P23" i="29"/>
  <c r="P24" i="29" s="1"/>
  <c r="J23" i="29"/>
  <c r="L23" i="33"/>
  <c r="L12" i="33"/>
  <c r="L12" i="36"/>
  <c r="K11" i="37"/>
  <c r="K12" i="37" s="1"/>
  <c r="K13" i="37" s="1"/>
  <c r="K33" i="42"/>
  <c r="K34" i="42" s="1"/>
  <c r="K35" i="42" s="1"/>
  <c r="L12" i="32"/>
  <c r="L12" i="42"/>
  <c r="P12" i="36" l="1"/>
  <c r="J12" i="36"/>
  <c r="L13" i="36"/>
  <c r="J13" i="36" s="1"/>
  <c r="L24" i="33"/>
  <c r="J24" i="33" s="1"/>
  <c r="P23" i="33"/>
  <c r="P24" i="33" s="1"/>
  <c r="J23" i="33"/>
  <c r="L35" i="30"/>
  <c r="P34" i="30"/>
  <c r="J34" i="30"/>
  <c r="J12" i="30"/>
  <c r="L13" i="30"/>
  <c r="J13" i="30" s="1"/>
  <c r="P13" i="37"/>
  <c r="L35" i="36"/>
  <c r="J34" i="36"/>
  <c r="P34" i="36"/>
  <c r="P35" i="36" s="1"/>
  <c r="J35" i="42"/>
  <c r="J34" i="37"/>
  <c r="P34" i="37"/>
  <c r="P35" i="37" s="1"/>
  <c r="L35" i="37"/>
  <c r="P23" i="35"/>
  <c r="P24" i="35" s="1"/>
  <c r="L24" i="35"/>
  <c r="J24" i="35" s="1"/>
  <c r="J23" i="35"/>
  <c r="L35" i="32"/>
  <c r="J34" i="32"/>
  <c r="P34" i="32"/>
  <c r="P35" i="32" s="1"/>
  <c r="J12" i="32"/>
  <c r="L13" i="32"/>
  <c r="J13" i="32" s="1"/>
  <c r="P12" i="32"/>
  <c r="J12" i="33"/>
  <c r="L13" i="33"/>
  <c r="J13" i="33" s="1"/>
  <c r="P12" i="33"/>
  <c r="L35" i="29"/>
  <c r="P34" i="29"/>
  <c r="P35" i="29" s="1"/>
  <c r="J34" i="29"/>
  <c r="L13" i="42"/>
  <c r="J13" i="42" s="1"/>
  <c r="P12" i="42"/>
  <c r="J12" i="42"/>
  <c r="P34" i="35"/>
  <c r="P35" i="35" s="1"/>
  <c r="J34" i="35"/>
  <c r="L35" i="35"/>
  <c r="J35" i="35" l="1"/>
  <c r="J35" i="32"/>
  <c r="J35" i="37"/>
  <c r="J35" i="30"/>
  <c r="P13" i="42"/>
  <c r="J35" i="36"/>
  <c r="P13" i="30"/>
  <c r="P13" i="36"/>
  <c r="J35" i="29"/>
  <c r="P13" i="33"/>
  <c r="P13" i="32"/>
  <c r="M34" i="33" l="1"/>
  <c r="O34" i="33" l="1"/>
  <c r="O35" i="33" s="1"/>
  <c r="M35" i="33"/>
  <c r="M36" i="33" s="1"/>
  <c r="M40" i="33"/>
  <c r="M41" i="33" s="1"/>
  <c r="O40" i="33" l="1"/>
  <c r="O41" i="33" s="1"/>
  <c r="O36" i="33" l="1"/>
  <c r="L14" i="41" l="1"/>
  <c r="M17" i="32"/>
  <c r="G54" i="32"/>
  <c r="O17" i="32" l="1"/>
  <c r="O39" i="32" s="1"/>
  <c r="M39" i="32"/>
  <c r="N51" i="34" l="1"/>
  <c r="M23" i="32"/>
  <c r="O23" i="32" s="1"/>
  <c r="O40" i="32" l="1"/>
  <c r="O41" i="32" s="1"/>
  <c r="M40" i="32"/>
  <c r="M41" i="32" s="1"/>
  <c r="M24" i="32"/>
  <c r="L13" i="41"/>
  <c r="G22" i="32" s="1"/>
  <c r="G23" i="32" s="1"/>
  <c r="G54" i="33"/>
  <c r="M17" i="37"/>
  <c r="O17" i="37" s="1"/>
  <c r="G54" i="37"/>
  <c r="M23" i="37"/>
  <c r="N54" i="37" s="1"/>
  <c r="O23" i="37" l="1"/>
  <c r="N61" i="34" s="1"/>
  <c r="M40" i="37"/>
  <c r="L12" i="41"/>
  <c r="G33" i="33" s="1"/>
  <c r="G34" i="33" s="1"/>
  <c r="G35" i="33" s="1"/>
  <c r="G36" i="33" s="1"/>
  <c r="O24" i="32"/>
  <c r="O36" i="32" s="1"/>
  <c r="M36" i="32"/>
  <c r="M52" i="32" s="1"/>
  <c r="L11" i="41"/>
  <c r="G22" i="37" s="1"/>
  <c r="M39" i="37"/>
  <c r="M24" i="37"/>
  <c r="M36" i="37" s="1"/>
  <c r="M17" i="30"/>
  <c r="G55" i="30"/>
  <c r="O24" i="37" l="1"/>
  <c r="O36" i="37" s="1"/>
  <c r="M41" i="37"/>
  <c r="O23" i="30"/>
  <c r="M40" i="30"/>
  <c r="G60" i="34"/>
  <c r="G23" i="37"/>
  <c r="G24" i="37" s="1"/>
  <c r="G36" i="37" s="1"/>
  <c r="O17" i="30"/>
  <c r="M24" i="30"/>
  <c r="M36" i="30" s="1"/>
  <c r="M39" i="30"/>
  <c r="N55" i="34"/>
  <c r="O39" i="37"/>
  <c r="O40" i="37"/>
  <c r="N62" i="34" l="1"/>
  <c r="N22" i="34"/>
  <c r="O39" i="30"/>
  <c r="O41" i="37"/>
  <c r="M39" i="36"/>
  <c r="M36" i="36"/>
  <c r="L10" i="41"/>
  <c r="G22" i="36" s="1"/>
  <c r="M40" i="36"/>
  <c r="O40" i="30"/>
  <c r="N28" i="34"/>
  <c r="O24" i="30"/>
  <c r="O36" i="30" s="1"/>
  <c r="M41" i="30"/>
  <c r="G54" i="35"/>
  <c r="N29" i="34" l="1"/>
  <c r="N33" i="34"/>
  <c r="O39" i="36"/>
  <c r="M6" i="35"/>
  <c r="M41" i="36"/>
  <c r="O41" i="30"/>
  <c r="O6" i="35" l="1"/>
  <c r="M39" i="35"/>
  <c r="O39" i="35" l="1"/>
  <c r="L8" i="41" l="1"/>
  <c r="G11" i="35" s="1"/>
  <c r="M40" i="35" l="1"/>
  <c r="M13" i="35"/>
  <c r="M36" i="35" s="1"/>
  <c r="G12" i="35"/>
  <c r="G13" i="35" s="1"/>
  <c r="G36" i="35" s="1"/>
  <c r="O13" i="35" l="1"/>
  <c r="O36" i="35" s="1"/>
  <c r="O40" i="35"/>
  <c r="O41" i="35" s="1"/>
  <c r="M41" i="35"/>
  <c r="G20" i="36" l="1"/>
  <c r="G20" i="30"/>
  <c r="G9" i="29"/>
  <c r="G14" i="34" s="1"/>
  <c r="G8" i="29"/>
  <c r="G13" i="34" s="1"/>
  <c r="G5" i="29"/>
  <c r="G10" i="34" s="1"/>
  <c r="G25" i="34" l="1"/>
  <c r="G16" i="30"/>
  <c r="G58" i="34"/>
  <c r="G36" i="34"/>
  <c r="G38" i="34"/>
  <c r="G61" i="34" l="1"/>
  <c r="G21" i="34"/>
  <c r="G12" i="27"/>
  <c r="G14" i="39" s="1"/>
  <c r="G16" i="36" l="1"/>
  <c r="G22" i="30"/>
  <c r="G27" i="34" l="1"/>
  <c r="G32" i="34"/>
  <c r="G8" i="27" l="1"/>
  <c r="G10" i="39" s="1"/>
  <c r="G10" i="29" l="1"/>
  <c r="G4" i="29"/>
  <c r="G9" i="34" s="1"/>
  <c r="G19" i="36" l="1"/>
  <c r="G35" i="34" s="1"/>
  <c r="G15" i="36"/>
  <c r="G31" i="34" s="1"/>
  <c r="G19" i="30"/>
  <c r="G24" i="34" s="1"/>
  <c r="G15" i="34"/>
  <c r="G11" i="27" l="1"/>
  <c r="G13" i="39" s="1"/>
  <c r="H19" i="30" l="1"/>
  <c r="H24" i="34" s="1"/>
  <c r="H8" i="29"/>
  <c r="H13" i="34" s="1"/>
  <c r="H11" i="27" l="1"/>
  <c r="H13" i="39" s="1"/>
  <c r="I51" i="35" l="1"/>
  <c r="J51" i="35" s="1"/>
  <c r="F51" i="36"/>
  <c r="G51" i="36"/>
  <c r="I51" i="36"/>
  <c r="J51" i="36" s="1"/>
  <c r="H51" i="36"/>
  <c r="I51" i="37"/>
  <c r="J51" i="37" s="1"/>
  <c r="H51" i="37"/>
  <c r="G51" i="37"/>
  <c r="F51" i="37"/>
  <c r="I51" i="33"/>
  <c r="J51" i="33" s="1"/>
  <c r="F51" i="42"/>
  <c r="G51" i="42"/>
  <c r="K51" i="42" s="1"/>
  <c r="I51" i="42"/>
  <c r="J51" i="42" s="1"/>
  <c r="H51" i="42"/>
  <c r="K51" i="36" l="1"/>
  <c r="K51" i="37"/>
  <c r="G55" i="29" l="1"/>
  <c r="Q16" i="41"/>
  <c r="M6" i="29"/>
  <c r="O6" i="29" l="1"/>
  <c r="N11" i="34" s="1"/>
  <c r="M39" i="29"/>
  <c r="M13" i="29"/>
  <c r="M40" i="29"/>
  <c r="O40" i="29" s="1"/>
  <c r="O13" i="29" l="1"/>
  <c r="O36" i="29" s="1"/>
  <c r="M36" i="29"/>
  <c r="M41" i="29"/>
  <c r="O39" i="29"/>
  <c r="O41" i="29" s="1"/>
  <c r="M9" i="27"/>
  <c r="N66" i="34"/>
  <c r="L7" i="41"/>
  <c r="G11" i="29" s="1"/>
  <c r="G16" i="34" s="1"/>
  <c r="M16" i="41"/>
  <c r="N17" i="34"/>
  <c r="N18" i="34" l="1"/>
  <c r="M11" i="39"/>
  <c r="G14" i="27" l="1"/>
  <c r="G16" i="39" l="1"/>
  <c r="F11" i="41" l="1"/>
  <c r="F10" i="41" l="1"/>
  <c r="N23" i="36" l="1"/>
  <c r="M39" i="34" l="1"/>
  <c r="N40" i="36"/>
  <c r="N41" i="36" s="1"/>
  <c r="N24" i="36"/>
  <c r="N36" i="36" l="1"/>
  <c r="N52" i="32"/>
  <c r="M40" i="34"/>
  <c r="M63" i="34" s="1"/>
  <c r="M67" i="34"/>
  <c r="M68" i="34" s="1"/>
  <c r="O40" i="36"/>
  <c r="O41" i="36" s="1"/>
  <c r="O24" i="36"/>
  <c r="N39" i="34"/>
  <c r="O36" i="36" l="1"/>
  <c r="O52" i="32"/>
  <c r="N40" i="34"/>
  <c r="N63" i="34" s="1"/>
  <c r="M15" i="27"/>
  <c r="N67" i="34"/>
  <c r="N68" i="34" s="1"/>
  <c r="M16" i="27" l="1"/>
  <c r="M17" i="39"/>
  <c r="M24" i="27" l="1"/>
  <c r="M18" i="39"/>
  <c r="M26" i="39" l="1"/>
  <c r="F22" i="37" l="1"/>
  <c r="I22" i="37" s="1"/>
  <c r="L22" i="37" s="1"/>
  <c r="K22" i="37" s="1"/>
  <c r="F15" i="37"/>
  <c r="F21" i="37"/>
  <c r="I21" i="37" s="1"/>
  <c r="L21" i="37" s="1"/>
  <c r="K21" i="37" s="1"/>
  <c r="F19" i="37"/>
  <c r="F16" i="37"/>
  <c r="F20" i="37"/>
  <c r="F18" i="37" l="1"/>
  <c r="I19" i="37"/>
  <c r="L19" i="37" s="1"/>
  <c r="K19" i="37" s="1"/>
  <c r="I20" i="37"/>
  <c r="L20" i="37" s="1"/>
  <c r="K20" i="37" s="1"/>
  <c r="F14" i="37"/>
  <c r="B52" i="41"/>
  <c r="I16" i="37"/>
  <c r="L16" i="37" s="1"/>
  <c r="K16" i="37" s="1"/>
  <c r="I15" i="37"/>
  <c r="L15" i="37" s="1"/>
  <c r="K15" i="37" s="1"/>
  <c r="I18" i="37" l="1"/>
  <c r="L18" i="37" s="1"/>
  <c r="F23" i="37"/>
  <c r="F17" i="37"/>
  <c r="I14" i="37"/>
  <c r="I23" i="37" l="1"/>
  <c r="F54" i="37"/>
  <c r="H54" i="37" s="1"/>
  <c r="F24" i="37"/>
  <c r="F36" i="37" s="1"/>
  <c r="L23" i="37"/>
  <c r="K18" i="37"/>
  <c r="K23" i="37" s="1"/>
  <c r="L14" i="37"/>
  <c r="I17" i="37"/>
  <c r="U8" i="40" l="1"/>
  <c r="U9" i="40" s="1"/>
  <c r="I24" i="37"/>
  <c r="I36" i="37" s="1"/>
  <c r="L17" i="37"/>
  <c r="K14" i="37"/>
  <c r="K17" i="37" s="1"/>
  <c r="K24" i="37" s="1"/>
  <c r="K36" i="37" s="1"/>
  <c r="J23" i="37"/>
  <c r="L40" i="37"/>
  <c r="P23" i="37"/>
  <c r="J17" i="37" l="1"/>
  <c r="L24" i="37"/>
  <c r="P17" i="37"/>
  <c r="L39" i="37"/>
  <c r="L41" i="37" s="1"/>
  <c r="P40" i="37"/>
  <c r="P39" i="37" l="1"/>
  <c r="P41" i="37" s="1"/>
  <c r="U14" i="38"/>
  <c r="P24" i="37"/>
  <c r="L36" i="37"/>
  <c r="J36" i="37" s="1"/>
  <c r="J24" i="37"/>
  <c r="P22" i="37" l="1"/>
  <c r="P36" i="37"/>
  <c r="U6" i="38"/>
  <c r="U34" i="38"/>
  <c r="U24" i="38" s="1"/>
  <c r="G7" i="29" l="1"/>
  <c r="G21" i="36"/>
  <c r="G12" i="34" l="1"/>
  <c r="G12" i="29"/>
  <c r="G37" i="34"/>
  <c r="G44" i="34" l="1"/>
  <c r="G17" i="34"/>
  <c r="F74" i="41"/>
  <c r="H33" i="33" s="1"/>
  <c r="F66" i="41"/>
  <c r="F70" i="41"/>
  <c r="H29" i="33" s="1"/>
  <c r="F73" i="41"/>
  <c r="H32" i="33" s="1"/>
  <c r="F85" i="41"/>
  <c r="H22" i="32" s="1"/>
  <c r="F77" i="41"/>
  <c r="F81" i="41"/>
  <c r="H18" i="32" s="1"/>
  <c r="F84" i="41"/>
  <c r="H21" i="32" s="1"/>
  <c r="F51" i="41"/>
  <c r="H22" i="36" s="1"/>
  <c r="F42" i="41"/>
  <c r="F47" i="41"/>
  <c r="H18" i="36" s="1"/>
  <c r="F50" i="41"/>
  <c r="H21" i="36" s="1"/>
  <c r="F39" i="41"/>
  <c r="H22" i="30" s="1"/>
  <c r="F30" i="41"/>
  <c r="F35" i="41"/>
  <c r="H18" i="30" s="1"/>
  <c r="F38" i="41"/>
  <c r="H21" i="30" s="1"/>
  <c r="F16" i="41"/>
  <c r="H11" i="29" s="1"/>
  <c r="F8" i="41"/>
  <c r="F12" i="41"/>
  <c r="H7" i="29" s="1"/>
  <c r="F15" i="41"/>
  <c r="H10" i="29" s="1"/>
  <c r="H16" i="34" l="1"/>
  <c r="H27" i="34"/>
  <c r="H60" i="34"/>
  <c r="H15" i="34"/>
  <c r="H23" i="34"/>
  <c r="H23" i="30"/>
  <c r="H24" i="30" s="1"/>
  <c r="H36" i="30" s="1"/>
  <c r="H37" i="34"/>
  <c r="H59" i="34"/>
  <c r="G6" i="41"/>
  <c r="F7" i="41"/>
  <c r="G28" i="41"/>
  <c r="F29" i="41"/>
  <c r="F28" i="41" s="1"/>
  <c r="G40" i="41"/>
  <c r="F40" i="41" s="1"/>
  <c r="F41" i="41"/>
  <c r="G75" i="41"/>
  <c r="F75" i="41" s="1"/>
  <c r="F76" i="41"/>
  <c r="G64" i="41"/>
  <c r="F65" i="41"/>
  <c r="H38" i="34"/>
  <c r="H12" i="29"/>
  <c r="H13" i="29" s="1"/>
  <c r="H36" i="29" s="1"/>
  <c r="H12" i="34"/>
  <c r="H26" i="34"/>
  <c r="H23" i="36"/>
  <c r="H24" i="36" s="1"/>
  <c r="H36" i="36" s="1"/>
  <c r="H34" i="34"/>
  <c r="H23" i="32"/>
  <c r="H24" i="32" s="1"/>
  <c r="H36" i="32" s="1"/>
  <c r="H56" i="34"/>
  <c r="H34" i="33"/>
  <c r="H35" i="33" s="1"/>
  <c r="H36" i="33" s="1"/>
  <c r="H37" i="33" s="1"/>
  <c r="G5" i="41" l="1"/>
  <c r="G89" i="41"/>
  <c r="H39" i="36"/>
  <c r="H10" i="27"/>
  <c r="H17" i="34"/>
  <c r="H18" i="34" s="1"/>
  <c r="G50" i="34"/>
  <c r="G51" i="34" s="1"/>
  <c r="H28" i="34"/>
  <c r="H29" i="34" s="1"/>
  <c r="H61" i="34"/>
  <c r="H62" i="34" s="1"/>
  <c r="H37" i="29"/>
  <c r="F6" i="41"/>
  <c r="H50" i="34"/>
  <c r="H51" i="34" s="1"/>
  <c r="H13" i="27"/>
  <c r="H15" i="39" s="1"/>
  <c r="H14" i="27"/>
  <c r="H16" i="39" s="1"/>
  <c r="H52" i="32"/>
  <c r="H39" i="34"/>
  <c r="H40" i="34" s="1"/>
  <c r="G63" i="41"/>
  <c r="F63" i="41" s="1"/>
  <c r="F64" i="41"/>
  <c r="F89" i="41" l="1"/>
  <c r="H63" i="34"/>
  <c r="H12" i="39"/>
  <c r="F45" i="34" l="1"/>
  <c r="I18" i="42"/>
  <c r="I45" i="34" s="1"/>
  <c r="F47" i="34" l="1"/>
  <c r="I20" i="42"/>
  <c r="I47" i="34" s="1"/>
  <c r="L18" i="42"/>
  <c r="L45" i="34" s="1"/>
  <c r="K18" i="42" l="1"/>
  <c r="K45" i="34" s="1"/>
  <c r="L20" i="42"/>
  <c r="L47" i="34" s="1"/>
  <c r="K20" i="42" l="1"/>
  <c r="K47" i="34" s="1"/>
  <c r="D75" i="41" l="1"/>
  <c r="D63" i="41" s="1"/>
  <c r="G14" i="32"/>
  <c r="G21" i="30"/>
  <c r="G26" i="34" s="1"/>
  <c r="G13" i="27" s="1"/>
  <c r="G15" i="39" s="1"/>
  <c r="G18" i="36"/>
  <c r="G34" i="34" s="1"/>
  <c r="G39" i="34" s="1"/>
  <c r="G18" i="30"/>
  <c r="G15" i="30"/>
  <c r="G14" i="30"/>
  <c r="G3" i="29"/>
  <c r="D6" i="41"/>
  <c r="D40" i="41"/>
  <c r="G14" i="36"/>
  <c r="D28" i="41" l="1"/>
  <c r="D89" i="41" s="1"/>
  <c r="D90" i="41" s="1"/>
  <c r="G17" i="32"/>
  <c r="G23" i="36"/>
  <c r="G23" i="34"/>
  <c r="G10" i="27" s="1"/>
  <c r="G23" i="30"/>
  <c r="G20" i="34"/>
  <c r="G7" i="27" s="1"/>
  <c r="G9" i="39" s="1"/>
  <c r="G8" i="34"/>
  <c r="G6" i="29"/>
  <c r="G30" i="34"/>
  <c r="G33" i="34" s="1"/>
  <c r="G40" i="34" s="1"/>
  <c r="G17" i="36"/>
  <c r="G17" i="30"/>
  <c r="G19" i="34"/>
  <c r="D5" i="41" l="1"/>
  <c r="G28" i="34"/>
  <c r="G24" i="32"/>
  <c r="G36" i="32" s="1"/>
  <c r="G22" i="34"/>
  <c r="G24" i="36"/>
  <c r="G13" i="29"/>
  <c r="G36" i="29" s="1"/>
  <c r="G24" i="30"/>
  <c r="G36" i="30" s="1"/>
  <c r="G11" i="34"/>
  <c r="G18" i="34" s="1"/>
  <c r="G15" i="27"/>
  <c r="G12" i="39"/>
  <c r="G29" i="34" l="1"/>
  <c r="G36" i="36"/>
  <c r="G39" i="36" s="1"/>
  <c r="G52" i="32"/>
  <c r="G17" i="39"/>
  <c r="B91" i="41" l="1"/>
  <c r="B88" i="41" l="1"/>
  <c r="B87" i="41"/>
  <c r="B39" i="41"/>
  <c r="F22" i="30" s="1"/>
  <c r="B35" i="41"/>
  <c r="B31" i="41"/>
  <c r="B37" i="41"/>
  <c r="F20" i="30" s="1"/>
  <c r="B29" i="41"/>
  <c r="B36" i="41"/>
  <c r="F19" i="30" s="1"/>
  <c r="B38" i="41"/>
  <c r="F21" i="30" s="1"/>
  <c r="B34" i="41"/>
  <c r="B30" i="41"/>
  <c r="F15" i="30" s="1"/>
  <c r="B33" i="41"/>
  <c r="B32" i="41"/>
  <c r="B73" i="41"/>
  <c r="F32" i="33" s="1"/>
  <c r="B69" i="41"/>
  <c r="B65" i="41"/>
  <c r="B67" i="41"/>
  <c r="F27" i="33" s="1"/>
  <c r="B74" i="41"/>
  <c r="F33" i="33" s="1"/>
  <c r="B66" i="41"/>
  <c r="F26" i="33" s="1"/>
  <c r="B72" i="41"/>
  <c r="F31" i="33" s="1"/>
  <c r="B68" i="41"/>
  <c r="B71" i="41"/>
  <c r="F30" i="33" s="1"/>
  <c r="B70" i="41"/>
  <c r="B82" i="41"/>
  <c r="F19" i="32" s="1"/>
  <c r="I19" i="32" s="1"/>
  <c r="L19" i="32" s="1"/>
  <c r="K19" i="32" s="1"/>
  <c r="B78" i="41"/>
  <c r="F16" i="32" s="1"/>
  <c r="I16" i="32" s="1"/>
  <c r="L16" i="32" s="1"/>
  <c r="K16" i="32" s="1"/>
  <c r="B76" i="41"/>
  <c r="B83" i="41"/>
  <c r="F20" i="32" s="1"/>
  <c r="I20" i="32" s="1"/>
  <c r="L20" i="32" s="1"/>
  <c r="K20" i="32" s="1"/>
  <c r="B85" i="41"/>
  <c r="F22" i="32" s="1"/>
  <c r="I22" i="32" s="1"/>
  <c r="L22" i="32" s="1"/>
  <c r="K22" i="32" s="1"/>
  <c r="B81" i="41"/>
  <c r="B77" i="41"/>
  <c r="F15" i="32" s="1"/>
  <c r="I15" i="32" s="1"/>
  <c r="L15" i="32" s="1"/>
  <c r="K15" i="32" s="1"/>
  <c r="B84" i="41"/>
  <c r="F21" i="32" s="1"/>
  <c r="I21" i="32" s="1"/>
  <c r="L21" i="32" s="1"/>
  <c r="K21" i="32" s="1"/>
  <c r="B80" i="41"/>
  <c r="B79" i="41"/>
  <c r="F14" i="42"/>
  <c r="B13" i="41"/>
  <c r="F8" i="29" s="1"/>
  <c r="B9" i="41"/>
  <c r="F5" i="29" s="1"/>
  <c r="B11" i="41"/>
  <c r="B10" i="41"/>
  <c r="B7" i="41"/>
  <c r="B16" i="41"/>
  <c r="F11" i="29" s="1"/>
  <c r="B12" i="41"/>
  <c r="B8" i="41"/>
  <c r="B15" i="41"/>
  <c r="F10" i="29" s="1"/>
  <c r="B14" i="41"/>
  <c r="F9" i="29" s="1"/>
  <c r="B26" i="41"/>
  <c r="F10" i="35" s="1"/>
  <c r="I10" i="35" s="1"/>
  <c r="L10" i="35" s="1"/>
  <c r="K10" i="35" s="1"/>
  <c r="B22" i="41"/>
  <c r="B18" i="41"/>
  <c r="B20" i="41"/>
  <c r="F5" i="35" s="1"/>
  <c r="I5" i="35" s="1"/>
  <c r="L5" i="35" s="1"/>
  <c r="K5" i="35" s="1"/>
  <c r="B27" i="41"/>
  <c r="F11" i="35" s="1"/>
  <c r="I11" i="35" s="1"/>
  <c r="L11" i="35" s="1"/>
  <c r="K11" i="35" s="1"/>
  <c r="B19" i="41"/>
  <c r="F4" i="35" s="1"/>
  <c r="I4" i="35" s="1"/>
  <c r="L4" i="35" s="1"/>
  <c r="K4" i="35" s="1"/>
  <c r="B25" i="41"/>
  <c r="F9" i="35" s="1"/>
  <c r="I9" i="35" s="1"/>
  <c r="L9" i="35" s="1"/>
  <c r="K9" i="35" s="1"/>
  <c r="B21" i="41"/>
  <c r="F7" i="35" s="1"/>
  <c r="B24" i="41"/>
  <c r="F8" i="35" s="1"/>
  <c r="I8" i="35" s="1"/>
  <c r="L8" i="35" s="1"/>
  <c r="K8" i="35" s="1"/>
  <c r="B23" i="41"/>
  <c r="B48" i="41"/>
  <c r="F19" i="36" s="1"/>
  <c r="B44" i="41"/>
  <c r="B46" i="41"/>
  <c r="B45" i="41"/>
  <c r="B51" i="41"/>
  <c r="F22" i="36" s="1"/>
  <c r="B47" i="41"/>
  <c r="B43" i="41"/>
  <c r="F16" i="36" s="1"/>
  <c r="B50" i="41"/>
  <c r="F21" i="36" s="1"/>
  <c r="B42" i="41"/>
  <c r="F15" i="36" s="1"/>
  <c r="B49" i="41"/>
  <c r="F20" i="36" s="1"/>
  <c r="B41" i="41"/>
  <c r="F18" i="32" l="1"/>
  <c r="F29" i="33"/>
  <c r="I19" i="36"/>
  <c r="F35" i="34"/>
  <c r="F15" i="34"/>
  <c r="I10" i="29"/>
  <c r="I18" i="32"/>
  <c r="F23" i="32"/>
  <c r="F56" i="34"/>
  <c r="I29" i="33"/>
  <c r="F34" i="33"/>
  <c r="I21" i="30"/>
  <c r="F26" i="34"/>
  <c r="I20" i="36"/>
  <c r="F36" i="34"/>
  <c r="I7" i="35"/>
  <c r="F12" i="35"/>
  <c r="I9" i="29"/>
  <c r="F14" i="34"/>
  <c r="I11" i="29"/>
  <c r="F16" i="34"/>
  <c r="F10" i="34"/>
  <c r="I5" i="29"/>
  <c r="F14" i="32"/>
  <c r="B75" i="41"/>
  <c r="F57" i="34"/>
  <c r="I30" i="33"/>
  <c r="I33" i="33"/>
  <c r="F60" i="34"/>
  <c r="F59" i="34"/>
  <c r="I32" i="33"/>
  <c r="F25" i="34"/>
  <c r="I20" i="30"/>
  <c r="I22" i="36"/>
  <c r="F38" i="34"/>
  <c r="F3" i="35"/>
  <c r="B17" i="41"/>
  <c r="I8" i="29"/>
  <c r="F13" i="34"/>
  <c r="F16" i="30"/>
  <c r="F37" i="34"/>
  <c r="I21" i="36"/>
  <c r="F18" i="36"/>
  <c r="H8" i="41"/>
  <c r="F4" i="29"/>
  <c r="F7" i="29"/>
  <c r="F19" i="42"/>
  <c r="F22" i="42"/>
  <c r="B86" i="41"/>
  <c r="F58" i="34"/>
  <c r="I31" i="33"/>
  <c r="F25" i="33"/>
  <c r="B64" i="41"/>
  <c r="B63" i="41" s="1"/>
  <c r="F18" i="30"/>
  <c r="F24" i="34"/>
  <c r="I19" i="30"/>
  <c r="F31" i="34"/>
  <c r="I15" i="36"/>
  <c r="B6" i="41"/>
  <c r="F3" i="29"/>
  <c r="H7" i="41"/>
  <c r="I27" i="33"/>
  <c r="F54" i="34"/>
  <c r="B40" i="41"/>
  <c r="F14" i="36"/>
  <c r="I16" i="36"/>
  <c r="F32" i="34"/>
  <c r="F17" i="42"/>
  <c r="F54" i="42" s="1"/>
  <c r="H54" i="42" s="1"/>
  <c r="G52" i="34"/>
  <c r="I14" i="42"/>
  <c r="F41" i="34"/>
  <c r="F44" i="34" s="1"/>
  <c r="I26" i="33"/>
  <c r="F53" i="34"/>
  <c r="F20" i="34"/>
  <c r="I15" i="30"/>
  <c r="F14" i="30"/>
  <c r="B28" i="41"/>
  <c r="I22" i="30"/>
  <c r="F27" i="34"/>
  <c r="I14" i="30" l="1"/>
  <c r="F17" i="30"/>
  <c r="F19" i="34"/>
  <c r="F17" i="36"/>
  <c r="F54" i="36" s="1"/>
  <c r="H54" i="36" s="1"/>
  <c r="U6" i="40" s="1"/>
  <c r="U7" i="40" s="1"/>
  <c r="F30" i="34"/>
  <c r="F33" i="34" s="1"/>
  <c r="I14" i="36"/>
  <c r="L27" i="33"/>
  <c r="I54" i="34"/>
  <c r="I24" i="34"/>
  <c r="L19" i="30"/>
  <c r="F28" i="33"/>
  <c r="F52" i="34"/>
  <c r="F55" i="34" s="1"/>
  <c r="I25" i="33"/>
  <c r="F9" i="34"/>
  <c r="F7" i="27" s="1"/>
  <c r="F9" i="39" s="1"/>
  <c r="I4" i="29"/>
  <c r="I37" i="34"/>
  <c r="L21" i="36"/>
  <c r="L20" i="30"/>
  <c r="I25" i="34"/>
  <c r="F17" i="32"/>
  <c r="I14" i="32"/>
  <c r="F12" i="27"/>
  <c r="F14" i="39" s="1"/>
  <c r="L7" i="35"/>
  <c r="I12" i="35"/>
  <c r="F13" i="27"/>
  <c r="F15" i="39" s="1"/>
  <c r="I31" i="34"/>
  <c r="L15" i="36"/>
  <c r="F49" i="34"/>
  <c r="F14" i="27" s="1"/>
  <c r="F16" i="39" s="1"/>
  <c r="I22" i="42"/>
  <c r="I56" i="34"/>
  <c r="L29" i="33"/>
  <c r="I34" i="33"/>
  <c r="I23" i="32"/>
  <c r="L18" i="32"/>
  <c r="L14" i="42"/>
  <c r="I41" i="34"/>
  <c r="I44" i="34" s="1"/>
  <c r="I17" i="42"/>
  <c r="F6" i="29"/>
  <c r="F55" i="29" s="1"/>
  <c r="H55" i="29" s="1"/>
  <c r="U2" i="40" s="1"/>
  <c r="U3" i="40" s="1"/>
  <c r="F8" i="34"/>
  <c r="I3" i="29"/>
  <c r="I18" i="30"/>
  <c r="F23" i="30"/>
  <c r="F23" i="34"/>
  <c r="F28" i="34" s="1"/>
  <c r="I58" i="34"/>
  <c r="H12" i="27" s="1"/>
  <c r="L31" i="33"/>
  <c r="F23" i="42"/>
  <c r="F24" i="42" s="1"/>
  <c r="F36" i="42" s="1"/>
  <c r="I19" i="42"/>
  <c r="F46" i="34"/>
  <c r="F50" i="34" s="1"/>
  <c r="F51" i="34" s="1"/>
  <c r="F34" i="34"/>
  <c r="F39" i="34" s="1"/>
  <c r="F23" i="36"/>
  <c r="F24" i="36" s="1"/>
  <c r="F36" i="36" s="1"/>
  <c r="I18" i="36"/>
  <c r="F21" i="34"/>
  <c r="F8" i="27" s="1"/>
  <c r="F10" i="39" s="1"/>
  <c r="I16" i="30"/>
  <c r="I38" i="34"/>
  <c r="L22" i="36"/>
  <c r="L5" i="29"/>
  <c r="I10" i="34"/>
  <c r="L11" i="29"/>
  <c r="I16" i="34"/>
  <c r="L21" i="30"/>
  <c r="I26" i="34"/>
  <c r="F61" i="34"/>
  <c r="I13" i="34"/>
  <c r="L8" i="29"/>
  <c r="L30" i="33"/>
  <c r="I57" i="34"/>
  <c r="I14" i="34"/>
  <c r="L9" i="29"/>
  <c r="L22" i="30"/>
  <c r="I27" i="34"/>
  <c r="I20" i="34"/>
  <c r="L15" i="30"/>
  <c r="I53" i="34"/>
  <c r="L26" i="33"/>
  <c r="G55" i="34"/>
  <c r="G62" i="34" s="1"/>
  <c r="G63" i="34" s="1"/>
  <c r="G6" i="27"/>
  <c r="L16" i="36"/>
  <c r="I32" i="34"/>
  <c r="B89" i="41"/>
  <c r="B5" i="41"/>
  <c r="I7" i="29"/>
  <c r="F12" i="29"/>
  <c r="F13" i="29" s="1"/>
  <c r="F36" i="29" s="1"/>
  <c r="F12" i="34"/>
  <c r="F6" i="35"/>
  <c r="F54" i="35" s="1"/>
  <c r="H54" i="35" s="1"/>
  <c r="U10" i="40" s="1"/>
  <c r="U11" i="40" s="1"/>
  <c r="I3" i="35"/>
  <c r="L32" i="33"/>
  <c r="I59" i="34"/>
  <c r="I60" i="34"/>
  <c r="L33" i="33"/>
  <c r="F13" i="35"/>
  <c r="F36" i="35" s="1"/>
  <c r="L20" i="36"/>
  <c r="I36" i="34"/>
  <c r="L10" i="29"/>
  <c r="I15" i="34"/>
  <c r="I13" i="27" s="1"/>
  <c r="I15" i="39" s="1"/>
  <c r="I35" i="34"/>
  <c r="L19" i="36"/>
  <c r="L35" i="34" l="1"/>
  <c r="K19" i="36"/>
  <c r="K35" i="34" s="1"/>
  <c r="L60" i="34"/>
  <c r="K33" i="33"/>
  <c r="K60" i="34" s="1"/>
  <c r="F10" i="27"/>
  <c r="F17" i="34"/>
  <c r="I12" i="27"/>
  <c r="I14" i="39" s="1"/>
  <c r="L3" i="29"/>
  <c r="I6" i="29"/>
  <c r="I8" i="34"/>
  <c r="I49" i="34"/>
  <c r="I14" i="27" s="1"/>
  <c r="I16" i="39" s="1"/>
  <c r="L22" i="42"/>
  <c r="I12" i="34"/>
  <c r="L7" i="29"/>
  <c r="I12" i="29"/>
  <c r="I13" i="29" s="1"/>
  <c r="I36" i="29" s="1"/>
  <c r="L57" i="34"/>
  <c r="K30" i="33"/>
  <c r="K57" i="34" s="1"/>
  <c r="L15" i="34"/>
  <c r="S9" i="29"/>
  <c r="L13" i="27"/>
  <c r="L15" i="39" s="1"/>
  <c r="K10" i="29"/>
  <c r="L59" i="34"/>
  <c r="K32" i="33"/>
  <c r="K59" i="34" s="1"/>
  <c r="G8" i="39"/>
  <c r="G9" i="27"/>
  <c r="L20" i="34"/>
  <c r="K15" i="30"/>
  <c r="K20" i="34" s="1"/>
  <c r="L14" i="34"/>
  <c r="L12" i="27"/>
  <c r="L14" i="39" s="1"/>
  <c r="K9" i="29"/>
  <c r="L13" i="34"/>
  <c r="K8" i="29"/>
  <c r="L26" i="34"/>
  <c r="K21" i="30"/>
  <c r="K26" i="34" s="1"/>
  <c r="L10" i="34"/>
  <c r="K5" i="29"/>
  <c r="I21" i="34"/>
  <c r="I8" i="27" s="1"/>
  <c r="I10" i="39" s="1"/>
  <c r="L16" i="30"/>
  <c r="I46" i="34"/>
  <c r="I23" i="42"/>
  <c r="I24" i="42" s="1"/>
  <c r="I36" i="42" s="1"/>
  <c r="L19" i="42"/>
  <c r="L24" i="34"/>
  <c r="K19" i="30"/>
  <c r="K24" i="34" s="1"/>
  <c r="B90" i="41"/>
  <c r="B92" i="41"/>
  <c r="L25" i="34"/>
  <c r="K20" i="30"/>
  <c r="K25" i="34" s="1"/>
  <c r="I52" i="34"/>
  <c r="I55" i="34" s="1"/>
  <c r="I28" i="33"/>
  <c r="I35" i="33" s="1"/>
  <c r="I36" i="33" s="1"/>
  <c r="L25" i="33"/>
  <c r="I30" i="34"/>
  <c r="I33" i="34" s="1"/>
  <c r="I17" i="36"/>
  <c r="F22" i="34"/>
  <c r="F29" i="34" s="1"/>
  <c r="L36" i="34"/>
  <c r="K20" i="36"/>
  <c r="K36" i="34" s="1"/>
  <c r="L3" i="35"/>
  <c r="I6" i="35"/>
  <c r="I13" i="35" s="1"/>
  <c r="I36" i="35" s="1"/>
  <c r="L53" i="34"/>
  <c r="K26" i="33"/>
  <c r="K53" i="34" s="1"/>
  <c r="L16" i="34"/>
  <c r="L14" i="27"/>
  <c r="L16" i="39" s="1"/>
  <c r="K11" i="29"/>
  <c r="L58" i="34"/>
  <c r="K31" i="33"/>
  <c r="K58" i="34" s="1"/>
  <c r="F6" i="27"/>
  <c r="F11" i="34"/>
  <c r="L41" i="34"/>
  <c r="L44" i="34" s="1"/>
  <c r="L17" i="42"/>
  <c r="K14" i="42"/>
  <c r="L34" i="33"/>
  <c r="L56" i="34"/>
  <c r="K29" i="33"/>
  <c r="L14" i="32"/>
  <c r="I17" i="32"/>
  <c r="I24" i="32" s="1"/>
  <c r="I36" i="32" s="1"/>
  <c r="F11" i="27"/>
  <c r="F13" i="39" s="1"/>
  <c r="L4" i="29"/>
  <c r="I9" i="34"/>
  <c r="I7" i="27" s="1"/>
  <c r="I9" i="39" s="1"/>
  <c r="F62" i="34"/>
  <c r="F40" i="34"/>
  <c r="F55" i="30"/>
  <c r="H55" i="30" s="1"/>
  <c r="U4" i="40" s="1"/>
  <c r="U5" i="40" s="1"/>
  <c r="F24" i="30"/>
  <c r="F36" i="30" s="1"/>
  <c r="L38" i="34"/>
  <c r="K22" i="36"/>
  <c r="K38" i="34" s="1"/>
  <c r="L32" i="34"/>
  <c r="K16" i="36"/>
  <c r="K32" i="34" s="1"/>
  <c r="L27" i="34"/>
  <c r="K22" i="30"/>
  <c r="K27" i="34" s="1"/>
  <c r="I34" i="34"/>
  <c r="I39" i="34" s="1"/>
  <c r="I23" i="36"/>
  <c r="H14" i="39"/>
  <c r="H15" i="27"/>
  <c r="I23" i="30"/>
  <c r="I23" i="34"/>
  <c r="I28" i="34" s="1"/>
  <c r="L18" i="30"/>
  <c r="L23" i="32"/>
  <c r="K18" i="32"/>
  <c r="K23" i="32" s="1"/>
  <c r="I61" i="34"/>
  <c r="L31" i="34"/>
  <c r="K15" i="36"/>
  <c r="K31" i="34" s="1"/>
  <c r="L12" i="35"/>
  <c r="K7" i="35"/>
  <c r="K12" i="35" s="1"/>
  <c r="F24" i="32"/>
  <c r="F36" i="32" s="1"/>
  <c r="F52" i="32" s="1"/>
  <c r="F54" i="32"/>
  <c r="H54" i="32" s="1"/>
  <c r="U14" i="40" s="1"/>
  <c r="U15" i="40" s="1"/>
  <c r="L37" i="34"/>
  <c r="K21" i="36"/>
  <c r="K37" i="34" s="1"/>
  <c r="F54" i="33"/>
  <c r="H54" i="33" s="1"/>
  <c r="U12" i="40" s="1"/>
  <c r="U13" i="40" s="1"/>
  <c r="F35" i="33"/>
  <c r="F36" i="33" s="1"/>
  <c r="L54" i="34"/>
  <c r="K27" i="33"/>
  <c r="K54" i="34" s="1"/>
  <c r="I19" i="34"/>
  <c r="I22" i="34" s="1"/>
  <c r="I29" i="34" s="1"/>
  <c r="I17" i="30"/>
  <c r="I24" i="30" s="1"/>
  <c r="I36" i="30" s="1"/>
  <c r="L14" i="30"/>
  <c r="K56" i="34" l="1"/>
  <c r="K61" i="34" s="1"/>
  <c r="K34" i="33"/>
  <c r="L21" i="34"/>
  <c r="K16" i="30"/>
  <c r="K21" i="34" s="1"/>
  <c r="L23" i="30"/>
  <c r="L23" i="34"/>
  <c r="L28" i="34" s="1"/>
  <c r="J28" i="34" s="1"/>
  <c r="K18" i="30"/>
  <c r="L19" i="34"/>
  <c r="L17" i="30"/>
  <c r="K14" i="30"/>
  <c r="P12" i="35"/>
  <c r="J12" i="35"/>
  <c r="L40" i="35"/>
  <c r="L17" i="32"/>
  <c r="K14" i="32"/>
  <c r="K17" i="32" s="1"/>
  <c r="K24" i="32" s="1"/>
  <c r="K36" i="32" s="1"/>
  <c r="K17" i="42"/>
  <c r="K41" i="34"/>
  <c r="K44" i="34" s="1"/>
  <c r="F8" i="39"/>
  <c r="F9" i="27"/>
  <c r="F11" i="39" s="1"/>
  <c r="L28" i="33"/>
  <c r="L52" i="34"/>
  <c r="L55" i="34" s="1"/>
  <c r="K25" i="33"/>
  <c r="F39" i="36"/>
  <c r="L8" i="27"/>
  <c r="L10" i="39" s="1"/>
  <c r="K13" i="34"/>
  <c r="L49" i="34"/>
  <c r="K22" i="42"/>
  <c r="K49" i="34" s="1"/>
  <c r="L6" i="27"/>
  <c r="L8" i="34"/>
  <c r="L6" i="29"/>
  <c r="K3" i="29"/>
  <c r="L40" i="32"/>
  <c r="P23" i="32"/>
  <c r="J23" i="32"/>
  <c r="L34" i="34"/>
  <c r="L39" i="34" s="1"/>
  <c r="K18" i="36"/>
  <c r="L7" i="27"/>
  <c r="L9" i="39" s="1"/>
  <c r="L9" i="34"/>
  <c r="K4" i="29"/>
  <c r="L30" i="34"/>
  <c r="L33" i="34" s="1"/>
  <c r="K14" i="36"/>
  <c r="L11" i="27"/>
  <c r="L13" i="39" s="1"/>
  <c r="L23" i="42"/>
  <c r="L46" i="34"/>
  <c r="L50" i="34" s="1"/>
  <c r="K19" i="42"/>
  <c r="K11" i="27" s="1"/>
  <c r="K13" i="39" s="1"/>
  <c r="L61" i="34"/>
  <c r="J61" i="34" s="1"/>
  <c r="O44" i="34"/>
  <c r="J44" i="34"/>
  <c r="I24" i="36"/>
  <c r="I36" i="36" s="1"/>
  <c r="I39" i="36" s="1"/>
  <c r="I62" i="34"/>
  <c r="K12" i="27"/>
  <c r="K14" i="39" s="1"/>
  <c r="K14" i="34"/>
  <c r="L12" i="29"/>
  <c r="L12" i="34"/>
  <c r="L17" i="34" s="1"/>
  <c r="L10" i="27"/>
  <c r="K7" i="29"/>
  <c r="I6" i="27"/>
  <c r="I11" i="34"/>
  <c r="F18" i="34"/>
  <c r="F63" i="34" s="1"/>
  <c r="H17" i="39"/>
  <c r="H16" i="27"/>
  <c r="J17" i="42"/>
  <c r="P17" i="42"/>
  <c r="L39" i="42"/>
  <c r="L24" i="42"/>
  <c r="L6" i="35"/>
  <c r="K3" i="35"/>
  <c r="K6" i="35" s="1"/>
  <c r="K13" i="35" s="1"/>
  <c r="K36" i="35" s="1"/>
  <c r="L40" i="33"/>
  <c r="J34" i="33"/>
  <c r="P34" i="33"/>
  <c r="K16" i="34"/>
  <c r="K14" i="27"/>
  <c r="K16" i="39" s="1"/>
  <c r="I40" i="34"/>
  <c r="I11" i="27"/>
  <c r="I13" i="39" s="1"/>
  <c r="I50" i="34"/>
  <c r="I51" i="34" s="1"/>
  <c r="K10" i="34"/>
  <c r="K8" i="27"/>
  <c r="K10" i="39" s="1"/>
  <c r="G11" i="39"/>
  <c r="G16" i="27"/>
  <c r="K13" i="27"/>
  <c r="K15" i="39" s="1"/>
  <c r="K15" i="34"/>
  <c r="I17" i="34"/>
  <c r="I18" i="34" s="1"/>
  <c r="I10" i="27"/>
  <c r="F15" i="27"/>
  <c r="F12" i="39"/>
  <c r="I52" i="32" l="1"/>
  <c r="L11" i="34"/>
  <c r="F16" i="27"/>
  <c r="F17" i="39"/>
  <c r="H24" i="27"/>
  <c r="H26" i="39" s="1"/>
  <c r="H18" i="39"/>
  <c r="J12" i="29"/>
  <c r="P12" i="29"/>
  <c r="L13" i="29"/>
  <c r="L40" i="29"/>
  <c r="L40" i="34"/>
  <c r="J40" i="34" s="1"/>
  <c r="J33" i="34"/>
  <c r="O33" i="34"/>
  <c r="P40" i="35"/>
  <c r="J6" i="35"/>
  <c r="L39" i="35"/>
  <c r="L41" i="35" s="1"/>
  <c r="P6" i="35"/>
  <c r="J17" i="34"/>
  <c r="L67" i="34"/>
  <c r="L18" i="34"/>
  <c r="J18" i="34" s="1"/>
  <c r="O50" i="34"/>
  <c r="O51" i="34" s="1"/>
  <c r="J50" i="34"/>
  <c r="L24" i="36"/>
  <c r="L39" i="36"/>
  <c r="J17" i="36"/>
  <c r="L39" i="29"/>
  <c r="L41" i="29" s="1"/>
  <c r="J6" i="29"/>
  <c r="P6" i="29"/>
  <c r="L13" i="35"/>
  <c r="L22" i="34"/>
  <c r="I9" i="27"/>
  <c r="I11" i="39" s="1"/>
  <c r="I8" i="39"/>
  <c r="L40" i="42"/>
  <c r="L41" i="42" s="1"/>
  <c r="P23" i="42"/>
  <c r="J23" i="42"/>
  <c r="K23" i="36"/>
  <c r="K34" i="34"/>
  <c r="K39" i="34" s="1"/>
  <c r="P40" i="32"/>
  <c r="K52" i="34"/>
  <c r="K55" i="34" s="1"/>
  <c r="K62" i="34" s="1"/>
  <c r="K28" i="33"/>
  <c r="K35" i="33" s="1"/>
  <c r="K36" i="33" s="1"/>
  <c r="P17" i="32"/>
  <c r="L24" i="32"/>
  <c r="J17" i="32"/>
  <c r="L39" i="32"/>
  <c r="L41" i="32" s="1"/>
  <c r="K23" i="34"/>
  <c r="K28" i="34" s="1"/>
  <c r="K23" i="30"/>
  <c r="I15" i="27"/>
  <c r="I12" i="39"/>
  <c r="G18" i="39"/>
  <c r="G24" i="27"/>
  <c r="G26" i="39" s="1"/>
  <c r="K12" i="29"/>
  <c r="K12" i="34"/>
  <c r="K17" i="34" s="1"/>
  <c r="K10" i="27"/>
  <c r="K9" i="34"/>
  <c r="K7" i="27"/>
  <c r="K9" i="39" s="1"/>
  <c r="J39" i="34"/>
  <c r="O39" i="34"/>
  <c r="L9" i="27"/>
  <c r="L8" i="39"/>
  <c r="L62" i="34"/>
  <c r="J55" i="34"/>
  <c r="K19" i="34"/>
  <c r="K22" i="34" s="1"/>
  <c r="K17" i="30"/>
  <c r="K24" i="30" s="1"/>
  <c r="K36" i="30" s="1"/>
  <c r="J24" i="42"/>
  <c r="L36" i="42"/>
  <c r="J36" i="42" s="1"/>
  <c r="J11" i="34"/>
  <c r="I63" i="34"/>
  <c r="P40" i="33"/>
  <c r="O61" i="34"/>
  <c r="U17" i="38"/>
  <c r="P39" i="42"/>
  <c r="L15" i="27"/>
  <c r="L12" i="39"/>
  <c r="L51" i="34"/>
  <c r="J51" i="34" s="1"/>
  <c r="K46" i="34"/>
  <c r="K50" i="34" s="1"/>
  <c r="K51" i="34" s="1"/>
  <c r="K23" i="42"/>
  <c r="K24" i="42" s="1"/>
  <c r="K36" i="42" s="1"/>
  <c r="K30" i="34"/>
  <c r="K33" i="34" s="1"/>
  <c r="K17" i="36"/>
  <c r="L40" i="36"/>
  <c r="J23" i="36"/>
  <c r="K8" i="34"/>
  <c r="K11" i="34" s="1"/>
  <c r="K18" i="34" s="1"/>
  <c r="K6" i="27"/>
  <c r="K6" i="29"/>
  <c r="L35" i="33"/>
  <c r="J28" i="33"/>
  <c r="P28" i="33"/>
  <c r="L39" i="33"/>
  <c r="L41" i="33" s="1"/>
  <c r="J17" i="30"/>
  <c r="P17" i="30"/>
  <c r="L24" i="30"/>
  <c r="L39" i="30"/>
  <c r="L40" i="30"/>
  <c r="J23" i="30"/>
  <c r="P23" i="30"/>
  <c r="K24" i="36" l="1"/>
  <c r="K36" i="36" s="1"/>
  <c r="L41" i="36"/>
  <c r="L36" i="30"/>
  <c r="J36" i="30" s="1"/>
  <c r="J24" i="30"/>
  <c r="P40" i="36"/>
  <c r="P24" i="32"/>
  <c r="P39" i="32"/>
  <c r="P41" i="32" s="1"/>
  <c r="U16" i="38"/>
  <c r="L36" i="33"/>
  <c r="J36" i="33" s="1"/>
  <c r="J35" i="33"/>
  <c r="L41" i="30"/>
  <c r="N15" i="27"/>
  <c r="N17" i="39" s="1"/>
  <c r="L17" i="39"/>
  <c r="J15" i="27"/>
  <c r="L16" i="27"/>
  <c r="K29" i="34"/>
  <c r="N9" i="27"/>
  <c r="L11" i="39"/>
  <c r="J11" i="39" s="1"/>
  <c r="L36" i="32"/>
  <c r="J24" i="32"/>
  <c r="P39" i="29"/>
  <c r="O11" i="34"/>
  <c r="U10" i="38"/>
  <c r="U2" i="38" s="1"/>
  <c r="P13" i="35"/>
  <c r="U11" i="38"/>
  <c r="P39" i="35"/>
  <c r="P41" i="35" s="1"/>
  <c r="P40" i="30"/>
  <c r="O28" i="34"/>
  <c r="O55" i="34"/>
  <c r="O62" i="34" s="1"/>
  <c r="P35" i="33"/>
  <c r="P39" i="33"/>
  <c r="P41" i="33" s="1"/>
  <c r="U15" i="38"/>
  <c r="K12" i="39"/>
  <c r="K15" i="27"/>
  <c r="P24" i="42"/>
  <c r="P36" i="42" s="1"/>
  <c r="U37" i="38"/>
  <c r="P40" i="42"/>
  <c r="P41" i="42" s="1"/>
  <c r="L36" i="29"/>
  <c r="J36" i="29" s="1"/>
  <c r="J13" i="29"/>
  <c r="P24" i="30"/>
  <c r="P36" i="30" s="1"/>
  <c r="P55" i="30" s="1"/>
  <c r="P56" i="30" s="1"/>
  <c r="P39" i="30"/>
  <c r="P41" i="30" s="1"/>
  <c r="O22" i="34"/>
  <c r="O29" i="34" s="1"/>
  <c r="U12" i="38"/>
  <c r="U4" i="38" s="1"/>
  <c r="U9" i="38"/>
  <c r="U16" i="40"/>
  <c r="U17" i="40" s="1"/>
  <c r="J62" i="34"/>
  <c r="K40" i="34"/>
  <c r="K63" i="34" s="1"/>
  <c r="L36" i="35"/>
  <c r="J36" i="35" s="1"/>
  <c r="J13" i="35"/>
  <c r="L36" i="36"/>
  <c r="J36" i="36" s="1"/>
  <c r="J24" i="36"/>
  <c r="P40" i="29"/>
  <c r="O17" i="34"/>
  <c r="P13" i="29"/>
  <c r="U28" i="38"/>
  <c r="K8" i="39"/>
  <c r="K9" i="27"/>
  <c r="K11" i="39" s="1"/>
  <c r="J22" i="34"/>
  <c r="L29" i="34"/>
  <c r="J29" i="34" s="1"/>
  <c r="O40" i="34"/>
  <c r="L66" i="34"/>
  <c r="L68" i="34" s="1"/>
  <c r="K13" i="29"/>
  <c r="K36" i="29" s="1"/>
  <c r="I17" i="39"/>
  <c r="I16" i="27"/>
  <c r="K52" i="32"/>
  <c r="P39" i="36"/>
  <c r="U13" i="38"/>
  <c r="U5" i="38" s="1"/>
  <c r="P24" i="36"/>
  <c r="P36" i="36" s="1"/>
  <c r="F24" i="27"/>
  <c r="F26" i="39" s="1"/>
  <c r="F18" i="39"/>
  <c r="P41" i="36" l="1"/>
  <c r="P52" i="36" s="1"/>
  <c r="O66" i="34"/>
  <c r="U31" i="38"/>
  <c r="U21" i="38" s="1"/>
  <c r="U27" i="38"/>
  <c r="U40" i="38"/>
  <c r="V40" i="38" s="1"/>
  <c r="U7" i="38"/>
  <c r="U35" i="38"/>
  <c r="I24" i="27"/>
  <c r="I26" i="39" s="1"/>
  <c r="I18" i="39"/>
  <c r="L52" i="32"/>
  <c r="J36" i="32"/>
  <c r="J52" i="32" s="1"/>
  <c r="J16" i="27"/>
  <c r="L24" i="27"/>
  <c r="L18" i="39"/>
  <c r="P36" i="32"/>
  <c r="Q24" i="32"/>
  <c r="S20" i="29"/>
  <c r="S13" i="29"/>
  <c r="P36" i="29"/>
  <c r="S48" i="29"/>
  <c r="S52" i="29" s="1"/>
  <c r="L63" i="34"/>
  <c r="J63" i="34" s="1"/>
  <c r="U30" i="38"/>
  <c r="U20" i="38" s="1"/>
  <c r="U3" i="38"/>
  <c r="U29" i="38"/>
  <c r="U19" i="38" s="1"/>
  <c r="P41" i="29"/>
  <c r="N16" i="27"/>
  <c r="N18" i="39" s="1"/>
  <c r="N11" i="39"/>
  <c r="J17" i="39"/>
  <c r="U33" i="38"/>
  <c r="U23" i="38" s="1"/>
  <c r="U18" i="38"/>
  <c r="O67" i="34"/>
  <c r="O68" i="34" s="1"/>
  <c r="O18" i="34"/>
  <c r="O63" i="34" s="1"/>
  <c r="K16" i="27"/>
  <c r="K17" i="39"/>
  <c r="P33" i="33"/>
  <c r="P36" i="33"/>
  <c r="P36" i="35"/>
  <c r="P11" i="35"/>
  <c r="U8" i="38"/>
  <c r="U36" i="38"/>
  <c r="U26" i="38" s="1"/>
  <c r="U32" i="38"/>
  <c r="U22" i="38" s="1"/>
  <c r="J18" i="39" l="1"/>
  <c r="P56" i="32"/>
  <c r="P52" i="32"/>
  <c r="U25" i="38"/>
  <c r="U38" i="38"/>
  <c r="L26" i="39"/>
  <c r="N24" i="27"/>
  <c r="N26" i="39" s="1"/>
  <c r="J24" i="27"/>
  <c r="J26" i="39" s="1"/>
  <c r="K18" i="39"/>
  <c r="K24" i="27"/>
  <c r="K26" i="39" s="1"/>
  <c r="U39" i="38"/>
  <c r="V39" i="38" s="1"/>
  <c r="V38" i="38" l="1"/>
  <c r="V42" i="38" s="1"/>
  <c r="U42" i="38"/>
</calcChain>
</file>

<file path=xl/comments1.xml><?xml version="1.0" encoding="utf-8"?>
<comments xmlns="http://schemas.openxmlformats.org/spreadsheetml/2006/main">
  <authors>
    <author>mmkara3</author>
  </authors>
  <commentList>
    <comment ref="N5" authorId="0" shapeId="0">
      <text>
        <r>
          <rPr>
            <b/>
            <sz val="8"/>
            <color indexed="81"/>
            <rFont val="Tahoma"/>
            <family val="2"/>
          </rPr>
          <t>mmkara3:</t>
        </r>
        <r>
          <rPr>
            <sz val="8"/>
            <color indexed="81"/>
            <rFont val="Tahoma"/>
            <family val="2"/>
          </rPr>
          <t xml:space="preserve">
O Saldo Acumulado do mês em analise.
</t>
        </r>
      </text>
    </comment>
    <comment ref="O5" authorId="0" shapeId="0">
      <text>
        <r>
          <rPr>
            <b/>
            <sz val="8"/>
            <color indexed="81"/>
            <rFont val="Tahoma"/>
            <family val="2"/>
          </rPr>
          <t xml:space="preserve">mmkara3:
O Saldo Acumulado do mês em analise.
</t>
        </r>
      </text>
    </comment>
    <comment ref="Q5" authorId="0" shapeId="0">
      <text>
        <r>
          <rPr>
            <b/>
            <sz val="8"/>
            <color indexed="81"/>
            <rFont val="Tahoma"/>
            <family val="2"/>
          </rPr>
          <t xml:space="preserve">mmkara3:
O Saldo Acumulado do mês em analise.
</t>
        </r>
      </text>
    </comment>
  </commentList>
</comments>
</file>

<file path=xl/comments2.xml><?xml version="1.0" encoding="utf-8"?>
<comments xmlns="http://schemas.openxmlformats.org/spreadsheetml/2006/main">
  <authors>
    <author>lserau</author>
  </authors>
  <commentList>
    <comment ref="M23" authorId="0" shapeId="0">
      <text>
        <r>
          <rPr>
            <b/>
            <sz val="8"/>
            <color indexed="81"/>
            <rFont val="Tahoma"/>
            <family val="2"/>
          </rPr>
          <t>lserau:</t>
        </r>
        <r>
          <rPr>
            <sz val="8"/>
            <color indexed="81"/>
            <rFont val="Tahoma"/>
            <family val="2"/>
          </rPr>
          <t xml:space="preserve">
FIDC RDA Reduction</t>
        </r>
      </text>
    </comment>
  </commentList>
</comments>
</file>

<file path=xl/comments3.xml><?xml version="1.0" encoding="utf-8"?>
<comments xmlns="http://schemas.openxmlformats.org/spreadsheetml/2006/main">
  <authors>
    <author>lserau</author>
  </authors>
  <commentList>
    <comment ref="M12" authorId="0" shapeId="0">
      <text>
        <r>
          <rPr>
            <b/>
            <sz val="8"/>
            <color indexed="81"/>
            <rFont val="Tahoma"/>
            <family val="2"/>
          </rPr>
          <t>lserau:</t>
        </r>
        <r>
          <rPr>
            <sz val="8"/>
            <color indexed="81"/>
            <rFont val="Tahoma"/>
            <family val="2"/>
          </rPr>
          <t xml:space="preserve">
Exclusão do saldo PDD do FIDC</t>
        </r>
      </text>
    </comment>
    <comment ref="M23" authorId="0" shapeId="0">
      <text>
        <r>
          <rPr>
            <b/>
            <sz val="8"/>
            <color indexed="81"/>
            <rFont val="Tahoma"/>
            <family val="2"/>
          </rPr>
          <t>lserau:</t>
        </r>
        <r>
          <rPr>
            <sz val="8"/>
            <color indexed="81"/>
            <rFont val="Tahoma"/>
            <family val="2"/>
          </rPr>
          <t xml:space="preserve">
Reduction of $1,114K FIDC RDA</t>
        </r>
      </text>
    </comment>
  </commentList>
</comments>
</file>

<file path=xl/comments4.xml><?xml version="1.0" encoding="utf-8"?>
<comments xmlns="http://schemas.openxmlformats.org/spreadsheetml/2006/main">
  <authors>
    <author>lserau</author>
    <author>RGUAR</author>
  </authors>
  <commentList>
    <comment ref="G22" authorId="0" shapeId="0">
      <text>
        <r>
          <rPr>
            <b/>
            <sz val="8"/>
            <color indexed="81"/>
            <rFont val="Tahoma"/>
            <family val="2"/>
          </rPr>
          <t>lserau:</t>
        </r>
        <r>
          <rPr>
            <sz val="8"/>
            <color indexed="81"/>
            <rFont val="Tahoma"/>
            <family val="2"/>
          </rPr>
          <t xml:space="preserve">
walkover Soy Traits</t>
        </r>
      </text>
    </comment>
    <comment ref="H22" authorId="0" shapeId="0">
      <text>
        <r>
          <rPr>
            <b/>
            <sz val="8"/>
            <color indexed="81"/>
            <rFont val="Tahoma"/>
            <family val="2"/>
          </rPr>
          <t>lserau:</t>
        </r>
        <r>
          <rPr>
            <sz val="8"/>
            <color indexed="81"/>
            <rFont val="Tahoma"/>
            <family val="2"/>
          </rPr>
          <t xml:space="preserve">
walkover Soy Traits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RGUAR:</t>
        </r>
        <r>
          <rPr>
            <sz val="9"/>
            <color indexed="81"/>
            <rFont val="Tahoma"/>
            <family val="2"/>
          </rPr>
          <t xml:space="preserve">
AJUSTE 325 DE LICENCIADOS DE MILHO
RECONHECIEMNTO DE RECEITA
</t>
        </r>
      </text>
    </comment>
  </commentList>
</comments>
</file>

<file path=xl/comments5.xml><?xml version="1.0" encoding="utf-8"?>
<comments xmlns="http://schemas.openxmlformats.org/spreadsheetml/2006/main">
  <authors>
    <author>lserau</author>
  </authors>
  <commentList>
    <comment ref="M12" authorId="0" shapeId="0">
      <text>
        <r>
          <rPr>
            <b/>
            <sz val="8"/>
            <color indexed="81"/>
            <rFont val="Tahoma"/>
            <family val="2"/>
          </rPr>
          <t>lserau:</t>
        </r>
        <r>
          <rPr>
            <sz val="8"/>
            <color indexed="81"/>
            <rFont val="Tahoma"/>
            <family val="2"/>
          </rPr>
          <t xml:space="preserve">
Reduction of $1,477K FIDC RDA</t>
        </r>
      </text>
    </comment>
  </commentList>
</comments>
</file>

<file path=xl/comments6.xml><?xml version="1.0" encoding="utf-8"?>
<comments xmlns="http://schemas.openxmlformats.org/spreadsheetml/2006/main">
  <authors>
    <author>lserau</author>
  </authors>
  <commentList>
    <comment ref="O23" authorId="0" shapeId="0">
      <text>
        <r>
          <rPr>
            <b/>
            <sz val="8"/>
            <color indexed="81"/>
            <rFont val="Tahoma"/>
            <family val="2"/>
          </rPr>
          <t>lserau:</t>
        </r>
        <r>
          <rPr>
            <sz val="8"/>
            <color indexed="81"/>
            <rFont val="Tahoma"/>
            <family val="2"/>
          </rPr>
          <t xml:space="preserve">
Reduction of $1,114K FIDC RDA</t>
        </r>
      </text>
    </comment>
  </commentList>
</comments>
</file>

<file path=xl/sharedStrings.xml><?xml version="1.0" encoding="utf-8"?>
<sst xmlns="http://schemas.openxmlformats.org/spreadsheetml/2006/main" count="1738" uniqueCount="222">
  <si>
    <t>% Coverage</t>
  </si>
  <si>
    <t>Current</t>
  </si>
  <si>
    <t>Net A/R</t>
  </si>
  <si>
    <t>Guarantees</t>
  </si>
  <si>
    <t>Critical</t>
  </si>
  <si>
    <t>Due Year (Calendar Year)</t>
  </si>
  <si>
    <t>Legal</t>
  </si>
  <si>
    <t>Past Due</t>
  </si>
  <si>
    <t>CROP PROTECTION</t>
  </si>
  <si>
    <t>TOTAL</t>
  </si>
  <si>
    <t>AR before BDR</t>
  </si>
  <si>
    <t>Reserves</t>
  </si>
  <si>
    <t>Gross A/R</t>
  </si>
  <si>
    <t>SEEDS &amp; TRAITS</t>
  </si>
  <si>
    <t>Bad Debt Needed</t>
  </si>
  <si>
    <t>VEGETABLES</t>
  </si>
  <si>
    <t>(Over)/Under</t>
  </si>
  <si>
    <t>TOTAL ON BALANCE</t>
  </si>
  <si>
    <t>TOTAL OFF BALANCE</t>
  </si>
  <si>
    <t>OFF BALANCE</t>
  </si>
  <si>
    <t>ON BALANCE</t>
  </si>
  <si>
    <t>Type of AR</t>
  </si>
  <si>
    <t>Current Bad Debt</t>
  </si>
  <si>
    <t>Legal Accounts Total</t>
  </si>
  <si>
    <t>Non-Legal Accounts Total</t>
  </si>
  <si>
    <t>SUMMARY</t>
  </si>
  <si>
    <t>TOTAL LEGAL</t>
  </si>
  <si>
    <t>TOTAL NON-LEGAL</t>
  </si>
  <si>
    <t xml:space="preserve">    GRAND TOTAL</t>
  </si>
  <si>
    <t>Brazil's new %</t>
  </si>
  <si>
    <t>USK</t>
  </si>
  <si>
    <t xml:space="preserve">Total </t>
  </si>
  <si>
    <t>New %</t>
  </si>
  <si>
    <t>1 to 90 days past due</t>
  </si>
  <si>
    <t>1 to 60 days past due</t>
  </si>
  <si>
    <t>1 to 60 days Past Due</t>
  </si>
  <si>
    <t xml:space="preserve">Current  </t>
  </si>
  <si>
    <t xml:space="preserve"> + 365 days Past Due</t>
  </si>
  <si>
    <t>1 to 365 days Past Due</t>
  </si>
  <si>
    <t>More than 90 days Past Due</t>
  </si>
  <si>
    <t>Trade</t>
  </si>
  <si>
    <t xml:space="preserve">Current </t>
  </si>
  <si>
    <t>FIDC</t>
  </si>
  <si>
    <t>CORPORATE</t>
  </si>
  <si>
    <t>Off Balance</t>
  </si>
  <si>
    <t>PTAX</t>
  </si>
  <si>
    <t>On Balance</t>
  </si>
  <si>
    <t>(Over) / Under</t>
  </si>
  <si>
    <t>UDZ75010</t>
  </si>
  <si>
    <t>BRL</t>
  </si>
  <si>
    <t>SA</t>
  </si>
  <si>
    <t>SPB75010</t>
  </si>
  <si>
    <t>DPL75016</t>
  </si>
  <si>
    <t>CPS75010</t>
  </si>
  <si>
    <t>MRH75010</t>
  </si>
  <si>
    <t>Value Date</t>
  </si>
  <si>
    <t>Sales order</t>
  </si>
  <si>
    <t>Product level 6</t>
  </si>
  <si>
    <t>Management Entity</t>
  </si>
  <si>
    <t>Billing type</t>
  </si>
  <si>
    <t>Product level 3</t>
  </si>
  <si>
    <t>Bus Attr 1</t>
  </si>
  <si>
    <t>Sales Group</t>
  </si>
  <si>
    <t>Customer Group</t>
  </si>
  <si>
    <t>Industry</t>
  </si>
  <si>
    <t>Sales Office</t>
  </si>
  <si>
    <t xml:space="preserve">Division   </t>
  </si>
  <si>
    <t>Dist Channel</t>
  </si>
  <si>
    <t>Sales Org</t>
  </si>
  <si>
    <t>Customer</t>
  </si>
  <si>
    <t>Product level 5</t>
  </si>
  <si>
    <t>Product level 4</t>
  </si>
  <si>
    <t>Bus Attr 2</t>
  </si>
  <si>
    <t>Sales District</t>
  </si>
  <si>
    <t>Plant</t>
  </si>
  <si>
    <t>Product Group</t>
  </si>
  <si>
    <t>Ship-To Country</t>
  </si>
  <si>
    <t>Supply Country</t>
  </si>
  <si>
    <t>Bank Indicator</t>
  </si>
  <si>
    <t>Quantity</t>
  </si>
  <si>
    <t>UOM</t>
  </si>
  <si>
    <t>Material</t>
  </si>
  <si>
    <t>Text</t>
  </si>
  <si>
    <t>Tax Code</t>
  </si>
  <si>
    <t>Trading partner</t>
  </si>
  <si>
    <t>Personnel No.</t>
  </si>
  <si>
    <t>Assignment Field</t>
  </si>
  <si>
    <t>Profit Center</t>
  </si>
  <si>
    <t>Network Activity</t>
  </si>
  <si>
    <t>Network</t>
  </si>
  <si>
    <t>WBS</t>
  </si>
  <si>
    <t>Internal Order</t>
  </si>
  <si>
    <t>Cost Center</t>
  </si>
  <si>
    <t>Account</t>
  </si>
  <si>
    <t>Business Area</t>
  </si>
  <si>
    <t>Company Code</t>
  </si>
  <si>
    <t>Reversal Reason</t>
  </si>
  <si>
    <t>Reversal date</t>
  </si>
  <si>
    <t>Currency</t>
  </si>
  <si>
    <t>Document Type</t>
  </si>
  <si>
    <t>Shrt Txt</t>
  </si>
  <si>
    <t>Reference</t>
  </si>
  <si>
    <t>Posting date</t>
  </si>
  <si>
    <t>Document date</t>
  </si>
  <si>
    <t>Documentdate</t>
  </si>
  <si>
    <t xml:space="preserve">Amount BRL </t>
  </si>
  <si>
    <t>USD  Amount</t>
  </si>
  <si>
    <t>SPB75015</t>
  </si>
  <si>
    <t>BRK</t>
  </si>
  <si>
    <t>Row Labels</t>
  </si>
  <si>
    <t>Legal + 365 days Past Due</t>
  </si>
  <si>
    <t>Legal 1 - 365 days Past Due</t>
  </si>
  <si>
    <t>Critical - Deb.Cust-Financ.</t>
  </si>
  <si>
    <t>Critical - Renegotiation Past Due</t>
  </si>
  <si>
    <t>Critical 1 - 90 days Past Due</t>
  </si>
  <si>
    <t>Critical Current</t>
  </si>
  <si>
    <t>1 - 90 days Past Due</t>
  </si>
  <si>
    <t>Grand Total</t>
  </si>
  <si>
    <t>R$K</t>
  </si>
  <si>
    <t>CR Long/Legal</t>
  </si>
  <si>
    <t xml:space="preserve">PDD Long/Legal </t>
  </si>
  <si>
    <t>PDD Short/Non</t>
  </si>
  <si>
    <t>TRUE UP CR</t>
  </si>
  <si>
    <t>JUROS</t>
  </si>
  <si>
    <t>Balanços</t>
  </si>
  <si>
    <t>Garantias</t>
  </si>
  <si>
    <t>USD K</t>
  </si>
  <si>
    <t>Past due</t>
  </si>
  <si>
    <t>CROP</t>
  </si>
  <si>
    <t>SEED</t>
  </si>
  <si>
    <t>CR - Ajuste CP&lt;-&gt;LP</t>
  </si>
  <si>
    <t>PDD - Ajuste Provisão</t>
  </si>
  <si>
    <t>ok</t>
  </si>
  <si>
    <t>Amount BRL</t>
  </si>
  <si>
    <t>PDD - Ajuste CP&lt;-&gt;LP</t>
  </si>
  <si>
    <t>CMP75010</t>
  </si>
  <si>
    <t>68PDD - Ajuste CP&lt;-&gt;LP</t>
  </si>
  <si>
    <t>69PDD - Ajuste CP&lt;-&gt;LP</t>
  </si>
  <si>
    <t>88PDD - Ajuste CP&lt;-&gt;LP</t>
  </si>
  <si>
    <t>68PDD - Ajuste Provisão</t>
  </si>
  <si>
    <t>69PDD - Ajuste Provisão</t>
  </si>
  <si>
    <t>88PDD - Ajuste Provisão</t>
  </si>
  <si>
    <t>68CR - Ajuste CP&lt;-&gt;LP</t>
  </si>
  <si>
    <t>69CR - Ajuste CP&lt;-&gt;LP</t>
  </si>
  <si>
    <t>88CR - Ajuste CP&lt;-&gt;LP</t>
  </si>
  <si>
    <t>Bad Debt Adjustments for Brazil (4168_9130)</t>
  </si>
  <si>
    <t>Bad Debt Adjustments for Brazil (4168_9115)</t>
  </si>
  <si>
    <t>Bad Debt Adjustments for Brazil (4168_9280)</t>
  </si>
  <si>
    <t>Bad Debt Adjustments for Brazil (4168_9282)</t>
  </si>
  <si>
    <t>Bad Debt Adjustments for Brazil (4168_9290)</t>
  </si>
  <si>
    <t>Bad Debt Adjustments for Brazil (4169_9117)</t>
  </si>
  <si>
    <t>Bad Debt Adjustments for Brazil (4169_9280)</t>
  </si>
  <si>
    <t>Legal Current 1 - 365 days</t>
  </si>
  <si>
    <t>Legal Current + 365 days</t>
  </si>
  <si>
    <t>Bad Debt Adjustments for Brazil (4188_9282)</t>
  </si>
  <si>
    <t>Beg. Balance</t>
  </si>
  <si>
    <t>Corn&amp; Sorghum</t>
  </si>
  <si>
    <t>Month Accrual</t>
  </si>
  <si>
    <t>Beg, Balance</t>
  </si>
  <si>
    <t>Bad Debt Accrual</t>
  </si>
  <si>
    <t>Funnel</t>
  </si>
  <si>
    <t>SOYBEAN</t>
  </si>
  <si>
    <t>Cotton</t>
  </si>
  <si>
    <t>VEGETABLES &amp; Sugar Cane</t>
  </si>
  <si>
    <t>Monthly Accrual</t>
  </si>
  <si>
    <t xml:space="preserve">Bad Debt Adjustments for Brazil All Business </t>
  </si>
  <si>
    <t>Crop Protection &amp; Corporate</t>
  </si>
  <si>
    <t>BRLK</t>
  </si>
  <si>
    <t>(+)</t>
  </si>
  <si>
    <t>(-)</t>
  </si>
  <si>
    <t>OK</t>
  </si>
  <si>
    <t>AR (excluding FIDC)</t>
  </si>
  <si>
    <t>Past due &gt; 90 days</t>
  </si>
  <si>
    <t>Total Ajuste</t>
  </si>
  <si>
    <t>BAD DEBT</t>
  </si>
  <si>
    <t>BR</t>
  </si>
  <si>
    <t>AA124</t>
  </si>
  <si>
    <t>AG-BR</t>
  </si>
  <si>
    <t>010</t>
  </si>
  <si>
    <t>SCAC0</t>
  </si>
  <si>
    <t>S00</t>
  </si>
  <si>
    <t>SSAC0</t>
  </si>
  <si>
    <t>VB805</t>
  </si>
  <si>
    <t>STDP0</t>
  </si>
  <si>
    <t>SNMS0</t>
  </si>
  <si>
    <t>Y1986</t>
  </si>
  <si>
    <t>SBMY0</t>
  </si>
  <si>
    <t>List of Product Group</t>
  </si>
  <si>
    <t>Business</t>
  </si>
  <si>
    <t>Seminis</t>
  </si>
  <si>
    <t>Monsoy</t>
  </si>
  <si>
    <t>Crop</t>
  </si>
  <si>
    <t>Corn</t>
  </si>
  <si>
    <t>Sorgo</t>
  </si>
  <si>
    <t>Canavialis</t>
  </si>
  <si>
    <t>Intacta</t>
  </si>
  <si>
    <t>SCCS0</t>
  </si>
  <si>
    <t>Licenciados</t>
  </si>
  <si>
    <t>Monsanto</t>
  </si>
  <si>
    <t>FIDC (4168)</t>
  </si>
  <si>
    <t>CRA</t>
  </si>
  <si>
    <t>Ok</t>
  </si>
  <si>
    <t>% Accrual</t>
  </si>
  <si>
    <t>Soy</t>
  </si>
  <si>
    <t>PDD - Análise de Suficiência</t>
  </si>
  <si>
    <t>Bad Debt Adjustments  May'17 (USD)</t>
  </si>
  <si>
    <t>1,9%/5,1%</t>
  </si>
  <si>
    <t>Talismã</t>
  </si>
  <si>
    <t>Total</t>
  </si>
  <si>
    <t>CRA Needed</t>
  </si>
  <si>
    <t>PDD CRA</t>
  </si>
  <si>
    <t>Atualizacao CRA</t>
  </si>
  <si>
    <t>Bad Debt Adjustments  Aug'18 (USD)</t>
  </si>
  <si>
    <t>Bad Debt Adjustments Aug'18 (R$)</t>
  </si>
  <si>
    <t>Saldo 08/2018</t>
  </si>
  <si>
    <t>Reversão Antecipados</t>
  </si>
  <si>
    <t>Provisão boleto</t>
  </si>
  <si>
    <t>Accrual Receita</t>
  </si>
  <si>
    <t>Reversão total</t>
  </si>
  <si>
    <t>Reversão real</t>
  </si>
  <si>
    <t>CP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</si>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</sst>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00_);_(* \(#,##0.000\);_(* &quot;-&quot;??_);_(@_)"/>
    <numFmt numFmtId="167" formatCode="_(* #,##0.0_);_(* \(#,##0.0\);_(* &quot;-&quot;??_);_(@_)"/>
    <numFmt numFmtId="168" formatCode="&quot;c/c&quot;\ 0"/>
    <numFmt numFmtId="169" formatCode="mm/dd/yyyy"/>
    <numFmt numFmtId="170" formatCode="mm/dd/yy;@"/>
    <numFmt numFmtId="171" formatCode="_(* #,##0.00000_);_(* \(#,##0.00000\);_(* &quot;-&quot;??_);_(@_)"/>
    <numFmt numFmtId="172" formatCode="dd/mm/yy;@"/>
    <numFmt numFmtId="173" formatCode="hh:mm:ss\ AM/PM_)"/>
    <numFmt numFmtId="174" formatCode="&quot;$&quot;#,##0\ ;\(&quot;$&quot;#,##0\)"/>
    <numFmt numFmtId="175" formatCode="General_)"/>
    <numFmt numFmtId="176" formatCode="_-[$€-2]* #,##0.00_-;\-[$€-2]* #,##0.00_-;_-[$€-2]* &quot;-&quot;??_-"/>
    <numFmt numFmtId="177" formatCode="0.0"/>
    <numFmt numFmtId="178" formatCode="&quot;Yes&quot;;&quot;ERROR&quot;;&quot;No&quot;;&quot;ERROR&quot;"/>
    <numFmt numFmtId="179" formatCode="0.000_)"/>
    <numFmt numFmtId="180" formatCode="0_);\(0\)"/>
    <numFmt numFmtId="181" formatCode="_(&quot;R$ &quot;* #,##0_);_(&quot;R$ &quot;* \(#,##0\);_(&quot;R$ &quot;* &quot;-&quot;_);_(@_)"/>
    <numFmt numFmtId="182" formatCode="_(&quot;$&quot;* #,##0.00_);_(&quot;$&quot;* \(#,##0.00\);_(&quot;$&quot;* &quot;-&quot;??_);_(@_)"/>
    <numFmt numFmtId="183" formatCode="0.0%\ \ \ "/>
    <numFmt numFmtId="184" formatCode="#,##0.0_%;[Red]\(#,##0.0%\)"/>
    <numFmt numFmtId="185" formatCode="#,##0.0\x_);\(#,##0.0\x\);#,##0.0\x_);@_)"/>
    <numFmt numFmtId="186" formatCode="#,##0\ \ \ \ \ "/>
    <numFmt numFmtId="187" formatCode="#,##0\ \ \ \ "/>
    <numFmt numFmtId="188" formatCode="[Red][&lt;-0.05]\-0%;[Blue][&gt;0.05]0%;0%"/>
    <numFmt numFmtId="189" formatCode="#,##0.0\%_);\(#,##0.0\%\);#,##0.0\%_);@_)"/>
    <numFmt numFmtId="190" formatCode="&quot;$&quot;#,##0_);\(&quot;$&quot;#,##0\)"/>
    <numFmt numFmtId="191" formatCode="#,##0.000_);[Red]\(#,##0.000\)"/>
    <numFmt numFmtId="192" formatCode="mm/dd/yy"/>
    <numFmt numFmtId="193" formatCode="_ * #,##0_ ;_ * \-#,##0_ ;_ * &quot;-&quot;_ ;_ @_ "/>
    <numFmt numFmtId="194" formatCode="_ * #,##0.00_ ;_ * \-#,##0.00_ ;_ * &quot;-&quot;??_ ;_ @_ "/>
    <numFmt numFmtId="195" formatCode="0.0%"/>
    <numFmt numFmtId="196" formatCode="#,##0.0"/>
    <numFmt numFmtId="197" formatCode="_-* #,##0.000_-;\-* #,##0.000_-;_-* &quot;-&quot;???_-;_-@_-"/>
    <numFmt numFmtId="198" formatCode="0.0000"/>
  </numFmts>
  <fonts count="95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0"/>
      <color rgb="FFC00000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u val="singleAccounting"/>
      <sz val="10"/>
      <color rgb="FFC00000"/>
      <name val="Calibri"/>
      <family val="2"/>
      <scheme val="minor"/>
    </font>
    <font>
      <b/>
      <sz val="16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b/>
      <sz val="16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0"/>
      <name val="Calibri"/>
      <family val="2"/>
      <scheme val="minor"/>
    </font>
    <font>
      <b/>
      <strike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4"/>
      <name val="Calibri"/>
      <family val="2"/>
      <scheme val="minor"/>
    </font>
    <font>
      <sz val="14"/>
      <name val="Calibri"/>
      <family val="2"/>
      <scheme val="minor"/>
    </font>
    <font>
      <u val="singleAccounting"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name val="Times New Roman"/>
      <family val="1"/>
    </font>
    <font>
      <sz val="12"/>
      <name val="Tms Rmn"/>
    </font>
    <font>
      <sz val="11"/>
      <color indexed="8"/>
      <name val="Calibri"/>
      <family val="2"/>
    </font>
    <font>
      <sz val="10"/>
      <color indexed="22"/>
      <name val="Arial"/>
      <family val="2"/>
    </font>
    <font>
      <sz val="10"/>
      <name val="MS Serif"/>
      <family val="1"/>
    </font>
    <font>
      <sz val="12"/>
      <name val="Helv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u/>
      <sz val="10"/>
      <color indexed="36"/>
      <name val="Arial"/>
      <family val="2"/>
    </font>
    <font>
      <b/>
      <sz val="10"/>
      <color indexed="12"/>
      <name val="Times New Roman"/>
      <family val="1"/>
    </font>
    <font>
      <sz val="12"/>
      <name val="Arial"/>
      <family val="2"/>
    </font>
    <font>
      <b/>
      <sz val="14"/>
      <name val="Helv"/>
    </font>
    <font>
      <sz val="10"/>
      <name val="Courier"/>
      <family val="3"/>
    </font>
    <font>
      <sz val="8"/>
      <name val="Palatino"/>
      <family val="1"/>
    </font>
    <font>
      <sz val="10"/>
      <name val="Times New Roman Baltic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name val="Tms Rmn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Baskerville MT"/>
    </font>
    <font>
      <sz val="10"/>
      <name val="Baskerville MT"/>
      <family val="2"/>
    </font>
    <font>
      <sz val="8"/>
      <name val="Helv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name val="Times New Roman"/>
      <family val="1"/>
    </font>
    <font>
      <sz val="10"/>
      <color indexed="24"/>
      <name val="Arial"/>
      <family val="2"/>
    </font>
    <font>
      <b/>
      <sz val="9"/>
      <name val="Arial"/>
      <family val="2"/>
    </font>
    <font>
      <sz val="7"/>
      <name val="Times New Roman"/>
      <family val="1"/>
    </font>
    <font>
      <sz val="9"/>
      <name val="Times New Roman"/>
      <family val="1"/>
    </font>
    <font>
      <sz val="24"/>
      <color indexed="13"/>
      <name val="Helv"/>
    </font>
    <font>
      <sz val="11"/>
      <name val="돋움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2"/>
      <color indexed="8"/>
      <name val="新細明體"/>
      <family val="1"/>
    </font>
    <font>
      <b/>
      <i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2"/>
      </patternFill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double">
        <color theme="0" tint="-0.14993743705557422"/>
      </top>
      <bottom style="hair">
        <color theme="0" tint="-0.14996795556505021"/>
      </bottom>
      <diagonal/>
    </border>
    <border>
      <left style="double">
        <color theme="0" tint="-0.14993743705557422"/>
      </left>
      <right style="hair">
        <color theme="0" tint="-0.14996795556505021"/>
      </right>
      <top style="double">
        <color theme="0" tint="-0.14993743705557422"/>
      </top>
      <bottom/>
      <diagonal/>
    </border>
    <border>
      <left style="double">
        <color theme="0" tint="-0.14993743705557422"/>
      </left>
      <right style="hair">
        <color theme="0" tint="-0.14996795556505021"/>
      </right>
      <top/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double">
        <color theme="0" tint="-0.14990691854609822"/>
      </top>
      <bottom style="double">
        <color theme="0" tint="-0.14990691854609822"/>
      </bottom>
      <diagonal/>
    </border>
    <border>
      <left style="double">
        <color theme="0" tint="-0.14990691854609822"/>
      </left>
      <right style="hair">
        <color theme="0" tint="-0.14996795556505021"/>
      </right>
      <top style="double">
        <color theme="0" tint="-0.14990691854609822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double">
        <color theme="0" tint="-0.14990691854609822"/>
      </top>
      <bottom style="hair">
        <color theme="0" tint="-0.14996795556505021"/>
      </bottom>
      <diagonal/>
    </border>
    <border>
      <left style="double">
        <color theme="0" tint="-0.14990691854609822"/>
      </left>
      <right style="hair">
        <color theme="0" tint="-0.14996795556505021"/>
      </right>
      <top/>
      <bottom style="double">
        <color theme="0" tint="-0.1499069185460982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double">
        <color theme="0" tint="-0.1499069185460982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/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double">
        <color theme="0" tint="-0.14990691854609822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double">
        <color theme="0" tint="-0.14990691854609822"/>
      </bottom>
      <diagonal/>
    </border>
    <border>
      <left style="hair">
        <color theme="0" tint="-0.14996795556505021"/>
      </left>
      <right/>
      <top style="double">
        <color theme="0" tint="-0.14990691854609822"/>
      </top>
      <bottom style="double">
        <color theme="0" tint="-0.14990691854609822"/>
      </bottom>
      <diagonal/>
    </border>
    <border>
      <left style="hair">
        <color theme="0" tint="-0.14996795556505021"/>
      </left>
      <right/>
      <top style="double">
        <color theme="0" tint="-0.14993743705557422"/>
      </top>
      <bottom style="hair">
        <color theme="0" tint="-0.14996795556505021"/>
      </bottom>
      <diagonal/>
    </border>
    <border>
      <left style="hair">
        <color theme="0" tint="-0.14993743705557422"/>
      </left>
      <right style="double">
        <color theme="0" tint="-0.14993743705557422"/>
      </right>
      <top style="double">
        <color theme="0" tint="-0.14993743705557422"/>
      </top>
      <bottom style="hair">
        <color theme="0" tint="-0.14996795556505021"/>
      </bottom>
      <diagonal/>
    </border>
    <border>
      <left style="hair">
        <color theme="0" tint="-0.14993743705557422"/>
      </left>
      <right style="double">
        <color theme="0" tint="-0.1499374370555742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3743705557422"/>
      </left>
      <right style="double">
        <color theme="0" tint="-0.14993743705557422"/>
      </right>
      <top style="double">
        <color theme="0" tint="-0.14990691854609822"/>
      </top>
      <bottom style="hair">
        <color theme="0" tint="-0.14996795556505021"/>
      </bottom>
      <diagonal/>
    </border>
    <border>
      <left style="hair">
        <color theme="0" tint="-0.14993743705557422"/>
      </left>
      <right style="double">
        <color theme="0" tint="-0.14993743705557422"/>
      </right>
      <top style="hair">
        <color theme="0" tint="-0.14996795556505021"/>
      </top>
      <bottom style="double">
        <color theme="0" tint="-0.14990691854609822"/>
      </bottom>
      <diagonal/>
    </border>
    <border>
      <left style="double">
        <color theme="0" tint="-0.14990691854609822"/>
      </left>
      <right style="hair">
        <color theme="0" tint="-0.14990691854609822"/>
      </right>
      <top style="double">
        <color theme="0" tint="-0.14990691854609822"/>
      </top>
      <bottom style="hair">
        <color theme="0" tint="-0.14990691854609822"/>
      </bottom>
      <diagonal/>
    </border>
    <border>
      <left style="hair">
        <color theme="0" tint="-0.14990691854609822"/>
      </left>
      <right style="double">
        <color theme="0" tint="-0.14990691854609822"/>
      </right>
      <top style="double">
        <color theme="0" tint="-0.14990691854609822"/>
      </top>
      <bottom style="hair">
        <color theme="0" tint="-0.14990691854609822"/>
      </bottom>
      <diagonal/>
    </border>
    <border>
      <left style="double">
        <color theme="0" tint="-0.14990691854609822"/>
      </left>
      <right style="hair">
        <color theme="0" tint="-0.14990691854609822"/>
      </right>
      <top style="hair">
        <color theme="0" tint="-0.14990691854609822"/>
      </top>
      <bottom style="hair">
        <color theme="0" tint="-0.14990691854609822"/>
      </bottom>
      <diagonal/>
    </border>
    <border>
      <left style="hair">
        <color theme="0" tint="-0.14990691854609822"/>
      </left>
      <right style="double">
        <color theme="0" tint="-0.14990691854609822"/>
      </right>
      <top style="hair">
        <color theme="0" tint="-0.14990691854609822"/>
      </top>
      <bottom style="hair">
        <color theme="0" tint="-0.14990691854609822"/>
      </bottom>
      <diagonal/>
    </border>
    <border>
      <left style="double">
        <color theme="0" tint="-0.14990691854609822"/>
      </left>
      <right style="hair">
        <color theme="0" tint="-0.14990691854609822"/>
      </right>
      <top style="hair">
        <color theme="0" tint="-0.14990691854609822"/>
      </top>
      <bottom style="double">
        <color theme="0" tint="-0.14990691854609822"/>
      </bottom>
      <diagonal/>
    </border>
    <border>
      <left/>
      <right/>
      <top style="double">
        <color theme="0" tint="-0.14993743705557422"/>
      </top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/>
      <diagonal/>
    </border>
    <border>
      <left/>
      <right/>
      <top style="hair">
        <color theme="0" tint="-0.14996795556505021"/>
      </top>
      <bottom style="double">
        <color theme="0" tint="-0.14990691854609822"/>
      </bottom>
      <diagonal/>
    </border>
    <border>
      <left/>
      <right/>
      <top style="double">
        <color theme="0" tint="-0.149906918546098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theme="0" tint="-0.14990691854609822"/>
      </left>
      <right style="hair">
        <color theme="0" tint="-0.14996795556505021"/>
      </right>
      <top/>
      <bottom/>
      <diagonal/>
    </border>
  </borders>
  <cellStyleXfs count="248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8" fillId="0" borderId="0"/>
    <xf numFmtId="164" fontId="1" fillId="0" borderId="0" applyFont="0" applyFill="0" applyBorder="0" applyAlignment="0" applyProtection="0"/>
    <xf numFmtId="0" fontId="1" fillId="0" borderId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0" fillId="0" borderId="0">
      <alignment horizontal="center" wrapText="1"/>
      <protection locked="0"/>
    </xf>
    <xf numFmtId="0" fontId="51" fillId="0" borderId="0" applyNumberFormat="0" applyFill="0" applyBorder="0" applyAlignment="0" applyProtection="0"/>
    <xf numFmtId="0" fontId="50" fillId="0" borderId="25" applyNumberFormat="0" applyFont="0" applyFill="0" applyAlignment="0" applyProtection="0"/>
    <xf numFmtId="0" fontId="50" fillId="0" borderId="101" applyNumberFormat="0" applyFont="0" applyFill="0" applyAlignment="0" applyProtection="0"/>
    <xf numFmtId="173" fontId="28" fillId="0" borderId="0" applyFill="0" applyBorder="0" applyAlignment="0"/>
    <xf numFmtId="43" fontId="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8" fillId="0" borderId="0" applyFont="0" applyFill="0" applyBorder="0" applyAlignment="0" applyProtection="0"/>
    <xf numFmtId="3" fontId="53" fillId="0" borderId="0" applyFont="0" applyFill="0" applyBorder="0" applyAlignment="0" applyProtection="0"/>
    <xf numFmtId="0" fontId="54" fillId="0" borderId="0" applyNumberFormat="0" applyAlignment="0">
      <alignment horizontal="left"/>
    </xf>
    <xf numFmtId="174" fontId="53" fillId="0" borderId="0" applyFont="0" applyFill="0" applyBorder="0" applyAlignment="0" applyProtection="0"/>
    <xf numFmtId="0" fontId="55" fillId="0" borderId="0"/>
    <xf numFmtId="0" fontId="55" fillId="0" borderId="102"/>
    <xf numFmtId="175" fontId="50" fillId="0" borderId="0" applyFont="0" applyFill="0" applyBorder="0" applyProtection="0">
      <alignment horizontal="right"/>
    </xf>
    <xf numFmtId="0" fontId="56" fillId="0" borderId="0" applyNumberFormat="0" applyAlignment="0">
      <alignment horizontal="left"/>
    </xf>
    <xf numFmtId="176" fontId="28" fillId="0" borderId="0" applyFont="0" applyFill="0" applyBorder="0" applyAlignment="0" applyProtection="0"/>
    <xf numFmtId="2" fontId="53" fillId="0" borderId="0" applyFont="0" applyFill="0" applyBorder="0" applyAlignment="0" applyProtection="0"/>
    <xf numFmtId="38" fontId="57" fillId="28" borderId="0" applyNumberFormat="0" applyBorder="0" applyAlignment="0" applyProtection="0"/>
    <xf numFmtId="0" fontId="58" fillId="0" borderId="30" applyNumberFormat="0" applyAlignment="0" applyProtection="0">
      <alignment horizontal="left" vertical="center"/>
    </xf>
    <xf numFmtId="0" fontId="58" fillId="0" borderId="54">
      <alignment horizontal="left" vertical="center"/>
    </xf>
    <xf numFmtId="49" fontId="4" fillId="0" borderId="0">
      <alignment horizontal="left"/>
    </xf>
    <xf numFmtId="49" fontId="59" fillId="0" borderId="0">
      <alignment horizontal="left"/>
    </xf>
    <xf numFmtId="1" fontId="28" fillId="0" borderId="0" applyFont="0" applyFill="0" applyBorder="0" applyAlignment="0" applyProtection="0"/>
    <xf numFmtId="2" fontId="28" fillId="0" borderId="0" applyFill="0" applyProtection="0">
      <protection locked="0"/>
    </xf>
    <xf numFmtId="1" fontId="28" fillId="0" borderId="0" applyFont="0" applyFill="0" applyBorder="0" applyAlignment="0" applyProtection="0"/>
    <xf numFmtId="49" fontId="4" fillId="0" borderId="0"/>
    <xf numFmtId="177" fontId="28" fillId="0" borderId="0" applyFont="0" applyFill="0" applyBorder="0" applyAlignment="0" applyProtection="0"/>
    <xf numFmtId="49" fontId="4" fillId="0" borderId="0"/>
    <xf numFmtId="49" fontId="4" fillId="0" borderId="0"/>
    <xf numFmtId="49" fontId="4" fillId="0" borderId="0">
      <alignment vertical="top"/>
    </xf>
    <xf numFmtId="0" fontId="60" fillId="0" borderId="0" applyNumberFormat="0" applyFill="0" applyBorder="0" applyAlignment="0" applyProtection="0">
      <alignment vertical="top"/>
      <protection locked="0"/>
    </xf>
    <xf numFmtId="178" fontId="61" fillId="29" borderId="19">
      <alignment horizontal="center"/>
    </xf>
    <xf numFmtId="0" fontId="62" fillId="0" borderId="0"/>
    <xf numFmtId="10" fontId="57" fillId="30" borderId="19" applyNumberFormat="0" applyBorder="0" applyAlignment="0" applyProtection="0"/>
    <xf numFmtId="0" fontId="55" fillId="0" borderId="0" applyBorder="0"/>
    <xf numFmtId="0" fontId="63" fillId="31" borderId="102"/>
    <xf numFmtId="0" fontId="64" fillId="0" borderId="103"/>
    <xf numFmtId="164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4" fontId="62" fillId="0" borderId="0" applyFont="0" applyFill="0" applyBorder="0" applyAlignment="0" applyProtection="0"/>
    <xf numFmtId="0" fontId="28" fillId="0" borderId="0" applyFont="0" applyFill="0" applyBorder="0" applyAlignment="0" applyProtection="0"/>
    <xf numFmtId="185" fontId="65" fillId="0" borderId="0" applyFont="0" applyFill="0" applyBorder="0" applyProtection="0">
      <alignment horizontal="right"/>
    </xf>
    <xf numFmtId="0" fontId="64" fillId="0" borderId="0"/>
    <xf numFmtId="184" fontId="66" fillId="0" borderId="0"/>
    <xf numFmtId="0" fontId="28" fillId="0" borderId="0"/>
    <xf numFmtId="0" fontId="28" fillId="0" borderId="0"/>
    <xf numFmtId="186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0" fontId="67" fillId="0" borderId="0" applyFill="0" applyBorder="0" applyProtection="0">
      <alignment horizontal="left"/>
    </xf>
    <xf numFmtId="0" fontId="68" fillId="0" borderId="0" applyFill="0" applyBorder="0" applyProtection="0">
      <alignment horizontal="left"/>
    </xf>
    <xf numFmtId="188" fontId="28" fillId="0" borderId="42" applyFont="0" applyFill="0" applyBorder="0" applyAlignment="0" applyProtection="0"/>
    <xf numFmtId="14" fontId="50" fillId="0" borderId="0">
      <alignment horizontal="center" wrapText="1"/>
      <protection locked="0"/>
    </xf>
    <xf numFmtId="10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189" fontId="50" fillId="0" borderId="0" applyFont="0" applyFill="0" applyBorder="0" applyProtection="0">
      <alignment horizontal="right"/>
    </xf>
    <xf numFmtId="190" fontId="69" fillId="0" borderId="0"/>
    <xf numFmtId="0" fontId="70" fillId="0" borderId="0" applyNumberFormat="0" applyFont="0" applyFill="0" applyBorder="0" applyAlignment="0" applyProtection="0">
      <alignment horizontal="left"/>
    </xf>
    <xf numFmtId="15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0" fontId="71" fillId="0" borderId="25">
      <alignment horizontal="center"/>
    </xf>
    <xf numFmtId="3" fontId="70" fillId="0" borderId="0" applyFont="0" applyFill="0" applyBorder="0" applyAlignment="0" applyProtection="0"/>
    <xf numFmtId="0" fontId="70" fillId="32" borderId="0" applyNumberFormat="0" applyFont="0" applyBorder="0" applyAlignment="0" applyProtection="0"/>
    <xf numFmtId="191" fontId="72" fillId="0" borderId="0">
      <alignment horizontal="center"/>
    </xf>
    <xf numFmtId="191" fontId="72" fillId="0" borderId="0">
      <alignment horizontal="center"/>
    </xf>
    <xf numFmtId="191" fontId="73" fillId="0" borderId="0">
      <alignment horizontal="center"/>
    </xf>
    <xf numFmtId="191" fontId="73" fillId="0" borderId="0">
      <alignment horizontal="center"/>
    </xf>
    <xf numFmtId="191" fontId="72" fillId="0" borderId="0">
      <alignment horizontal="center"/>
    </xf>
    <xf numFmtId="191" fontId="73" fillId="0" borderId="0">
      <alignment horizontal="center"/>
    </xf>
    <xf numFmtId="191" fontId="73" fillId="0" borderId="0">
      <alignment horizontal="center"/>
    </xf>
    <xf numFmtId="191" fontId="72" fillId="0" borderId="0">
      <alignment horizontal="center"/>
    </xf>
    <xf numFmtId="191" fontId="73" fillId="0" borderId="0">
      <alignment horizontal="center"/>
    </xf>
    <xf numFmtId="191" fontId="73" fillId="0" borderId="0">
      <alignment horizontal="center"/>
    </xf>
    <xf numFmtId="191" fontId="72" fillId="0" borderId="0">
      <alignment horizontal="center"/>
    </xf>
    <xf numFmtId="191" fontId="73" fillId="0" borderId="0">
      <alignment horizontal="center"/>
    </xf>
    <xf numFmtId="191" fontId="73" fillId="0" borderId="0">
      <alignment horizontal="center"/>
    </xf>
    <xf numFmtId="0" fontId="72" fillId="0" borderId="0">
      <alignment horizontal="center"/>
    </xf>
    <xf numFmtId="0" fontId="73" fillId="0" borderId="0">
      <alignment horizontal="center"/>
    </xf>
    <xf numFmtId="191" fontId="72" fillId="0" borderId="0">
      <alignment horizontal="center"/>
    </xf>
    <xf numFmtId="191" fontId="73" fillId="0" borderId="0">
      <alignment horizontal="center"/>
    </xf>
    <xf numFmtId="191" fontId="73" fillId="0" borderId="0">
      <alignment horizontal="center"/>
    </xf>
    <xf numFmtId="0" fontId="73" fillId="0" borderId="0">
      <alignment horizontal="center"/>
    </xf>
    <xf numFmtId="191" fontId="72" fillId="0" borderId="0">
      <alignment horizontal="center"/>
    </xf>
    <xf numFmtId="191" fontId="72" fillId="0" borderId="0">
      <alignment horizontal="center"/>
    </xf>
    <xf numFmtId="191" fontId="73" fillId="0" borderId="0">
      <alignment horizontal="center"/>
    </xf>
    <xf numFmtId="191" fontId="73" fillId="0" borderId="0">
      <alignment horizontal="center"/>
    </xf>
    <xf numFmtId="191" fontId="73" fillId="0" borderId="0">
      <alignment horizontal="center"/>
    </xf>
    <xf numFmtId="191" fontId="73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191" fontId="72" fillId="0" borderId="0">
      <alignment horizontal="center"/>
    </xf>
    <xf numFmtId="191" fontId="73" fillId="0" borderId="0">
      <alignment horizontal="center"/>
    </xf>
    <xf numFmtId="191" fontId="73" fillId="0" borderId="0">
      <alignment horizontal="center"/>
    </xf>
    <xf numFmtId="191" fontId="73" fillId="0" borderId="0">
      <alignment horizontal="center"/>
    </xf>
    <xf numFmtId="191" fontId="72" fillId="0" borderId="0">
      <alignment horizontal="center"/>
    </xf>
    <xf numFmtId="191" fontId="73" fillId="0" borderId="0">
      <alignment horizontal="center"/>
    </xf>
    <xf numFmtId="191" fontId="73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191" fontId="72" fillId="0" borderId="0">
      <alignment horizontal="center"/>
    </xf>
    <xf numFmtId="191" fontId="73" fillId="0" borderId="0">
      <alignment horizontal="center"/>
    </xf>
    <xf numFmtId="191" fontId="73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191" fontId="72" fillId="0" borderId="0">
      <alignment horizontal="center"/>
    </xf>
    <xf numFmtId="191" fontId="73" fillId="0" borderId="0">
      <alignment horizontal="center"/>
    </xf>
    <xf numFmtId="191" fontId="73" fillId="0" borderId="0">
      <alignment horizontal="center"/>
    </xf>
    <xf numFmtId="191" fontId="72" fillId="0" borderId="0">
      <alignment horizontal="center"/>
    </xf>
    <xf numFmtId="191" fontId="73" fillId="0" borderId="0">
      <alignment horizontal="center"/>
    </xf>
    <xf numFmtId="191" fontId="73" fillId="0" borderId="0">
      <alignment horizontal="center"/>
    </xf>
    <xf numFmtId="191" fontId="73" fillId="0" borderId="0">
      <alignment horizontal="center"/>
    </xf>
    <xf numFmtId="191" fontId="72" fillId="0" borderId="0">
      <alignment horizontal="center"/>
    </xf>
    <xf numFmtId="191" fontId="73" fillId="0" borderId="0">
      <alignment horizontal="center"/>
    </xf>
    <xf numFmtId="191" fontId="73" fillId="0" borderId="0">
      <alignment horizontal="center"/>
    </xf>
    <xf numFmtId="191" fontId="72" fillId="0" borderId="0">
      <alignment horizontal="center"/>
    </xf>
    <xf numFmtId="191" fontId="73" fillId="0" borderId="0">
      <alignment horizontal="center"/>
    </xf>
    <xf numFmtId="191" fontId="73" fillId="0" borderId="0">
      <alignment horizontal="center"/>
    </xf>
    <xf numFmtId="191" fontId="72" fillId="0" borderId="0">
      <alignment horizontal="center"/>
    </xf>
    <xf numFmtId="191" fontId="73" fillId="0" borderId="0">
      <alignment horizontal="center"/>
    </xf>
    <xf numFmtId="191" fontId="73" fillId="0" borderId="0">
      <alignment horizontal="center"/>
    </xf>
    <xf numFmtId="0" fontId="55" fillId="0" borderId="0"/>
    <xf numFmtId="192" fontId="74" fillId="0" borderId="0" applyNumberFormat="0" applyFill="0" applyBorder="0" applyAlignment="0" applyProtection="0">
      <alignment horizontal="left"/>
    </xf>
    <xf numFmtId="4" fontId="75" fillId="33" borderId="104" applyNumberFormat="0" applyProtection="0">
      <alignment vertical="center"/>
    </xf>
    <xf numFmtId="4" fontId="76" fillId="33" borderId="104" applyNumberFormat="0" applyProtection="0">
      <alignment vertical="center"/>
    </xf>
    <xf numFmtId="4" fontId="75" fillId="33" borderId="104" applyNumberFormat="0" applyProtection="0">
      <alignment horizontal="left" vertical="center" indent="1"/>
    </xf>
    <xf numFmtId="4" fontId="75" fillId="33" borderId="104" applyNumberFormat="0" applyProtection="0">
      <alignment horizontal="left" vertical="center" indent="1"/>
    </xf>
    <xf numFmtId="0" fontId="28" fillId="34" borderId="104" applyNumberFormat="0" applyProtection="0">
      <alignment horizontal="left" vertical="center" indent="1"/>
    </xf>
    <xf numFmtId="4" fontId="75" fillId="35" borderId="104" applyNumberFormat="0" applyProtection="0">
      <alignment horizontal="right" vertical="center"/>
    </xf>
    <xf numFmtId="4" fontId="75" fillId="36" borderId="104" applyNumberFormat="0" applyProtection="0">
      <alignment horizontal="right" vertical="center"/>
    </xf>
    <xf numFmtId="4" fontId="75" fillId="37" borderId="104" applyNumberFormat="0" applyProtection="0">
      <alignment horizontal="right" vertical="center"/>
    </xf>
    <xf numFmtId="4" fontId="75" fillId="38" borderId="104" applyNumberFormat="0" applyProtection="0">
      <alignment horizontal="right" vertical="center"/>
    </xf>
    <xf numFmtId="4" fontId="75" fillId="39" borderId="104" applyNumberFormat="0" applyProtection="0">
      <alignment horizontal="right" vertical="center"/>
    </xf>
    <xf numFmtId="4" fontId="75" fillId="40" borderId="104" applyNumberFormat="0" applyProtection="0">
      <alignment horizontal="right" vertical="center"/>
    </xf>
    <xf numFmtId="4" fontId="75" fillId="41" borderId="104" applyNumberFormat="0" applyProtection="0">
      <alignment horizontal="right" vertical="center"/>
    </xf>
    <xf numFmtId="4" fontId="75" fillId="42" borderId="104" applyNumberFormat="0" applyProtection="0">
      <alignment horizontal="right" vertical="center"/>
    </xf>
    <xf numFmtId="4" fontId="75" fillId="43" borderId="104" applyNumberFormat="0" applyProtection="0">
      <alignment horizontal="right" vertical="center"/>
    </xf>
    <xf numFmtId="4" fontId="77" fillId="44" borderId="104" applyNumberFormat="0" applyProtection="0">
      <alignment horizontal="left" vertical="center" indent="1"/>
    </xf>
    <xf numFmtId="4" fontId="75" fillId="45" borderId="105" applyNumberFormat="0" applyProtection="0">
      <alignment horizontal="left" vertical="center" indent="1"/>
    </xf>
    <xf numFmtId="4" fontId="78" fillId="46" borderId="0" applyNumberFormat="0" applyProtection="0">
      <alignment horizontal="left" vertical="center" indent="1"/>
    </xf>
    <xf numFmtId="0" fontId="28" fillId="34" borderId="104" applyNumberFormat="0" applyProtection="0">
      <alignment horizontal="left" vertical="center" indent="1"/>
    </xf>
    <xf numFmtId="4" fontId="75" fillId="45" borderId="104" applyNumberFormat="0" applyProtection="0">
      <alignment horizontal="left" vertical="center" indent="1"/>
    </xf>
    <xf numFmtId="4" fontId="75" fillId="47" borderId="104" applyNumberFormat="0" applyProtection="0">
      <alignment horizontal="left" vertical="center" indent="1"/>
    </xf>
    <xf numFmtId="0" fontId="28" fillId="47" borderId="104" applyNumberFormat="0" applyProtection="0">
      <alignment horizontal="left" vertical="center" indent="1"/>
    </xf>
    <xf numFmtId="0" fontId="28" fillId="47" borderId="104" applyNumberFormat="0" applyProtection="0">
      <alignment horizontal="left" vertical="center" indent="1"/>
    </xf>
    <xf numFmtId="0" fontId="28" fillId="48" borderId="104" applyNumberFormat="0" applyProtection="0">
      <alignment horizontal="left" vertical="center" indent="1"/>
    </xf>
    <xf numFmtId="0" fontId="28" fillId="48" borderId="104" applyNumberFormat="0" applyProtection="0">
      <alignment horizontal="left" vertical="center" indent="1"/>
    </xf>
    <xf numFmtId="0" fontId="28" fillId="28" borderId="104" applyNumberFormat="0" applyProtection="0">
      <alignment horizontal="left" vertical="center" indent="1"/>
    </xf>
    <xf numFmtId="0" fontId="28" fillId="28" borderId="104" applyNumberFormat="0" applyProtection="0">
      <alignment horizontal="left" vertical="center" indent="1"/>
    </xf>
    <xf numFmtId="0" fontId="28" fillId="34" borderId="104" applyNumberFormat="0" applyProtection="0">
      <alignment horizontal="left" vertical="center" indent="1"/>
    </xf>
    <xf numFmtId="0" fontId="28" fillId="34" borderId="104" applyNumberFormat="0" applyProtection="0">
      <alignment horizontal="left" vertical="center" indent="1"/>
    </xf>
    <xf numFmtId="4" fontId="75" fillId="30" borderId="104" applyNumberFormat="0" applyProtection="0">
      <alignment vertical="center"/>
    </xf>
    <xf numFmtId="4" fontId="76" fillId="30" borderId="104" applyNumberFormat="0" applyProtection="0">
      <alignment vertical="center"/>
    </xf>
    <xf numFmtId="4" fontId="75" fillId="30" borderId="104" applyNumberFormat="0" applyProtection="0">
      <alignment horizontal="left" vertical="center" indent="1"/>
    </xf>
    <xf numFmtId="4" fontId="75" fillId="30" borderId="104" applyNumberFormat="0" applyProtection="0">
      <alignment horizontal="left" vertical="center" indent="1"/>
    </xf>
    <xf numFmtId="4" fontId="75" fillId="45" borderId="104" applyNumberFormat="0" applyProtection="0">
      <alignment horizontal="right" vertical="center"/>
    </xf>
    <xf numFmtId="4" fontId="76" fillId="45" borderId="104" applyNumberFormat="0" applyProtection="0">
      <alignment horizontal="right" vertical="center"/>
    </xf>
    <xf numFmtId="0" fontId="28" fillId="34" borderId="104" applyNumberFormat="0" applyProtection="0">
      <alignment horizontal="left" vertical="center" indent="1"/>
    </xf>
    <xf numFmtId="0" fontId="28" fillId="34" borderId="104" applyNumberFormat="0" applyProtection="0">
      <alignment horizontal="left" vertical="center" indent="1"/>
    </xf>
    <xf numFmtId="0" fontId="79" fillId="0" borderId="0"/>
    <xf numFmtId="4" fontId="80" fillId="45" borderId="104" applyNumberFormat="0" applyProtection="0">
      <alignment horizontal="right" vertical="center"/>
    </xf>
    <xf numFmtId="0" fontId="81" fillId="49" borderId="0" applyNumberFormat="0" applyFont="0" applyBorder="0" applyAlignment="0" applyProtection="0"/>
    <xf numFmtId="0" fontId="82" fillId="0" borderId="0"/>
    <xf numFmtId="40" fontId="28" fillId="0" borderId="0" applyBorder="0">
      <alignment horizontal="right"/>
    </xf>
    <xf numFmtId="0" fontId="55" fillId="0" borderId="102"/>
    <xf numFmtId="0" fontId="83" fillId="0" borderId="0" applyFill="0" applyBorder="0" applyProtection="0">
      <alignment horizontal="center" vertical="center"/>
    </xf>
    <xf numFmtId="0" fontId="83" fillId="0" borderId="0" applyFill="0" applyBorder="0" applyProtection="0"/>
    <xf numFmtId="0" fontId="4" fillId="0" borderId="0" applyFill="0" applyBorder="0" applyProtection="0">
      <alignment horizontal="left"/>
    </xf>
    <xf numFmtId="0" fontId="84" fillId="0" borderId="0" applyFill="0" applyBorder="0" applyProtection="0">
      <alignment horizontal="left" vertical="top"/>
    </xf>
    <xf numFmtId="40" fontId="85" fillId="0" borderId="0" applyFont="0" applyFill="0" applyBorder="0" applyAlignment="0" applyProtection="0">
      <alignment horizontal="left"/>
    </xf>
    <xf numFmtId="38" fontId="85" fillId="0" borderId="0">
      <alignment horizontal="left"/>
    </xf>
    <xf numFmtId="0" fontId="86" fillId="50" borderId="0"/>
    <xf numFmtId="0" fontId="63" fillId="0" borderId="106"/>
    <xf numFmtId="0" fontId="63" fillId="0" borderId="102"/>
    <xf numFmtId="175" fontId="50" fillId="0" borderId="0" applyFont="0" applyFill="0" applyBorder="0" applyProtection="0">
      <alignment horizontal="right"/>
    </xf>
    <xf numFmtId="43" fontId="87" fillId="0" borderId="0" applyFont="0" applyFill="0" applyBorder="0" applyAlignment="0" applyProtection="0"/>
    <xf numFmtId="0" fontId="87" fillId="0" borderId="0"/>
    <xf numFmtId="0" fontId="88" fillId="0" borderId="0"/>
    <xf numFmtId="164" fontId="28" fillId="0" borderId="0" applyFont="0" applyFill="0" applyBorder="0" applyAlignment="0" applyProtection="0"/>
    <xf numFmtId="193" fontId="89" fillId="0" borderId="0" applyFont="0" applyFill="0" applyBorder="0" applyAlignment="0" applyProtection="0"/>
    <xf numFmtId="194" fontId="89" fillId="0" borderId="0" applyFont="0" applyFill="0" applyBorder="0" applyAlignment="0" applyProtection="0"/>
    <xf numFmtId="0" fontId="28" fillId="0" borderId="0"/>
    <xf numFmtId="0" fontId="90" fillId="0" borderId="0"/>
    <xf numFmtId="0" fontId="87" fillId="0" borderId="0"/>
  </cellStyleXfs>
  <cellXfs count="1586">
    <xf numFmtId="0" fontId="0" fillId="0" borderId="0" xfId="0"/>
    <xf numFmtId="0" fontId="7" fillId="0" borderId="0" xfId="0" applyFont="1"/>
    <xf numFmtId="0" fontId="7" fillId="0" borderId="0" xfId="0" applyFont="1" applyBorder="1"/>
    <xf numFmtId="0" fontId="0" fillId="0" borderId="0" xfId="0"/>
    <xf numFmtId="165" fontId="2" fillId="4" borderId="0" xfId="2" applyNumberFormat="1" applyFont="1" applyFill="1" applyBorder="1"/>
    <xf numFmtId="0" fontId="4" fillId="4" borderId="0" xfId="0" applyFont="1" applyFill="1" applyBorder="1" applyAlignment="1">
      <alignment horizontal="center" vertical="center" wrapText="1"/>
    </xf>
    <xf numFmtId="165" fontId="0" fillId="0" borderId="0" xfId="0" applyNumberFormat="1"/>
    <xf numFmtId="0" fontId="4" fillId="4" borderId="11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165" fontId="2" fillId="4" borderId="26" xfId="2" applyNumberFormat="1" applyFont="1" applyFill="1" applyBorder="1"/>
    <xf numFmtId="165" fontId="3" fillId="3" borderId="28" xfId="0" applyNumberFormat="1" applyFont="1" applyFill="1" applyBorder="1"/>
    <xf numFmtId="165" fontId="10" fillId="6" borderId="21" xfId="0" applyNumberFormat="1" applyFont="1" applyFill="1" applyBorder="1"/>
    <xf numFmtId="165" fontId="3" fillId="3" borderId="31" xfId="2" applyNumberFormat="1" applyFont="1" applyFill="1" applyBorder="1"/>
    <xf numFmtId="165" fontId="3" fillId="3" borderId="20" xfId="0" applyNumberFormat="1" applyFont="1" applyFill="1" applyBorder="1"/>
    <xf numFmtId="165" fontId="10" fillId="6" borderId="31" xfId="0" applyNumberFormat="1" applyFont="1" applyFill="1" applyBorder="1"/>
    <xf numFmtId="165" fontId="10" fillId="6" borderId="13" xfId="0" applyNumberFormat="1" applyFont="1" applyFill="1" applyBorder="1"/>
    <xf numFmtId="0" fontId="4" fillId="4" borderId="20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 wrapText="1"/>
    </xf>
    <xf numFmtId="165" fontId="3" fillId="3" borderId="34" xfId="0" applyNumberFormat="1" applyFont="1" applyFill="1" applyBorder="1"/>
    <xf numFmtId="0" fontId="4" fillId="4" borderId="31" xfId="0" applyFont="1" applyFill="1" applyBorder="1" applyAlignment="1">
      <alignment horizontal="center" vertical="center" wrapText="1"/>
    </xf>
    <xf numFmtId="165" fontId="10" fillId="6" borderId="20" xfId="0" applyNumberFormat="1" applyFont="1" applyFill="1" applyBorder="1"/>
    <xf numFmtId="165" fontId="3" fillId="3" borderId="13" xfId="0" applyNumberFormat="1" applyFont="1" applyFill="1" applyBorder="1"/>
    <xf numFmtId="165" fontId="2" fillId="3" borderId="20" xfId="2" applyNumberFormat="1" applyFont="1" applyFill="1" applyBorder="1"/>
    <xf numFmtId="0" fontId="0" fillId="4" borderId="0" xfId="0" applyFill="1"/>
    <xf numFmtId="0" fontId="5" fillId="4" borderId="0" xfId="0" applyFont="1" applyFill="1" applyBorder="1" applyAlignment="1">
      <alignment horizontal="center" vertical="center" textRotation="90"/>
    </xf>
    <xf numFmtId="1" fontId="10" fillId="4" borderId="0" xfId="0" applyNumberFormat="1" applyFont="1" applyFill="1" applyBorder="1" applyAlignment="1">
      <alignment horizontal="left"/>
    </xf>
    <xf numFmtId="0" fontId="0" fillId="4" borderId="0" xfId="0" applyFill="1" applyBorder="1"/>
    <xf numFmtId="165" fontId="10" fillId="4" borderId="0" xfId="0" applyNumberFormat="1" applyFont="1" applyFill="1" applyBorder="1"/>
    <xf numFmtId="165" fontId="3" fillId="3" borderId="26" xfId="0" applyNumberFormat="1" applyFont="1" applyFill="1" applyBorder="1"/>
    <xf numFmtId="165" fontId="3" fillId="3" borderId="7" xfId="0" applyNumberFormat="1" applyFont="1" applyFill="1" applyBorder="1"/>
    <xf numFmtId="0" fontId="17" fillId="0" borderId="0" xfId="0" applyFont="1"/>
    <xf numFmtId="165" fontId="17" fillId="0" borderId="0" xfId="0" applyNumberFormat="1" applyFont="1"/>
    <xf numFmtId="0" fontId="17" fillId="0" borderId="0" xfId="0" applyFont="1" applyBorder="1"/>
    <xf numFmtId="165" fontId="17" fillId="0" borderId="0" xfId="2" applyNumberFormat="1" applyFont="1" applyBorder="1"/>
    <xf numFmtId="1" fontId="17" fillId="5" borderId="26" xfId="0" applyNumberFormat="1" applyFont="1" applyFill="1" applyBorder="1" applyAlignment="1">
      <alignment horizontal="center"/>
    </xf>
    <xf numFmtId="165" fontId="17" fillId="5" borderId="47" xfId="0" applyNumberFormat="1" applyFont="1" applyFill="1" applyBorder="1" applyAlignment="1">
      <alignment horizontal="center"/>
    </xf>
    <xf numFmtId="165" fontId="17" fillId="7" borderId="7" xfId="0" applyNumberFormat="1" applyFont="1" applyFill="1" applyBorder="1"/>
    <xf numFmtId="165" fontId="17" fillId="5" borderId="7" xfId="0" applyNumberFormat="1" applyFont="1" applyFill="1" applyBorder="1"/>
    <xf numFmtId="165" fontId="17" fillId="5" borderId="8" xfId="2" applyNumberFormat="1" applyFont="1" applyFill="1" applyBorder="1"/>
    <xf numFmtId="165" fontId="17" fillId="5" borderId="22" xfId="0" applyNumberFormat="1" applyFont="1" applyFill="1" applyBorder="1"/>
    <xf numFmtId="165" fontId="17" fillId="4" borderId="26" xfId="2" applyNumberFormat="1" applyFont="1" applyFill="1" applyBorder="1"/>
    <xf numFmtId="165" fontId="17" fillId="0" borderId="0" xfId="2" applyNumberFormat="1" applyFont="1"/>
    <xf numFmtId="1" fontId="17" fillId="5" borderId="0" xfId="0" applyNumberFormat="1" applyFont="1" applyFill="1" applyBorder="1" applyAlignment="1">
      <alignment horizontal="center"/>
    </xf>
    <xf numFmtId="165" fontId="17" fillId="5" borderId="45" xfId="0" applyNumberFormat="1" applyFont="1" applyFill="1" applyBorder="1" applyAlignment="1">
      <alignment horizontal="center"/>
    </xf>
    <xf numFmtId="165" fontId="17" fillId="7" borderId="1" xfId="0" applyNumberFormat="1" applyFont="1" applyFill="1" applyBorder="1"/>
    <xf numFmtId="165" fontId="17" fillId="5" borderId="1" xfId="0" applyNumberFormat="1" applyFont="1" applyFill="1" applyBorder="1"/>
    <xf numFmtId="9" fontId="20" fillId="5" borderId="1" xfId="1" applyNumberFormat="1" applyFont="1" applyFill="1" applyBorder="1"/>
    <xf numFmtId="165" fontId="17" fillId="5" borderId="9" xfId="2" applyNumberFormat="1" applyFont="1" applyFill="1" applyBorder="1"/>
    <xf numFmtId="165" fontId="17" fillId="5" borderId="23" xfId="0" applyNumberFormat="1" applyFont="1" applyFill="1" applyBorder="1"/>
    <xf numFmtId="165" fontId="17" fillId="4" borderId="0" xfId="2" applyNumberFormat="1" applyFont="1" applyFill="1" applyBorder="1"/>
    <xf numFmtId="165" fontId="17" fillId="5" borderId="48" xfId="0" applyNumberFormat="1" applyFont="1" applyFill="1" applyBorder="1" applyAlignment="1">
      <alignment horizontal="center"/>
    </xf>
    <xf numFmtId="165" fontId="19" fillId="5" borderId="28" xfId="0" applyNumberFormat="1" applyFont="1" applyFill="1" applyBorder="1"/>
    <xf numFmtId="165" fontId="19" fillId="5" borderId="13" xfId="0" applyNumberFormat="1" applyFont="1" applyFill="1" applyBorder="1"/>
    <xf numFmtId="9" fontId="10" fillId="5" borderId="28" xfId="1" applyFont="1" applyFill="1" applyBorder="1"/>
    <xf numFmtId="165" fontId="19" fillId="5" borderId="20" xfId="0" applyNumberFormat="1" applyFont="1" applyFill="1" applyBorder="1"/>
    <xf numFmtId="165" fontId="19" fillId="5" borderId="14" xfId="2" applyNumberFormat="1" applyFont="1" applyFill="1" applyBorder="1"/>
    <xf numFmtId="1" fontId="17" fillId="5" borderId="58" xfId="0" applyNumberFormat="1" applyFont="1" applyFill="1" applyBorder="1" applyAlignment="1">
      <alignment horizontal="center"/>
    </xf>
    <xf numFmtId="165" fontId="17" fillId="5" borderId="45" xfId="0" applyNumberFormat="1" applyFont="1" applyFill="1" applyBorder="1"/>
    <xf numFmtId="165" fontId="19" fillId="4" borderId="0" xfId="2" applyNumberFormat="1" applyFont="1" applyFill="1" applyBorder="1" applyAlignment="1">
      <alignment horizontal="center"/>
    </xf>
    <xf numFmtId="9" fontId="20" fillId="5" borderId="0" xfId="1" applyFont="1" applyFill="1" applyBorder="1"/>
    <xf numFmtId="1" fontId="17" fillId="5" borderId="37" xfId="0" applyNumberFormat="1" applyFont="1" applyFill="1" applyBorder="1" applyAlignment="1">
      <alignment horizontal="center"/>
    </xf>
    <xf numFmtId="165" fontId="20" fillId="5" borderId="46" xfId="0" applyNumberFormat="1" applyFont="1" applyFill="1" applyBorder="1"/>
    <xf numFmtId="165" fontId="17" fillId="5" borderId="46" xfId="0" applyNumberFormat="1" applyFont="1" applyFill="1" applyBorder="1"/>
    <xf numFmtId="9" fontId="20" fillId="5" borderId="40" xfId="1" applyNumberFormat="1" applyFont="1" applyFill="1" applyBorder="1"/>
    <xf numFmtId="165" fontId="17" fillId="5" borderId="10" xfId="2" applyNumberFormat="1" applyFont="1" applyFill="1" applyBorder="1"/>
    <xf numFmtId="165" fontId="17" fillId="5" borderId="32" xfId="0" applyNumberFormat="1" applyFont="1" applyFill="1" applyBorder="1"/>
    <xf numFmtId="9" fontId="17" fillId="5" borderId="1" xfId="0" applyNumberFormat="1" applyFont="1" applyFill="1" applyBorder="1"/>
    <xf numFmtId="0" fontId="21" fillId="5" borderId="27" xfId="0" applyFont="1" applyFill="1" applyBorder="1" applyAlignment="1">
      <alignment horizontal="center" vertical="center" wrapText="1"/>
    </xf>
    <xf numFmtId="0" fontId="21" fillId="5" borderId="30" xfId="0" applyFont="1" applyFill="1" applyBorder="1" applyAlignment="1">
      <alignment horizontal="center" vertical="center" wrapText="1"/>
    </xf>
    <xf numFmtId="165" fontId="21" fillId="5" borderId="28" xfId="0" applyNumberFormat="1" applyFont="1" applyFill="1" applyBorder="1"/>
    <xf numFmtId="9" fontId="21" fillId="5" borderId="28" xfId="1" applyFont="1" applyFill="1" applyBorder="1"/>
    <xf numFmtId="165" fontId="21" fillId="5" borderId="31" xfId="2" applyNumberFormat="1" applyFont="1" applyFill="1" applyBorder="1"/>
    <xf numFmtId="9" fontId="20" fillId="3" borderId="60" xfId="1" applyNumberFormat="1" applyFont="1" applyFill="1" applyBorder="1"/>
    <xf numFmtId="9" fontId="20" fillId="3" borderId="61" xfId="1" applyNumberFormat="1" applyFont="1" applyFill="1" applyBorder="1"/>
    <xf numFmtId="9" fontId="20" fillId="3" borderId="62" xfId="1" applyNumberFormat="1" applyFont="1" applyFill="1" applyBorder="1"/>
    <xf numFmtId="165" fontId="19" fillId="3" borderId="28" xfId="0" applyNumberFormat="1" applyFont="1" applyFill="1" applyBorder="1"/>
    <xf numFmtId="9" fontId="10" fillId="3" borderId="28" xfId="1" applyFont="1" applyFill="1" applyBorder="1"/>
    <xf numFmtId="9" fontId="20" fillId="3" borderId="7" xfId="1" applyFont="1" applyFill="1" applyBorder="1"/>
    <xf numFmtId="9" fontId="20" fillId="3" borderId="1" xfId="1" applyFont="1" applyFill="1" applyBorder="1"/>
    <xf numFmtId="9" fontId="20" fillId="3" borderId="6" xfId="1" applyNumberFormat="1" applyFont="1" applyFill="1" applyBorder="1"/>
    <xf numFmtId="9" fontId="20" fillId="3" borderId="1" xfId="1" applyNumberFormat="1" applyFont="1" applyFill="1" applyBorder="1"/>
    <xf numFmtId="9" fontId="17" fillId="3" borderId="1" xfId="0" applyNumberFormat="1" applyFont="1" applyFill="1" applyBorder="1"/>
    <xf numFmtId="165" fontId="19" fillId="3" borderId="34" xfId="0" applyNumberFormat="1" applyFont="1" applyFill="1" applyBorder="1"/>
    <xf numFmtId="0" fontId="21" fillId="3" borderId="36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 wrapText="1"/>
    </xf>
    <xf numFmtId="9" fontId="21" fillId="3" borderId="48" xfId="1" applyFont="1" applyFill="1" applyBorder="1"/>
    <xf numFmtId="1" fontId="17" fillId="2" borderId="26" xfId="0" applyNumberFormat="1" applyFont="1" applyFill="1" applyBorder="1" applyAlignment="1">
      <alignment horizontal="center"/>
    </xf>
    <xf numFmtId="165" fontId="17" fillId="2" borderId="44" xfId="0" applyNumberFormat="1" applyFont="1" applyFill="1" applyBorder="1"/>
    <xf numFmtId="165" fontId="17" fillId="2" borderId="26" xfId="0" applyNumberFormat="1" applyFont="1" applyFill="1" applyBorder="1" applyAlignment="1">
      <alignment horizontal="center"/>
    </xf>
    <xf numFmtId="165" fontId="17" fillId="2" borderId="7" xfId="0" applyNumberFormat="1" applyFont="1" applyFill="1" applyBorder="1"/>
    <xf numFmtId="9" fontId="20" fillId="2" borderId="7" xfId="1" applyNumberFormat="1" applyFont="1" applyFill="1" applyBorder="1"/>
    <xf numFmtId="165" fontId="17" fillId="2" borderId="8" xfId="2" applyNumberFormat="1" applyFont="1" applyFill="1" applyBorder="1"/>
    <xf numFmtId="165" fontId="17" fillId="2" borderId="22" xfId="0" applyNumberFormat="1" applyFont="1" applyFill="1" applyBorder="1"/>
    <xf numFmtId="1" fontId="17" fillId="2" borderId="0" xfId="0" applyNumberFormat="1" applyFont="1" applyFill="1" applyBorder="1" applyAlignment="1">
      <alignment horizontal="center"/>
    </xf>
    <xf numFmtId="165" fontId="17" fillId="2" borderId="45" xfId="0" applyNumberFormat="1" applyFont="1" applyFill="1" applyBorder="1"/>
    <xf numFmtId="165" fontId="17" fillId="2" borderId="0" xfId="0" applyNumberFormat="1" applyFont="1" applyFill="1" applyBorder="1" applyAlignment="1">
      <alignment horizontal="center"/>
    </xf>
    <xf numFmtId="165" fontId="17" fillId="2" borderId="1" xfId="0" applyNumberFormat="1" applyFont="1" applyFill="1" applyBorder="1"/>
    <xf numFmtId="9" fontId="20" fillId="2" borderId="1" xfId="1" applyNumberFormat="1" applyFont="1" applyFill="1" applyBorder="1"/>
    <xf numFmtId="165" fontId="17" fillId="2" borderId="9" xfId="2" applyNumberFormat="1" applyFont="1" applyFill="1" applyBorder="1"/>
    <xf numFmtId="165" fontId="17" fillId="2" borderId="23" xfId="0" applyNumberFormat="1" applyFont="1" applyFill="1" applyBorder="1"/>
    <xf numFmtId="165" fontId="19" fillId="2" borderId="28" xfId="0" applyNumberFormat="1" applyFont="1" applyFill="1" applyBorder="1"/>
    <xf numFmtId="165" fontId="19" fillId="2" borderId="30" xfId="0" applyNumberFormat="1" applyFont="1" applyFill="1" applyBorder="1"/>
    <xf numFmtId="165" fontId="19" fillId="2" borderId="13" xfId="0" applyNumberFormat="1" applyFont="1" applyFill="1" applyBorder="1"/>
    <xf numFmtId="9" fontId="10" fillId="2" borderId="28" xfId="1" applyFont="1" applyFill="1" applyBorder="1"/>
    <xf numFmtId="165" fontId="19" fillId="2" borderId="27" xfId="0" applyNumberFormat="1" applyFont="1" applyFill="1" applyBorder="1"/>
    <xf numFmtId="165" fontId="17" fillId="2" borderId="20" xfId="2" applyNumberFormat="1" applyFont="1" applyFill="1" applyBorder="1"/>
    <xf numFmtId="1" fontId="17" fillId="2" borderId="56" xfId="0" applyNumberFormat="1" applyFont="1" applyFill="1" applyBorder="1" applyAlignment="1">
      <alignment horizontal="center"/>
    </xf>
    <xf numFmtId="165" fontId="17" fillId="2" borderId="26" xfId="0" applyNumberFormat="1" applyFont="1" applyFill="1" applyBorder="1"/>
    <xf numFmtId="9" fontId="20" fillId="2" borderId="7" xfId="1" applyFont="1" applyFill="1" applyBorder="1"/>
    <xf numFmtId="1" fontId="17" fillId="2" borderId="58" xfId="0" applyNumberFormat="1" applyFont="1" applyFill="1" applyBorder="1" applyAlignment="1">
      <alignment horizontal="center"/>
    </xf>
    <xf numFmtId="165" fontId="17" fillId="2" borderId="0" xfId="0" applyNumberFormat="1" applyFont="1" applyFill="1" applyBorder="1"/>
    <xf numFmtId="9" fontId="20" fillId="2" borderId="1" xfId="1" applyFont="1" applyFill="1" applyBorder="1"/>
    <xf numFmtId="1" fontId="17" fillId="2" borderId="37" xfId="0" applyNumberFormat="1" applyFont="1" applyFill="1" applyBorder="1" applyAlignment="1">
      <alignment horizontal="center"/>
    </xf>
    <xf numFmtId="165" fontId="17" fillId="2" borderId="46" xfId="0" applyNumberFormat="1" applyFont="1" applyFill="1" applyBorder="1"/>
    <xf numFmtId="165" fontId="17" fillId="2" borderId="40" xfId="0" applyNumberFormat="1" applyFont="1" applyFill="1" applyBorder="1"/>
    <xf numFmtId="165" fontId="17" fillId="2" borderId="6" xfId="0" applyNumberFormat="1" applyFont="1" applyFill="1" applyBorder="1"/>
    <xf numFmtId="9" fontId="20" fillId="2" borderId="6" xfId="1" applyNumberFormat="1" applyFont="1" applyFill="1" applyBorder="1"/>
    <xf numFmtId="165" fontId="17" fillId="2" borderId="10" xfId="2" applyNumberFormat="1" applyFont="1" applyFill="1" applyBorder="1"/>
    <xf numFmtId="165" fontId="17" fillId="2" borderId="32" xfId="0" applyNumberFormat="1" applyFont="1" applyFill="1" applyBorder="1"/>
    <xf numFmtId="9" fontId="17" fillId="2" borderId="1" xfId="0" applyNumberFormat="1" applyFont="1" applyFill="1" applyBorder="1"/>
    <xf numFmtId="165" fontId="19" fillId="2" borderId="34" xfId="0" applyNumberFormat="1" applyFont="1" applyFill="1" applyBorder="1"/>
    <xf numFmtId="0" fontId="21" fillId="2" borderId="36" xfId="0" applyFont="1" applyFill="1" applyBorder="1" applyAlignment="1">
      <alignment horizontal="center" vertical="center" wrapText="1"/>
    </xf>
    <xf numFmtId="0" fontId="21" fillId="2" borderId="25" xfId="0" applyFont="1" applyFill="1" applyBorder="1" applyAlignment="1">
      <alignment horizontal="center" vertical="center" wrapText="1"/>
    </xf>
    <xf numFmtId="165" fontId="21" fillId="2" borderId="48" xfId="0" applyNumberFormat="1" applyFont="1" applyFill="1" applyBorder="1"/>
    <xf numFmtId="9" fontId="21" fillId="2" borderId="48" xfId="1" applyFont="1" applyFill="1" applyBorder="1"/>
    <xf numFmtId="165" fontId="21" fillId="2" borderId="49" xfId="2" applyNumberFormat="1" applyFont="1" applyFill="1" applyBorder="1"/>
    <xf numFmtId="9" fontId="10" fillId="6" borderId="13" xfId="1" applyFont="1" applyFill="1" applyBorder="1"/>
    <xf numFmtId="0" fontId="19" fillId="4" borderId="0" xfId="0" applyFont="1" applyFill="1" applyBorder="1" applyAlignment="1">
      <alignment horizontal="center" vertical="center" textRotation="90"/>
    </xf>
    <xf numFmtId="0" fontId="17" fillId="4" borderId="0" xfId="0" applyFont="1" applyFill="1" applyBorder="1"/>
    <xf numFmtId="0" fontId="17" fillId="4" borderId="0" xfId="0" applyFont="1" applyFill="1"/>
    <xf numFmtId="165" fontId="17" fillId="4" borderId="0" xfId="2" applyNumberFormat="1" applyFont="1" applyFill="1"/>
    <xf numFmtId="0" fontId="19" fillId="5" borderId="18" xfId="0" applyFont="1" applyFill="1" applyBorder="1" applyAlignment="1">
      <alignment horizontal="center" wrapText="1"/>
    </xf>
    <xf numFmtId="1" fontId="17" fillId="5" borderId="4" xfId="0" applyNumberFormat="1" applyFont="1" applyFill="1" applyBorder="1" applyAlignment="1">
      <alignment horizontal="center"/>
    </xf>
    <xf numFmtId="165" fontId="17" fillId="5" borderId="6" xfId="0" applyNumberFormat="1" applyFont="1" applyFill="1" applyBorder="1"/>
    <xf numFmtId="165" fontId="17" fillId="5" borderId="37" xfId="2" applyNumberFormat="1" applyFont="1" applyFill="1" applyBorder="1"/>
    <xf numFmtId="165" fontId="17" fillId="5" borderId="32" xfId="2" applyNumberFormat="1" applyFont="1" applyFill="1" applyBorder="1"/>
    <xf numFmtId="0" fontId="19" fillId="5" borderId="16" xfId="0" applyFont="1" applyFill="1" applyBorder="1" applyAlignment="1">
      <alignment horizontal="center" vertical="center" wrapText="1"/>
    </xf>
    <xf numFmtId="1" fontId="17" fillId="5" borderId="5" xfId="0" applyNumberFormat="1" applyFont="1" applyFill="1" applyBorder="1" applyAlignment="1">
      <alignment horizontal="center"/>
    </xf>
    <xf numFmtId="165" fontId="17" fillId="5" borderId="2" xfId="0" applyNumberFormat="1" applyFont="1" applyFill="1" applyBorder="1"/>
    <xf numFmtId="165" fontId="17" fillId="5" borderId="38" xfId="2" applyNumberFormat="1" applyFont="1" applyFill="1" applyBorder="1"/>
    <xf numFmtId="165" fontId="17" fillId="5" borderId="33" xfId="2" applyNumberFormat="1" applyFont="1" applyFill="1" applyBorder="1"/>
    <xf numFmtId="0" fontId="19" fillId="5" borderId="27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165" fontId="19" fillId="5" borderId="34" xfId="2" applyNumberFormat="1" applyFont="1" applyFill="1" applyBorder="1"/>
    <xf numFmtId="165" fontId="19" fillId="5" borderId="20" xfId="2" applyNumberFormat="1" applyFont="1" applyFill="1" applyBorder="1"/>
    <xf numFmtId="165" fontId="19" fillId="5" borderId="31" xfId="2" applyNumberFormat="1" applyFont="1" applyFill="1" applyBorder="1"/>
    <xf numFmtId="0" fontId="19" fillId="3" borderId="16" xfId="0" applyFont="1" applyFill="1" applyBorder="1" applyAlignment="1">
      <alignment horizontal="center" vertical="center" wrapText="1" indent="1"/>
    </xf>
    <xf numFmtId="1" fontId="17" fillId="3" borderId="5" xfId="0" applyNumberFormat="1" applyFont="1" applyFill="1" applyBorder="1" applyAlignment="1">
      <alignment horizontal="center"/>
    </xf>
    <xf numFmtId="165" fontId="17" fillId="3" borderId="2" xfId="0" applyNumberFormat="1" applyFont="1" applyFill="1" applyBorder="1"/>
    <xf numFmtId="165" fontId="17" fillId="3" borderId="38" xfId="2" applyNumberFormat="1" applyFont="1" applyFill="1" applyBorder="1"/>
    <xf numFmtId="165" fontId="17" fillId="3" borderId="33" xfId="2" applyNumberFormat="1" applyFont="1" applyFill="1" applyBorder="1"/>
    <xf numFmtId="0" fontId="19" fillId="3" borderId="16" xfId="0" applyFont="1" applyFill="1" applyBorder="1" applyAlignment="1">
      <alignment horizontal="center" vertical="center" wrapText="1"/>
    </xf>
    <xf numFmtId="0" fontId="19" fillId="3" borderId="27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9" fontId="19" fillId="3" borderId="28" xfId="1" applyFont="1" applyFill="1" applyBorder="1"/>
    <xf numFmtId="165" fontId="19" fillId="3" borderId="20" xfId="0" applyNumberFormat="1" applyFont="1" applyFill="1" applyBorder="1"/>
    <xf numFmtId="165" fontId="19" fillId="3" borderId="31" xfId="2" applyNumberFormat="1" applyFont="1" applyFill="1" applyBorder="1"/>
    <xf numFmtId="0" fontId="10" fillId="4" borderId="11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165" fontId="17" fillId="5" borderId="26" xfId="0" applyNumberFormat="1" applyFont="1" applyFill="1" applyBorder="1" applyAlignment="1">
      <alignment horizontal="center"/>
    </xf>
    <xf numFmtId="165" fontId="17" fillId="5" borderId="0" xfId="0" applyNumberFormat="1" applyFont="1" applyFill="1" applyBorder="1" applyAlignment="1">
      <alignment horizontal="center"/>
    </xf>
    <xf numFmtId="165" fontId="19" fillId="5" borderId="45" xfId="0" applyNumberFormat="1" applyFont="1" applyFill="1" applyBorder="1"/>
    <xf numFmtId="165" fontId="19" fillId="5" borderId="26" xfId="0" applyNumberFormat="1" applyFont="1" applyFill="1" applyBorder="1"/>
    <xf numFmtId="165" fontId="19" fillId="7" borderId="7" xfId="0" applyNumberFormat="1" applyFont="1" applyFill="1" applyBorder="1"/>
    <xf numFmtId="165" fontId="19" fillId="5" borderId="7" xfId="0" applyNumberFormat="1" applyFont="1" applyFill="1" applyBorder="1"/>
    <xf numFmtId="1" fontId="17" fillId="5" borderId="56" xfId="0" applyNumberFormat="1" applyFont="1" applyFill="1" applyBorder="1" applyAlignment="1">
      <alignment horizontal="center"/>
    </xf>
    <xf numFmtId="165" fontId="17" fillId="5" borderId="47" xfId="0" applyNumberFormat="1" applyFont="1" applyFill="1" applyBorder="1"/>
    <xf numFmtId="9" fontId="20" fillId="5" borderId="57" xfId="1" applyFont="1" applyFill="1" applyBorder="1"/>
    <xf numFmtId="165" fontId="17" fillId="5" borderId="0" xfId="0" applyNumberFormat="1" applyFont="1" applyFill="1" applyBorder="1"/>
    <xf numFmtId="165" fontId="19" fillId="0" borderId="0" xfId="2" applyNumberFormat="1" applyFont="1"/>
    <xf numFmtId="165" fontId="19" fillId="5" borderId="48" xfId="0" applyNumberFormat="1" applyFont="1" applyFill="1" applyBorder="1"/>
    <xf numFmtId="165" fontId="17" fillId="4" borderId="0" xfId="0" applyNumberFormat="1" applyFont="1" applyFill="1"/>
    <xf numFmtId="0" fontId="10" fillId="4" borderId="0" xfId="0" applyFont="1" applyFill="1" applyBorder="1" applyAlignment="1">
      <alignment horizontal="center" vertical="center" wrapText="1"/>
    </xf>
    <xf numFmtId="0" fontId="16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165" fontId="17" fillId="0" borderId="0" xfId="2" applyNumberFormat="1" applyFont="1" applyBorder="1" applyAlignment="1">
      <alignment vertical="center"/>
    </xf>
    <xf numFmtId="1" fontId="17" fillId="5" borderId="26" xfId="0" applyNumberFormat="1" applyFont="1" applyFill="1" applyBorder="1" applyAlignment="1">
      <alignment horizontal="center" vertical="center"/>
    </xf>
    <xf numFmtId="165" fontId="17" fillId="5" borderId="47" xfId="0" applyNumberFormat="1" applyFont="1" applyFill="1" applyBorder="1" applyAlignment="1">
      <alignment horizontal="center" vertical="center"/>
    </xf>
    <xf numFmtId="165" fontId="17" fillId="5" borderId="26" xfId="0" applyNumberFormat="1" applyFont="1" applyFill="1" applyBorder="1" applyAlignment="1">
      <alignment horizontal="center" vertical="center"/>
    </xf>
    <xf numFmtId="165" fontId="17" fillId="7" borderId="7" xfId="0" applyNumberFormat="1" applyFont="1" applyFill="1" applyBorder="1" applyAlignment="1">
      <alignment vertical="center"/>
    </xf>
    <xf numFmtId="165" fontId="17" fillId="5" borderId="7" xfId="0" applyNumberFormat="1" applyFont="1" applyFill="1" applyBorder="1" applyAlignment="1">
      <alignment vertical="center"/>
    </xf>
    <xf numFmtId="165" fontId="17" fillId="5" borderId="8" xfId="2" applyNumberFormat="1" applyFont="1" applyFill="1" applyBorder="1" applyAlignment="1">
      <alignment vertical="center"/>
    </xf>
    <xf numFmtId="165" fontId="17" fillId="5" borderId="22" xfId="0" applyNumberFormat="1" applyFont="1" applyFill="1" applyBorder="1" applyAlignment="1">
      <alignment vertical="center"/>
    </xf>
    <xf numFmtId="165" fontId="17" fillId="4" borderId="26" xfId="2" applyNumberFormat="1" applyFont="1" applyFill="1" applyBorder="1" applyAlignment="1">
      <alignment vertical="center"/>
    </xf>
    <xf numFmtId="165" fontId="17" fillId="0" borderId="0" xfId="2" applyNumberFormat="1" applyFont="1" applyAlignment="1">
      <alignment vertical="center"/>
    </xf>
    <xf numFmtId="1" fontId="17" fillId="5" borderId="0" xfId="0" applyNumberFormat="1" applyFont="1" applyFill="1" applyBorder="1" applyAlignment="1">
      <alignment horizontal="center" vertical="center"/>
    </xf>
    <xf numFmtId="165" fontId="17" fillId="5" borderId="45" xfId="0" applyNumberFormat="1" applyFont="1" applyFill="1" applyBorder="1" applyAlignment="1">
      <alignment horizontal="center" vertical="center"/>
    </xf>
    <xf numFmtId="165" fontId="17" fillId="5" borderId="0" xfId="0" applyNumberFormat="1" applyFont="1" applyFill="1" applyBorder="1" applyAlignment="1">
      <alignment horizontal="center" vertical="center"/>
    </xf>
    <xf numFmtId="165" fontId="17" fillId="7" borderId="1" xfId="0" applyNumberFormat="1" applyFont="1" applyFill="1" applyBorder="1" applyAlignment="1">
      <alignment vertical="center"/>
    </xf>
    <xf numFmtId="165" fontId="17" fillId="5" borderId="1" xfId="0" applyNumberFormat="1" applyFont="1" applyFill="1" applyBorder="1" applyAlignment="1">
      <alignment vertical="center"/>
    </xf>
    <xf numFmtId="9" fontId="20" fillId="5" borderId="1" xfId="1" applyNumberFormat="1" applyFont="1" applyFill="1" applyBorder="1" applyAlignment="1">
      <alignment vertical="center"/>
    </xf>
    <xf numFmtId="165" fontId="17" fillId="5" borderId="9" xfId="2" applyNumberFormat="1" applyFont="1" applyFill="1" applyBorder="1" applyAlignment="1">
      <alignment vertical="center"/>
    </xf>
    <xf numFmtId="165" fontId="17" fillId="5" borderId="23" xfId="0" applyNumberFormat="1" applyFont="1" applyFill="1" applyBorder="1" applyAlignment="1">
      <alignment vertical="center"/>
    </xf>
    <xf numFmtId="165" fontId="17" fillId="4" borderId="0" xfId="2" applyNumberFormat="1" applyFont="1" applyFill="1" applyBorder="1" applyAlignment="1">
      <alignment vertical="center"/>
    </xf>
    <xf numFmtId="165" fontId="17" fillId="5" borderId="48" xfId="0" applyNumberFormat="1" applyFont="1" applyFill="1" applyBorder="1" applyAlignment="1">
      <alignment horizontal="center" vertical="center"/>
    </xf>
    <xf numFmtId="165" fontId="19" fillId="5" borderId="45" xfId="0" applyNumberFormat="1" applyFont="1" applyFill="1" applyBorder="1" applyAlignment="1">
      <alignment vertical="center"/>
    </xf>
    <xf numFmtId="165" fontId="19" fillId="5" borderId="26" xfId="0" applyNumberFormat="1" applyFont="1" applyFill="1" applyBorder="1" applyAlignment="1">
      <alignment vertical="center"/>
    </xf>
    <xf numFmtId="165" fontId="19" fillId="7" borderId="7" xfId="0" applyNumberFormat="1" applyFont="1" applyFill="1" applyBorder="1" applyAlignment="1">
      <alignment vertical="center"/>
    </xf>
    <xf numFmtId="165" fontId="19" fillId="5" borderId="7" xfId="0" applyNumberFormat="1" applyFont="1" applyFill="1" applyBorder="1" applyAlignment="1">
      <alignment vertical="center"/>
    </xf>
    <xf numFmtId="165" fontId="19" fillId="5" borderId="13" xfId="0" applyNumberFormat="1" applyFont="1" applyFill="1" applyBorder="1" applyAlignment="1">
      <alignment vertical="center"/>
    </xf>
    <xf numFmtId="165" fontId="19" fillId="5" borderId="20" xfId="0" applyNumberFormat="1" applyFont="1" applyFill="1" applyBorder="1" applyAlignment="1">
      <alignment vertical="center"/>
    </xf>
    <xf numFmtId="165" fontId="19" fillId="5" borderId="20" xfId="2" applyNumberFormat="1" applyFont="1" applyFill="1" applyBorder="1" applyAlignment="1">
      <alignment vertical="center"/>
    </xf>
    <xf numFmtId="165" fontId="19" fillId="5" borderId="14" xfId="2" applyNumberFormat="1" applyFont="1" applyFill="1" applyBorder="1" applyAlignment="1">
      <alignment vertical="center"/>
    </xf>
    <xf numFmtId="1" fontId="17" fillId="5" borderId="56" xfId="0" applyNumberFormat="1" applyFont="1" applyFill="1" applyBorder="1" applyAlignment="1">
      <alignment horizontal="center" vertical="center"/>
    </xf>
    <xf numFmtId="165" fontId="17" fillId="5" borderId="47" xfId="0" applyNumberFormat="1" applyFont="1" applyFill="1" applyBorder="1" applyAlignment="1">
      <alignment vertical="center"/>
    </xf>
    <xf numFmtId="1" fontId="17" fillId="5" borderId="58" xfId="0" applyNumberFormat="1" applyFont="1" applyFill="1" applyBorder="1" applyAlignment="1">
      <alignment horizontal="center" vertical="center"/>
    </xf>
    <xf numFmtId="165" fontId="17" fillId="5" borderId="45" xfId="0" applyNumberFormat="1" applyFont="1" applyFill="1" applyBorder="1" applyAlignment="1">
      <alignment vertical="center"/>
    </xf>
    <xf numFmtId="1" fontId="17" fillId="5" borderId="37" xfId="0" applyNumberFormat="1" applyFont="1" applyFill="1" applyBorder="1" applyAlignment="1">
      <alignment horizontal="center" vertical="center"/>
    </xf>
    <xf numFmtId="165" fontId="17" fillId="5" borderId="46" xfId="0" applyNumberFormat="1" applyFont="1" applyFill="1" applyBorder="1" applyAlignment="1">
      <alignment vertical="center"/>
    </xf>
    <xf numFmtId="165" fontId="17" fillId="5" borderId="10" xfId="2" applyNumberFormat="1" applyFont="1" applyFill="1" applyBorder="1" applyAlignment="1">
      <alignment vertical="center"/>
    </xf>
    <xf numFmtId="165" fontId="17" fillId="5" borderId="32" xfId="0" applyNumberFormat="1" applyFont="1" applyFill="1" applyBorder="1" applyAlignment="1">
      <alignment vertical="center"/>
    </xf>
    <xf numFmtId="165" fontId="17" fillId="5" borderId="0" xfId="0" applyNumberFormat="1" applyFont="1" applyFill="1" applyBorder="1" applyAlignment="1">
      <alignment vertical="center"/>
    </xf>
    <xf numFmtId="165" fontId="20" fillId="5" borderId="46" xfId="0" applyNumberFormat="1" applyFont="1" applyFill="1" applyBorder="1" applyAlignment="1">
      <alignment vertical="center"/>
    </xf>
    <xf numFmtId="165" fontId="19" fillId="0" borderId="0" xfId="2" applyNumberFormat="1" applyFont="1" applyAlignment="1">
      <alignment vertical="center"/>
    </xf>
    <xf numFmtId="165" fontId="19" fillId="5" borderId="48" xfId="0" applyNumberFormat="1" applyFont="1" applyFill="1" applyBorder="1" applyAlignment="1">
      <alignment vertical="center"/>
    </xf>
    <xf numFmtId="165" fontId="19" fillId="5" borderId="28" xfId="0" applyNumberFormat="1" applyFont="1" applyFill="1" applyBorder="1" applyAlignment="1">
      <alignment vertical="center"/>
    </xf>
    <xf numFmtId="165" fontId="21" fillId="5" borderId="28" xfId="0" applyNumberFormat="1" applyFont="1" applyFill="1" applyBorder="1" applyAlignment="1">
      <alignment vertical="center"/>
    </xf>
    <xf numFmtId="165" fontId="21" fillId="5" borderId="31" xfId="2" applyNumberFormat="1" applyFont="1" applyFill="1" applyBorder="1" applyAlignment="1">
      <alignment vertical="center"/>
    </xf>
    <xf numFmtId="165" fontId="17" fillId="0" borderId="0" xfId="0" applyNumberFormat="1" applyFont="1" applyAlignment="1">
      <alignment vertical="center"/>
    </xf>
    <xf numFmtId="1" fontId="17" fillId="3" borderId="26" xfId="0" applyNumberFormat="1" applyFont="1" applyFill="1" applyBorder="1" applyAlignment="1">
      <alignment horizontal="center" vertical="center"/>
    </xf>
    <xf numFmtId="165" fontId="17" fillId="3" borderId="44" xfId="0" applyNumberFormat="1" applyFont="1" applyFill="1" applyBorder="1" applyAlignment="1">
      <alignment vertical="center"/>
    </xf>
    <xf numFmtId="165" fontId="17" fillId="3" borderId="60" xfId="0" applyNumberFormat="1" applyFont="1" applyFill="1" applyBorder="1" applyAlignment="1">
      <alignment vertical="center"/>
    </xf>
    <xf numFmtId="165" fontId="17" fillId="3" borderId="50" xfId="2" applyNumberFormat="1" applyFont="1" applyFill="1" applyBorder="1" applyAlignment="1">
      <alignment vertical="center"/>
    </xf>
    <xf numFmtId="165" fontId="17" fillId="3" borderId="22" xfId="0" applyNumberFormat="1" applyFont="1" applyFill="1" applyBorder="1" applyAlignment="1">
      <alignment vertical="center"/>
    </xf>
    <xf numFmtId="1" fontId="17" fillId="3" borderId="0" xfId="0" applyNumberFormat="1" applyFont="1" applyFill="1" applyBorder="1" applyAlignment="1">
      <alignment horizontal="center" vertical="center"/>
    </xf>
    <xf numFmtId="165" fontId="17" fillId="3" borderId="45" xfId="0" applyNumberFormat="1" applyFont="1" applyFill="1" applyBorder="1" applyAlignment="1">
      <alignment vertical="center"/>
    </xf>
    <xf numFmtId="165" fontId="17" fillId="3" borderId="61" xfId="0" applyNumberFormat="1" applyFont="1" applyFill="1" applyBorder="1" applyAlignment="1">
      <alignment vertical="center"/>
    </xf>
    <xf numFmtId="165" fontId="17" fillId="3" borderId="51" xfId="2" applyNumberFormat="1" applyFont="1" applyFill="1" applyBorder="1" applyAlignment="1">
      <alignment vertical="center"/>
    </xf>
    <xf numFmtId="165" fontId="17" fillId="3" borderId="23" xfId="0" applyNumberFormat="1" applyFont="1" applyFill="1" applyBorder="1" applyAlignment="1">
      <alignment vertical="center"/>
    </xf>
    <xf numFmtId="165" fontId="17" fillId="3" borderId="62" xfId="0" applyNumberFormat="1" applyFont="1" applyFill="1" applyBorder="1" applyAlignment="1">
      <alignment vertical="center"/>
    </xf>
    <xf numFmtId="165" fontId="17" fillId="3" borderId="0" xfId="2" applyNumberFormat="1" applyFont="1" applyFill="1" applyBorder="1" applyAlignment="1">
      <alignment vertical="center"/>
    </xf>
    <xf numFmtId="165" fontId="19" fillId="3" borderId="28" xfId="0" applyNumberFormat="1" applyFont="1" applyFill="1" applyBorder="1" applyAlignment="1">
      <alignment vertical="center"/>
    </xf>
    <xf numFmtId="165" fontId="19" fillId="3" borderId="30" xfId="0" applyNumberFormat="1" applyFont="1" applyFill="1" applyBorder="1" applyAlignment="1">
      <alignment vertical="center"/>
    </xf>
    <xf numFmtId="165" fontId="19" fillId="3" borderId="13" xfId="0" applyNumberFormat="1" applyFont="1" applyFill="1" applyBorder="1" applyAlignment="1">
      <alignment vertical="center"/>
    </xf>
    <xf numFmtId="165" fontId="19" fillId="3" borderId="27" xfId="0" applyNumberFormat="1" applyFont="1" applyFill="1" applyBorder="1" applyAlignment="1">
      <alignment vertical="center"/>
    </xf>
    <xf numFmtId="165" fontId="17" fillId="3" borderId="20" xfId="2" applyNumberFormat="1" applyFont="1" applyFill="1" applyBorder="1" applyAlignment="1">
      <alignment vertical="center"/>
    </xf>
    <xf numFmtId="0" fontId="16" fillId="0" borderId="0" xfId="0" applyFont="1" applyAlignment="1">
      <alignment vertical="center"/>
    </xf>
    <xf numFmtId="1" fontId="17" fillId="3" borderId="56" xfId="0" applyNumberFormat="1" applyFont="1" applyFill="1" applyBorder="1" applyAlignment="1">
      <alignment horizontal="center" vertical="center"/>
    </xf>
    <xf numFmtId="165" fontId="17" fillId="3" borderId="7" xfId="0" applyNumberFormat="1" applyFont="1" applyFill="1" applyBorder="1" applyAlignment="1">
      <alignment vertical="center"/>
    </xf>
    <xf numFmtId="165" fontId="17" fillId="3" borderId="8" xfId="2" applyNumberFormat="1" applyFont="1" applyFill="1" applyBorder="1" applyAlignment="1">
      <alignment vertical="center"/>
    </xf>
    <xf numFmtId="1" fontId="17" fillId="3" borderId="58" xfId="0" applyNumberFormat="1" applyFont="1" applyFill="1" applyBorder="1" applyAlignment="1">
      <alignment horizontal="center" vertical="center"/>
    </xf>
    <xf numFmtId="165" fontId="20" fillId="3" borderId="0" xfId="0" applyNumberFormat="1" applyFont="1" applyFill="1" applyBorder="1" applyAlignment="1">
      <alignment vertical="center"/>
    </xf>
    <xf numFmtId="165" fontId="17" fillId="3" borderId="1" xfId="0" applyNumberFormat="1" applyFont="1" applyFill="1" applyBorder="1" applyAlignment="1">
      <alignment vertical="center"/>
    </xf>
    <xf numFmtId="165" fontId="17" fillId="3" borderId="9" xfId="2" applyNumberFormat="1" applyFont="1" applyFill="1" applyBorder="1" applyAlignment="1">
      <alignment vertical="center"/>
    </xf>
    <xf numFmtId="1" fontId="17" fillId="3" borderId="37" xfId="0" applyNumberFormat="1" applyFont="1" applyFill="1" applyBorder="1" applyAlignment="1">
      <alignment horizontal="center" vertical="center"/>
    </xf>
    <xf numFmtId="165" fontId="17" fillId="3" borderId="46" xfId="0" applyNumberFormat="1" applyFont="1" applyFill="1" applyBorder="1" applyAlignment="1">
      <alignment vertical="center"/>
    </xf>
    <xf numFmtId="165" fontId="17" fillId="3" borderId="6" xfId="0" applyNumberFormat="1" applyFont="1" applyFill="1" applyBorder="1" applyAlignment="1">
      <alignment vertical="center"/>
    </xf>
    <xf numFmtId="165" fontId="17" fillId="3" borderId="10" xfId="2" applyNumberFormat="1" applyFont="1" applyFill="1" applyBorder="1" applyAlignment="1">
      <alignment vertical="center"/>
    </xf>
    <xf numFmtId="165" fontId="17" fillId="3" borderId="32" xfId="0" applyNumberFormat="1" applyFont="1" applyFill="1" applyBorder="1" applyAlignment="1">
      <alignment vertical="center"/>
    </xf>
    <xf numFmtId="165" fontId="19" fillId="3" borderId="34" xfId="0" applyNumberFormat="1" applyFont="1" applyFill="1" applyBorder="1" applyAlignment="1">
      <alignment vertical="center"/>
    </xf>
    <xf numFmtId="165" fontId="21" fillId="3" borderId="48" xfId="0" applyNumberFormat="1" applyFont="1" applyFill="1" applyBorder="1" applyAlignment="1">
      <alignment vertical="center"/>
    </xf>
    <xf numFmtId="165" fontId="21" fillId="3" borderId="49" xfId="2" applyNumberFormat="1" applyFont="1" applyFill="1" applyBorder="1" applyAlignment="1">
      <alignment vertical="center"/>
    </xf>
    <xf numFmtId="1" fontId="17" fillId="2" borderId="26" xfId="0" applyNumberFormat="1" applyFont="1" applyFill="1" applyBorder="1" applyAlignment="1">
      <alignment horizontal="center" vertical="center"/>
    </xf>
    <xf numFmtId="165" fontId="17" fillId="2" borderId="44" xfId="0" applyNumberFormat="1" applyFont="1" applyFill="1" applyBorder="1" applyAlignment="1">
      <alignment vertical="center"/>
    </xf>
    <xf numFmtId="165" fontId="17" fillId="2" borderId="26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vertical="center"/>
    </xf>
    <xf numFmtId="165" fontId="17" fillId="2" borderId="8" xfId="2" applyNumberFormat="1" applyFont="1" applyFill="1" applyBorder="1" applyAlignment="1">
      <alignment vertical="center"/>
    </xf>
    <xf numFmtId="165" fontId="17" fillId="2" borderId="22" xfId="0" applyNumberFormat="1" applyFont="1" applyFill="1" applyBorder="1" applyAlignment="1">
      <alignment vertical="center"/>
    </xf>
    <xf numFmtId="1" fontId="17" fillId="2" borderId="0" xfId="0" applyNumberFormat="1" applyFont="1" applyFill="1" applyBorder="1" applyAlignment="1">
      <alignment horizontal="center" vertical="center"/>
    </xf>
    <xf numFmtId="165" fontId="17" fillId="2" borderId="45" xfId="0" applyNumberFormat="1" applyFont="1" applyFill="1" applyBorder="1" applyAlignment="1">
      <alignment vertical="center"/>
    </xf>
    <xf numFmtId="165" fontId="17" fillId="2" borderId="0" xfId="0" applyNumberFormat="1" applyFont="1" applyFill="1" applyBorder="1" applyAlignment="1">
      <alignment horizontal="center" vertical="center"/>
    </xf>
    <xf numFmtId="165" fontId="17" fillId="2" borderId="1" xfId="0" applyNumberFormat="1" applyFont="1" applyFill="1" applyBorder="1" applyAlignment="1">
      <alignment vertical="center"/>
    </xf>
    <xf numFmtId="165" fontId="17" fillId="2" borderId="9" xfId="2" applyNumberFormat="1" applyFont="1" applyFill="1" applyBorder="1" applyAlignment="1">
      <alignment vertical="center"/>
    </xf>
    <xf numFmtId="165" fontId="17" fillId="2" borderId="23" xfId="0" applyNumberFormat="1" applyFont="1" applyFill="1" applyBorder="1" applyAlignment="1">
      <alignment vertical="center"/>
    </xf>
    <xf numFmtId="165" fontId="19" fillId="2" borderId="28" xfId="0" applyNumberFormat="1" applyFont="1" applyFill="1" applyBorder="1" applyAlignment="1">
      <alignment vertical="center"/>
    </xf>
    <xf numFmtId="165" fontId="19" fillId="2" borderId="30" xfId="0" applyNumberFormat="1" applyFont="1" applyFill="1" applyBorder="1" applyAlignment="1">
      <alignment vertical="center"/>
    </xf>
    <xf numFmtId="165" fontId="19" fillId="2" borderId="13" xfId="0" applyNumberFormat="1" applyFont="1" applyFill="1" applyBorder="1" applyAlignment="1">
      <alignment vertical="center"/>
    </xf>
    <xf numFmtId="165" fontId="19" fillId="2" borderId="27" xfId="0" applyNumberFormat="1" applyFont="1" applyFill="1" applyBorder="1" applyAlignment="1">
      <alignment vertical="center"/>
    </xf>
    <xf numFmtId="165" fontId="17" fillId="2" borderId="20" xfId="2" applyNumberFormat="1" applyFont="1" applyFill="1" applyBorder="1" applyAlignment="1">
      <alignment vertical="center"/>
    </xf>
    <xf numFmtId="1" fontId="17" fillId="2" borderId="56" xfId="0" applyNumberFormat="1" applyFont="1" applyFill="1" applyBorder="1" applyAlignment="1">
      <alignment horizontal="center" vertical="center"/>
    </xf>
    <xf numFmtId="165" fontId="17" fillId="2" borderId="26" xfId="0" applyNumberFormat="1" applyFont="1" applyFill="1" applyBorder="1" applyAlignment="1">
      <alignment vertical="center"/>
    </xf>
    <xf numFmtId="1" fontId="17" fillId="2" borderId="58" xfId="0" applyNumberFormat="1" applyFont="1" applyFill="1" applyBorder="1" applyAlignment="1">
      <alignment horizontal="center" vertical="center"/>
    </xf>
    <xf numFmtId="165" fontId="17" fillId="2" borderId="0" xfId="0" applyNumberFormat="1" applyFont="1" applyFill="1" applyBorder="1" applyAlignment="1">
      <alignment vertical="center"/>
    </xf>
    <xf numFmtId="1" fontId="17" fillId="2" borderId="37" xfId="0" applyNumberFormat="1" applyFont="1" applyFill="1" applyBorder="1" applyAlignment="1">
      <alignment horizontal="center" vertical="center"/>
    </xf>
    <xf numFmtId="165" fontId="17" fillId="2" borderId="46" xfId="0" applyNumberFormat="1" applyFont="1" applyFill="1" applyBorder="1" applyAlignment="1">
      <alignment vertical="center"/>
    </xf>
    <xf numFmtId="165" fontId="17" fillId="2" borderId="40" xfId="0" applyNumberFormat="1" applyFont="1" applyFill="1" applyBorder="1" applyAlignment="1">
      <alignment vertical="center"/>
    </xf>
    <xf numFmtId="165" fontId="17" fillId="2" borderId="6" xfId="0" applyNumberFormat="1" applyFont="1" applyFill="1" applyBorder="1" applyAlignment="1">
      <alignment vertical="center"/>
    </xf>
    <xf numFmtId="165" fontId="17" fillId="2" borderId="10" xfId="2" applyNumberFormat="1" applyFont="1" applyFill="1" applyBorder="1" applyAlignment="1">
      <alignment vertical="center"/>
    </xf>
    <xf numFmtId="165" fontId="17" fillId="2" borderId="32" xfId="0" applyNumberFormat="1" applyFont="1" applyFill="1" applyBorder="1" applyAlignment="1">
      <alignment vertical="center"/>
    </xf>
    <xf numFmtId="165" fontId="19" fillId="2" borderId="34" xfId="0" applyNumberFormat="1" applyFont="1" applyFill="1" applyBorder="1" applyAlignment="1">
      <alignment vertical="center"/>
    </xf>
    <xf numFmtId="165" fontId="21" fillId="2" borderId="48" xfId="0" applyNumberFormat="1" applyFont="1" applyFill="1" applyBorder="1" applyAlignment="1">
      <alignment vertical="center"/>
    </xf>
    <xf numFmtId="165" fontId="21" fillId="2" borderId="49" xfId="2" applyNumberFormat="1" applyFont="1" applyFill="1" applyBorder="1" applyAlignment="1">
      <alignment vertical="center"/>
    </xf>
    <xf numFmtId="165" fontId="10" fillId="6" borderId="13" xfId="0" applyNumberFormat="1" applyFont="1" applyFill="1" applyBorder="1" applyAlignment="1">
      <alignment vertical="center"/>
    </xf>
    <xf numFmtId="9" fontId="10" fillId="6" borderId="13" xfId="1" applyFont="1" applyFill="1" applyBorder="1" applyAlignment="1">
      <alignment vertical="center"/>
    </xf>
    <xf numFmtId="165" fontId="10" fillId="6" borderId="21" xfId="0" applyNumberFormat="1" applyFont="1" applyFill="1" applyBorder="1" applyAlignment="1">
      <alignment vertical="center"/>
    </xf>
    <xf numFmtId="165" fontId="10" fillId="6" borderId="31" xfId="0" applyNumberFormat="1" applyFont="1" applyFill="1" applyBorder="1" applyAlignment="1">
      <alignment vertical="center"/>
    </xf>
    <xf numFmtId="1" fontId="10" fillId="4" borderId="0" xfId="0" applyNumberFormat="1" applyFont="1" applyFill="1" applyBorder="1" applyAlignment="1">
      <alignment horizontal="left" vertical="center"/>
    </xf>
    <xf numFmtId="0" fontId="17" fillId="4" borderId="0" xfId="0" applyFont="1" applyFill="1" applyBorder="1" applyAlignment="1">
      <alignment vertical="center"/>
    </xf>
    <xf numFmtId="165" fontId="10" fillId="4" borderId="0" xfId="0" applyNumberFormat="1" applyFont="1" applyFill="1" applyBorder="1" applyAlignment="1">
      <alignment vertical="center"/>
    </xf>
    <xf numFmtId="165" fontId="17" fillId="4" borderId="0" xfId="0" applyNumberFormat="1" applyFont="1" applyFill="1" applyAlignment="1">
      <alignment vertical="center"/>
    </xf>
    <xf numFmtId="165" fontId="17" fillId="4" borderId="0" xfId="2" applyNumberFormat="1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19" fillId="5" borderId="18" xfId="0" applyFont="1" applyFill="1" applyBorder="1" applyAlignment="1">
      <alignment horizontal="center" vertical="center" wrapText="1"/>
    </xf>
    <xf numFmtId="1" fontId="17" fillId="5" borderId="4" xfId="0" applyNumberFormat="1" applyFont="1" applyFill="1" applyBorder="1" applyAlignment="1">
      <alignment horizontal="center" vertical="center"/>
    </xf>
    <xf numFmtId="165" fontId="17" fillId="5" borderId="6" xfId="0" applyNumberFormat="1" applyFont="1" applyFill="1" applyBorder="1" applyAlignment="1">
      <alignment vertical="center"/>
    </xf>
    <xf numFmtId="165" fontId="17" fillId="5" borderId="37" xfId="2" applyNumberFormat="1" applyFont="1" applyFill="1" applyBorder="1" applyAlignment="1">
      <alignment vertical="center"/>
    </xf>
    <xf numFmtId="165" fontId="17" fillId="5" borderId="32" xfId="2" applyNumberFormat="1" applyFont="1" applyFill="1" applyBorder="1" applyAlignment="1">
      <alignment vertical="center"/>
    </xf>
    <xf numFmtId="1" fontId="17" fillId="5" borderId="5" xfId="0" applyNumberFormat="1" applyFont="1" applyFill="1" applyBorder="1" applyAlignment="1">
      <alignment horizontal="center" vertical="center"/>
    </xf>
    <xf numFmtId="165" fontId="17" fillId="5" borderId="2" xfId="0" applyNumberFormat="1" applyFont="1" applyFill="1" applyBorder="1" applyAlignment="1">
      <alignment vertical="center"/>
    </xf>
    <xf numFmtId="9" fontId="20" fillId="5" borderId="2" xfId="1" applyNumberFormat="1" applyFont="1" applyFill="1" applyBorder="1" applyAlignment="1">
      <alignment vertical="center"/>
    </xf>
    <xf numFmtId="165" fontId="17" fillId="5" borderId="38" xfId="2" applyNumberFormat="1" applyFont="1" applyFill="1" applyBorder="1" applyAlignment="1">
      <alignment vertical="center"/>
    </xf>
    <xf numFmtId="165" fontId="17" fillId="5" borderId="33" xfId="2" applyNumberFormat="1" applyFont="1" applyFill="1" applyBorder="1" applyAlignment="1">
      <alignment vertical="center"/>
    </xf>
    <xf numFmtId="9" fontId="19" fillId="5" borderId="28" xfId="1" applyFont="1" applyFill="1" applyBorder="1" applyAlignment="1">
      <alignment vertical="center"/>
    </xf>
    <xf numFmtId="165" fontId="19" fillId="5" borderId="34" xfId="2" applyNumberFormat="1" applyFont="1" applyFill="1" applyBorder="1" applyAlignment="1">
      <alignment vertical="center"/>
    </xf>
    <xf numFmtId="165" fontId="19" fillId="5" borderId="31" xfId="2" applyNumberFormat="1" applyFont="1" applyFill="1" applyBorder="1" applyAlignment="1">
      <alignment vertical="center"/>
    </xf>
    <xf numFmtId="1" fontId="17" fillId="3" borderId="5" xfId="0" applyNumberFormat="1" applyFont="1" applyFill="1" applyBorder="1" applyAlignment="1">
      <alignment horizontal="center" vertical="center"/>
    </xf>
    <xf numFmtId="165" fontId="17" fillId="3" borderId="2" xfId="0" applyNumberFormat="1" applyFont="1" applyFill="1" applyBorder="1" applyAlignment="1">
      <alignment vertical="center"/>
    </xf>
    <xf numFmtId="9" fontId="17" fillId="3" borderId="2" xfId="1" applyFont="1" applyFill="1" applyBorder="1" applyAlignment="1">
      <alignment vertical="center"/>
    </xf>
    <xf numFmtId="165" fontId="17" fillId="3" borderId="38" xfId="2" applyNumberFormat="1" applyFont="1" applyFill="1" applyBorder="1" applyAlignment="1">
      <alignment vertical="center"/>
    </xf>
    <xf numFmtId="165" fontId="17" fillId="3" borderId="33" xfId="2" applyNumberFormat="1" applyFont="1" applyFill="1" applyBorder="1" applyAlignment="1">
      <alignment vertical="center"/>
    </xf>
    <xf numFmtId="9" fontId="19" fillId="3" borderId="28" xfId="1" applyFont="1" applyFill="1" applyBorder="1" applyAlignment="1">
      <alignment vertical="center"/>
    </xf>
    <xf numFmtId="165" fontId="19" fillId="3" borderId="20" xfId="0" applyNumberFormat="1" applyFont="1" applyFill="1" applyBorder="1" applyAlignment="1">
      <alignment vertical="center"/>
    </xf>
    <xf numFmtId="165" fontId="19" fillId="3" borderId="31" xfId="2" applyNumberFormat="1" applyFont="1" applyFill="1" applyBorder="1" applyAlignment="1">
      <alignment vertical="center"/>
    </xf>
    <xf numFmtId="165" fontId="10" fillId="6" borderId="20" xfId="0" applyNumberFormat="1" applyFont="1" applyFill="1" applyBorder="1" applyAlignment="1">
      <alignment vertical="center"/>
    </xf>
    <xf numFmtId="165" fontId="17" fillId="3" borderId="26" xfId="0" applyNumberFormat="1" applyFont="1" applyFill="1" applyBorder="1" applyAlignment="1">
      <alignment horizontal="center" vertical="center"/>
    </xf>
    <xf numFmtId="165" fontId="17" fillId="3" borderId="0" xfId="0" applyNumberFormat="1" applyFont="1" applyFill="1" applyBorder="1" applyAlignment="1">
      <alignment horizontal="center" vertical="center"/>
    </xf>
    <xf numFmtId="165" fontId="17" fillId="3" borderId="26" xfId="0" applyNumberFormat="1" applyFont="1" applyFill="1" applyBorder="1" applyAlignment="1">
      <alignment vertical="center"/>
    </xf>
    <xf numFmtId="165" fontId="17" fillId="3" borderId="0" xfId="0" applyNumberFormat="1" applyFont="1" applyFill="1" applyBorder="1" applyAlignment="1">
      <alignment vertical="center"/>
    </xf>
    <xf numFmtId="165" fontId="17" fillId="3" borderId="40" xfId="0" applyNumberFormat="1" applyFont="1" applyFill="1" applyBorder="1" applyAlignment="1">
      <alignment vertical="center"/>
    </xf>
    <xf numFmtId="165" fontId="16" fillId="0" borderId="0" xfId="0" applyNumberFormat="1" applyFont="1" applyAlignment="1">
      <alignment vertical="center"/>
    </xf>
    <xf numFmtId="164" fontId="17" fillId="0" borderId="0" xfId="0" applyNumberFormat="1" applyFont="1"/>
    <xf numFmtId="165" fontId="19" fillId="0" borderId="0" xfId="2" applyNumberFormat="1" applyFont="1" applyBorder="1"/>
    <xf numFmtId="38" fontId="17" fillId="0" borderId="0" xfId="0" applyNumberFormat="1" applyFont="1"/>
    <xf numFmtId="166" fontId="17" fillId="0" borderId="0" xfId="2" applyNumberFormat="1" applyFont="1" applyAlignment="1">
      <alignment vertical="center"/>
    </xf>
    <xf numFmtId="0" fontId="18" fillId="4" borderId="0" xfId="0" applyFont="1" applyFill="1" applyBorder="1" applyAlignment="1">
      <alignment vertical="center"/>
    </xf>
    <xf numFmtId="165" fontId="18" fillId="4" borderId="0" xfId="2" applyNumberFormat="1" applyFont="1" applyFill="1" applyBorder="1" applyAlignment="1">
      <alignment vertical="center"/>
    </xf>
    <xf numFmtId="165" fontId="19" fillId="7" borderId="13" xfId="0" applyNumberFormat="1" applyFont="1" applyFill="1" applyBorder="1" applyAlignment="1">
      <alignment vertical="center"/>
    </xf>
    <xf numFmtId="165" fontId="16" fillId="4" borderId="0" xfId="2" applyNumberFormat="1" applyFont="1" applyFill="1" applyBorder="1" applyAlignment="1">
      <alignment vertical="center"/>
    </xf>
    <xf numFmtId="165" fontId="16" fillId="4" borderId="0" xfId="0" applyNumberFormat="1" applyFont="1" applyFill="1" applyBorder="1" applyAlignment="1">
      <alignment vertical="center"/>
    </xf>
    <xf numFmtId="0" fontId="23" fillId="4" borderId="0" xfId="0" applyFont="1" applyFill="1" applyBorder="1" applyAlignment="1">
      <alignment horizontal="right" vertical="center"/>
    </xf>
    <xf numFmtId="165" fontId="18" fillId="4" borderId="0" xfId="0" applyNumberFormat="1" applyFont="1" applyFill="1" applyBorder="1" applyAlignment="1">
      <alignment vertical="center"/>
    </xf>
    <xf numFmtId="165" fontId="25" fillId="4" borderId="0" xfId="0" applyNumberFormat="1" applyFont="1" applyFill="1" applyBorder="1" applyAlignment="1">
      <alignment vertical="center"/>
    </xf>
    <xf numFmtId="0" fontId="18" fillId="4" borderId="0" xfId="0" applyFont="1" applyFill="1" applyAlignment="1">
      <alignment vertical="center"/>
    </xf>
    <xf numFmtId="165" fontId="18" fillId="4" borderId="0" xfId="2" applyNumberFormat="1" applyFont="1" applyFill="1" applyAlignment="1">
      <alignment vertical="center"/>
    </xf>
    <xf numFmtId="165" fontId="10" fillId="6" borderId="29" xfId="0" applyNumberFormat="1" applyFont="1" applyFill="1" applyBorder="1" applyAlignment="1">
      <alignment vertical="center"/>
    </xf>
    <xf numFmtId="168" fontId="20" fillId="0" borderId="38" xfId="3" applyNumberFormat="1" applyFont="1" applyBorder="1"/>
    <xf numFmtId="168" fontId="20" fillId="0" borderId="58" xfId="3" applyNumberFormat="1" applyFont="1" applyBorder="1"/>
    <xf numFmtId="0" fontId="10" fillId="0" borderId="13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wrapText="1"/>
    </xf>
    <xf numFmtId="0" fontId="19" fillId="13" borderId="63" xfId="0" applyFont="1" applyFill="1" applyBorder="1" applyAlignment="1">
      <alignment vertical="center"/>
    </xf>
    <xf numFmtId="0" fontId="19" fillId="14" borderId="63" xfId="0" applyFont="1" applyFill="1" applyBorder="1" applyAlignment="1">
      <alignment horizontal="left" vertical="center"/>
    </xf>
    <xf numFmtId="165" fontId="19" fillId="14" borderId="63" xfId="5" applyNumberFormat="1" applyFont="1" applyFill="1" applyBorder="1" applyAlignment="1">
      <alignment vertical="center"/>
    </xf>
    <xf numFmtId="0" fontId="19" fillId="15" borderId="0" xfId="0" applyFont="1" applyFill="1" applyAlignment="1">
      <alignment horizontal="left" vertical="center"/>
    </xf>
    <xf numFmtId="165" fontId="19" fillId="15" borderId="0" xfId="5" applyNumberFormat="1" applyFont="1" applyFill="1" applyAlignment="1">
      <alignment vertical="center"/>
    </xf>
    <xf numFmtId="0" fontId="20" fillId="0" borderId="0" xfId="0" applyFont="1" applyAlignment="1">
      <alignment horizontal="left" vertical="center"/>
    </xf>
    <xf numFmtId="165" fontId="17" fillId="11" borderId="0" xfId="5" applyNumberFormat="1" applyFont="1" applyFill="1" applyAlignment="1">
      <alignment vertical="center"/>
    </xf>
    <xf numFmtId="0" fontId="19" fillId="13" borderId="64" xfId="0" applyFont="1" applyFill="1" applyBorder="1" applyAlignment="1">
      <alignment horizontal="left" vertical="center"/>
    </xf>
    <xf numFmtId="165" fontId="19" fillId="13" borderId="64" xfId="5" applyNumberFormat="1" applyFont="1" applyFill="1" applyBorder="1" applyAlignment="1">
      <alignment vertical="center"/>
    </xf>
    <xf numFmtId="0" fontId="19" fillId="9" borderId="66" xfId="0" applyFont="1" applyFill="1" applyBorder="1" applyAlignment="1">
      <alignment horizontal="left" vertical="center"/>
    </xf>
    <xf numFmtId="0" fontId="19" fillId="9" borderId="65" xfId="0" applyFont="1" applyFill="1" applyBorder="1" applyAlignment="1">
      <alignment horizontal="left" vertical="center"/>
    </xf>
    <xf numFmtId="0" fontId="19" fillId="9" borderId="69" xfId="0" applyFont="1" applyFill="1" applyBorder="1" applyAlignment="1">
      <alignment horizontal="left" vertical="center"/>
    </xf>
    <xf numFmtId="0" fontId="19" fillId="9" borderId="70" xfId="0" applyFont="1" applyFill="1" applyBorder="1" applyAlignment="1">
      <alignment horizontal="left" vertical="center"/>
    </xf>
    <xf numFmtId="0" fontId="19" fillId="9" borderId="72" xfId="0" applyFont="1" applyFill="1" applyBorder="1" applyAlignment="1">
      <alignment horizontal="left" vertical="center"/>
    </xf>
    <xf numFmtId="0" fontId="19" fillId="9" borderId="74" xfId="0" applyFont="1" applyFill="1" applyBorder="1" applyAlignment="1">
      <alignment horizontal="left" vertical="center"/>
    </xf>
    <xf numFmtId="165" fontId="19" fillId="13" borderId="63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8" fontId="10" fillId="0" borderId="0" xfId="3" applyNumberFormat="1" applyFont="1" applyBorder="1" applyAlignment="1">
      <alignment horizontal="center" vertical="center"/>
    </xf>
    <xf numFmtId="165" fontId="19" fillId="13" borderId="0" xfId="0" applyNumberFormat="1" applyFont="1" applyFill="1" applyBorder="1" applyAlignment="1">
      <alignment horizontal="center" vertical="center"/>
    </xf>
    <xf numFmtId="165" fontId="19" fillId="14" borderId="0" xfId="5" applyNumberFormat="1" applyFont="1" applyFill="1" applyBorder="1" applyAlignment="1">
      <alignment vertical="center"/>
    </xf>
    <xf numFmtId="165" fontId="19" fillId="13" borderId="0" xfId="5" applyNumberFormat="1" applyFont="1" applyFill="1" applyBorder="1" applyAlignment="1">
      <alignment vertical="center"/>
    </xf>
    <xf numFmtId="0" fontId="19" fillId="0" borderId="85" xfId="0" applyFont="1" applyBorder="1" applyAlignment="1">
      <alignment horizontal="center" vertical="center"/>
    </xf>
    <xf numFmtId="0" fontId="19" fillId="0" borderId="86" xfId="0" applyFont="1" applyBorder="1" applyAlignment="1">
      <alignment horizontal="center" vertical="center"/>
    </xf>
    <xf numFmtId="165" fontId="17" fillId="0" borderId="87" xfId="2" applyNumberFormat="1" applyFont="1" applyBorder="1" applyAlignment="1">
      <alignment vertical="center"/>
    </xf>
    <xf numFmtId="165" fontId="17" fillId="0" borderId="88" xfId="2" applyNumberFormat="1" applyFont="1" applyBorder="1" applyAlignment="1">
      <alignment vertical="center"/>
    </xf>
    <xf numFmtId="0" fontId="31" fillId="0" borderId="0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165" fontId="30" fillId="4" borderId="0" xfId="2" applyNumberFormat="1" applyFont="1" applyFill="1" applyBorder="1" applyAlignment="1">
      <alignment horizontal="center" vertical="center" wrapText="1"/>
    </xf>
    <xf numFmtId="0" fontId="31" fillId="6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0" fillId="11" borderId="0" xfId="0" applyFont="1" applyFill="1" applyAlignment="1">
      <alignment vertical="center"/>
    </xf>
    <xf numFmtId="170" fontId="20" fillId="11" borderId="0" xfId="0" quotePrefix="1" applyNumberFormat="1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20" fillId="12" borderId="0" xfId="0" applyFont="1" applyFill="1" applyAlignment="1">
      <alignment vertical="center"/>
    </xf>
    <xf numFmtId="170" fontId="20" fillId="12" borderId="0" xfId="0" quotePrefix="1" applyNumberFormat="1" applyFont="1" applyFill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30" fillId="4" borderId="0" xfId="0" applyFont="1" applyFill="1" applyBorder="1" applyAlignment="1">
      <alignment horizontal="center" vertical="center" wrapText="1"/>
    </xf>
    <xf numFmtId="0" fontId="20" fillId="17" borderId="42" xfId="0" applyFont="1" applyFill="1" applyBorder="1" applyAlignment="1">
      <alignment vertical="center"/>
    </xf>
    <xf numFmtId="0" fontId="20" fillId="17" borderId="42" xfId="0" applyFont="1" applyFill="1" applyBorder="1" applyAlignment="1">
      <alignment horizontal="center" vertical="center"/>
    </xf>
    <xf numFmtId="169" fontId="20" fillId="17" borderId="42" xfId="0" applyNumberFormat="1" applyFont="1" applyFill="1" applyBorder="1" applyAlignment="1">
      <alignment horizontal="center" vertical="center"/>
    </xf>
    <xf numFmtId="49" fontId="20" fillId="17" borderId="42" xfId="0" applyNumberFormat="1" applyFont="1" applyFill="1" applyBorder="1" applyAlignment="1">
      <alignment horizontal="center" vertical="center"/>
    </xf>
    <xf numFmtId="4" fontId="20" fillId="17" borderId="42" xfId="0" applyNumberFormat="1" applyFont="1" applyFill="1" applyBorder="1" applyAlignment="1">
      <alignment horizontal="center" vertical="center"/>
    </xf>
    <xf numFmtId="165" fontId="20" fillId="17" borderId="42" xfId="2" applyNumberFormat="1" applyFont="1" applyFill="1" applyBorder="1" applyAlignment="1">
      <alignment horizontal="center" vertical="center"/>
    </xf>
    <xf numFmtId="0" fontId="20" fillId="17" borderId="0" xfId="0" applyFont="1" applyFill="1" applyBorder="1" applyAlignment="1">
      <alignment horizontal="center" vertical="center"/>
    </xf>
    <xf numFmtId="0" fontId="20" fillId="17" borderId="0" xfId="0" applyFont="1" applyFill="1" applyBorder="1" applyAlignment="1">
      <alignment vertical="center"/>
    </xf>
    <xf numFmtId="169" fontId="20" fillId="17" borderId="0" xfId="0" applyNumberFormat="1" applyFont="1" applyFill="1" applyBorder="1" applyAlignment="1">
      <alignment horizontal="center" vertical="center"/>
    </xf>
    <xf numFmtId="49" fontId="20" fillId="17" borderId="0" xfId="0" applyNumberFormat="1" applyFont="1" applyFill="1" applyBorder="1" applyAlignment="1">
      <alignment horizontal="center" vertical="center"/>
    </xf>
    <xf numFmtId="4" fontId="20" fillId="17" borderId="0" xfId="0" applyNumberFormat="1" applyFont="1" applyFill="1" applyBorder="1" applyAlignment="1">
      <alignment horizontal="center" vertical="center"/>
    </xf>
    <xf numFmtId="165" fontId="20" fillId="17" borderId="0" xfId="2" applyNumberFormat="1" applyFont="1" applyFill="1" applyBorder="1" applyAlignment="1">
      <alignment horizontal="center" vertical="center"/>
    </xf>
    <xf numFmtId="0" fontId="20" fillId="17" borderId="40" xfId="0" applyFont="1" applyFill="1" applyBorder="1" applyAlignment="1">
      <alignment vertical="center"/>
    </xf>
    <xf numFmtId="0" fontId="20" fillId="17" borderId="40" xfId="0" applyFont="1" applyFill="1" applyBorder="1" applyAlignment="1">
      <alignment horizontal="center" vertical="center"/>
    </xf>
    <xf numFmtId="169" fontId="20" fillId="17" borderId="40" xfId="0" applyNumberFormat="1" applyFont="1" applyFill="1" applyBorder="1" applyAlignment="1">
      <alignment horizontal="center" vertical="center"/>
    </xf>
    <xf numFmtId="49" fontId="20" fillId="17" borderId="40" xfId="0" applyNumberFormat="1" applyFont="1" applyFill="1" applyBorder="1" applyAlignment="1">
      <alignment horizontal="center" vertical="center"/>
    </xf>
    <xf numFmtId="4" fontId="20" fillId="17" borderId="40" xfId="0" applyNumberFormat="1" applyFont="1" applyFill="1" applyBorder="1" applyAlignment="1">
      <alignment horizontal="center" vertical="center"/>
    </xf>
    <xf numFmtId="165" fontId="20" fillId="17" borderId="40" xfId="2" applyNumberFormat="1" applyFont="1" applyFill="1" applyBorder="1" applyAlignment="1">
      <alignment horizontal="center" vertical="center"/>
    </xf>
    <xf numFmtId="0" fontId="20" fillId="10" borderId="42" xfId="0" applyFont="1" applyFill="1" applyBorder="1" applyAlignment="1">
      <alignment vertical="center"/>
    </xf>
    <xf numFmtId="0" fontId="20" fillId="10" borderId="42" xfId="0" applyFont="1" applyFill="1" applyBorder="1" applyAlignment="1">
      <alignment horizontal="center" vertical="center"/>
    </xf>
    <xf numFmtId="169" fontId="20" fillId="10" borderId="42" xfId="0" applyNumberFormat="1" applyFont="1" applyFill="1" applyBorder="1" applyAlignment="1">
      <alignment horizontal="center" vertical="center"/>
    </xf>
    <xf numFmtId="49" fontId="20" fillId="10" borderId="42" xfId="0" applyNumberFormat="1" applyFont="1" applyFill="1" applyBorder="1" applyAlignment="1">
      <alignment horizontal="center" vertical="center"/>
    </xf>
    <xf numFmtId="4" fontId="20" fillId="10" borderId="42" xfId="0" applyNumberFormat="1" applyFont="1" applyFill="1" applyBorder="1" applyAlignment="1">
      <alignment horizontal="center" vertical="center"/>
    </xf>
    <xf numFmtId="165" fontId="20" fillId="10" borderId="42" xfId="2" applyNumberFormat="1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vertical="center"/>
    </xf>
    <xf numFmtId="0" fontId="20" fillId="10" borderId="0" xfId="0" applyFont="1" applyFill="1" applyBorder="1" applyAlignment="1">
      <alignment horizontal="center" vertical="center"/>
    </xf>
    <xf numFmtId="169" fontId="20" fillId="10" borderId="0" xfId="0" applyNumberFormat="1" applyFont="1" applyFill="1" applyBorder="1" applyAlignment="1">
      <alignment horizontal="center" vertical="center"/>
    </xf>
    <xf numFmtId="49" fontId="20" fillId="10" borderId="0" xfId="0" applyNumberFormat="1" applyFont="1" applyFill="1" applyBorder="1" applyAlignment="1">
      <alignment horizontal="center" vertical="center"/>
    </xf>
    <xf numFmtId="4" fontId="20" fillId="10" borderId="0" xfId="0" applyNumberFormat="1" applyFont="1" applyFill="1" applyBorder="1" applyAlignment="1">
      <alignment horizontal="center" vertical="center"/>
    </xf>
    <xf numFmtId="165" fontId="20" fillId="10" borderId="0" xfId="2" applyNumberFormat="1" applyFont="1" applyFill="1" applyBorder="1" applyAlignment="1">
      <alignment horizontal="center" vertical="center"/>
    </xf>
    <xf numFmtId="0" fontId="20" fillId="10" borderId="40" xfId="0" applyFont="1" applyFill="1" applyBorder="1" applyAlignment="1">
      <alignment vertical="center"/>
    </xf>
    <xf numFmtId="0" fontId="20" fillId="10" borderId="40" xfId="0" applyFont="1" applyFill="1" applyBorder="1" applyAlignment="1">
      <alignment horizontal="center" vertical="center"/>
    </xf>
    <xf numFmtId="169" fontId="20" fillId="10" borderId="40" xfId="0" applyNumberFormat="1" applyFont="1" applyFill="1" applyBorder="1" applyAlignment="1">
      <alignment horizontal="center" vertical="center"/>
    </xf>
    <xf numFmtId="49" fontId="20" fillId="10" borderId="40" xfId="0" applyNumberFormat="1" applyFont="1" applyFill="1" applyBorder="1" applyAlignment="1">
      <alignment horizontal="center" vertical="center"/>
    </xf>
    <xf numFmtId="4" fontId="20" fillId="10" borderId="40" xfId="0" applyNumberFormat="1" applyFont="1" applyFill="1" applyBorder="1" applyAlignment="1">
      <alignment horizontal="center" vertical="center"/>
    </xf>
    <xf numFmtId="165" fontId="20" fillId="10" borderId="40" xfId="2" applyNumberFormat="1" applyFont="1" applyFill="1" applyBorder="1" applyAlignment="1">
      <alignment horizontal="center" vertical="center"/>
    </xf>
    <xf numFmtId="172" fontId="17" fillId="0" borderId="0" xfId="0" applyNumberFormat="1" applyFont="1" applyAlignment="1">
      <alignment vertical="center"/>
    </xf>
    <xf numFmtId="0" fontId="19" fillId="4" borderId="16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9" fontId="17" fillId="0" borderId="0" xfId="1" applyFont="1" applyAlignment="1">
      <alignment vertical="center"/>
    </xf>
    <xf numFmtId="1" fontId="17" fillId="0" borderId="26" xfId="0" applyNumberFormat="1" applyFont="1" applyFill="1" applyBorder="1" applyAlignment="1">
      <alignment horizontal="left" vertical="center"/>
    </xf>
    <xf numFmtId="165" fontId="17" fillId="0" borderId="44" xfId="0" applyNumberFormat="1" applyFont="1" applyFill="1" applyBorder="1" applyAlignment="1">
      <alignment vertical="center"/>
    </xf>
    <xf numFmtId="165" fontId="17" fillId="4" borderId="26" xfId="0" applyNumberFormat="1" applyFont="1" applyFill="1" applyBorder="1" applyAlignment="1">
      <alignment horizontal="center" vertical="center"/>
    </xf>
    <xf numFmtId="165" fontId="17" fillId="4" borderId="7" xfId="0" applyNumberFormat="1" applyFont="1" applyFill="1" applyBorder="1" applyAlignment="1">
      <alignment vertical="center"/>
    </xf>
    <xf numFmtId="165" fontId="17" fillId="4" borderId="8" xfId="2" applyNumberFormat="1" applyFont="1" applyFill="1" applyBorder="1" applyAlignment="1">
      <alignment vertical="center"/>
    </xf>
    <xf numFmtId="165" fontId="17" fillId="4" borderId="22" xfId="0" applyNumberFormat="1" applyFont="1" applyFill="1" applyBorder="1" applyAlignment="1">
      <alignment vertical="center"/>
    </xf>
    <xf numFmtId="165" fontId="27" fillId="0" borderId="0" xfId="0" applyNumberFormat="1" applyFont="1" applyAlignment="1">
      <alignment vertical="center"/>
    </xf>
    <xf numFmtId="1" fontId="17" fillId="0" borderId="0" xfId="0" applyNumberFormat="1" applyFont="1" applyFill="1" applyBorder="1" applyAlignment="1">
      <alignment horizontal="left" vertical="center"/>
    </xf>
    <xf numFmtId="165" fontId="17" fillId="0" borderId="45" xfId="0" applyNumberFormat="1" applyFont="1" applyFill="1" applyBorder="1" applyAlignment="1">
      <alignment vertical="center"/>
    </xf>
    <xf numFmtId="165" fontId="17" fillId="4" borderId="0" xfId="0" applyNumberFormat="1" applyFont="1" applyFill="1" applyBorder="1" applyAlignment="1">
      <alignment horizontal="center" vertical="center"/>
    </xf>
    <xf numFmtId="165" fontId="17" fillId="4" borderId="1" xfId="0" applyNumberFormat="1" applyFont="1" applyFill="1" applyBorder="1" applyAlignment="1">
      <alignment vertical="center"/>
    </xf>
    <xf numFmtId="165" fontId="17" fillId="4" borderId="9" xfId="2" applyNumberFormat="1" applyFont="1" applyFill="1" applyBorder="1" applyAlignment="1">
      <alignment vertical="center"/>
    </xf>
    <xf numFmtId="165" fontId="17" fillId="4" borderId="23" xfId="0" applyNumberFormat="1" applyFont="1" applyFill="1" applyBorder="1" applyAlignment="1">
      <alignment vertical="center"/>
    </xf>
    <xf numFmtId="165" fontId="19" fillId="0" borderId="19" xfId="0" applyNumberFormat="1" applyFont="1" applyFill="1" applyBorder="1" applyAlignment="1">
      <alignment vertical="center"/>
    </xf>
    <xf numFmtId="165" fontId="19" fillId="4" borderId="54" xfId="0" applyNumberFormat="1" applyFont="1" applyFill="1" applyBorder="1" applyAlignment="1">
      <alignment vertical="center"/>
    </xf>
    <xf numFmtId="165" fontId="19" fillId="4" borderId="55" xfId="0" applyNumberFormat="1" applyFont="1" applyFill="1" applyBorder="1" applyAlignment="1">
      <alignment vertical="center"/>
    </xf>
    <xf numFmtId="9" fontId="10" fillId="4" borderId="19" xfId="1" applyFont="1" applyFill="1" applyBorder="1" applyAlignment="1">
      <alignment vertical="center"/>
    </xf>
    <xf numFmtId="165" fontId="19" fillId="4" borderId="18" xfId="0" applyNumberFormat="1" applyFont="1" applyFill="1" applyBorder="1" applyAlignment="1">
      <alignment vertical="center"/>
    </xf>
    <xf numFmtId="165" fontId="19" fillId="4" borderId="31" xfId="2" applyNumberFormat="1" applyFont="1" applyFill="1" applyBorder="1" applyAlignment="1">
      <alignment vertical="center"/>
    </xf>
    <xf numFmtId="165" fontId="19" fillId="4" borderId="20" xfId="2" applyNumberFormat="1" applyFont="1" applyFill="1" applyBorder="1" applyAlignment="1">
      <alignment vertical="center"/>
    </xf>
    <xf numFmtId="1" fontId="17" fillId="4" borderId="58" xfId="0" applyNumberFormat="1" applyFont="1" applyFill="1" applyBorder="1" applyAlignment="1">
      <alignment horizontal="left" vertical="center"/>
    </xf>
    <xf numFmtId="165" fontId="17" fillId="4" borderId="45" xfId="0" applyNumberFormat="1" applyFont="1" applyFill="1" applyBorder="1" applyAlignment="1">
      <alignment vertical="center"/>
    </xf>
    <xf numFmtId="165" fontId="19" fillId="4" borderId="0" xfId="0" applyNumberFormat="1" applyFont="1" applyFill="1" applyBorder="1" applyAlignment="1">
      <alignment vertical="center"/>
    </xf>
    <xf numFmtId="165" fontId="17" fillId="4" borderId="0" xfId="0" applyNumberFormat="1" applyFont="1" applyFill="1" applyBorder="1" applyAlignment="1">
      <alignment vertical="center"/>
    </xf>
    <xf numFmtId="165" fontId="17" fillId="4" borderId="39" xfId="0" applyNumberFormat="1" applyFont="1" applyFill="1" applyBorder="1" applyAlignment="1">
      <alignment vertical="center"/>
    </xf>
    <xf numFmtId="165" fontId="19" fillId="4" borderId="0" xfId="2" applyNumberFormat="1" applyFont="1" applyFill="1" applyBorder="1" applyAlignment="1">
      <alignment vertical="center"/>
    </xf>
    <xf numFmtId="1" fontId="17" fillId="4" borderId="37" xfId="0" applyNumberFormat="1" applyFont="1" applyFill="1" applyBorder="1" applyAlignment="1">
      <alignment horizontal="left" vertical="center"/>
    </xf>
    <xf numFmtId="165" fontId="17" fillId="0" borderId="46" xfId="0" applyNumberFormat="1" applyFont="1" applyFill="1" applyBorder="1" applyAlignment="1">
      <alignment vertical="center"/>
    </xf>
    <xf numFmtId="165" fontId="17" fillId="4" borderId="46" xfId="0" applyNumberFormat="1" applyFont="1" applyFill="1" applyBorder="1" applyAlignment="1">
      <alignment vertical="center"/>
    </xf>
    <xf numFmtId="165" fontId="17" fillId="4" borderId="6" xfId="0" applyNumberFormat="1" applyFont="1" applyFill="1" applyBorder="1" applyAlignment="1">
      <alignment vertical="center"/>
    </xf>
    <xf numFmtId="165" fontId="17" fillId="4" borderId="10" xfId="2" applyNumberFormat="1" applyFont="1" applyFill="1" applyBorder="1" applyAlignment="1">
      <alignment vertical="center"/>
    </xf>
    <xf numFmtId="165" fontId="17" fillId="4" borderId="17" xfId="0" applyNumberFormat="1" applyFont="1" applyFill="1" applyBorder="1" applyAlignment="1">
      <alignment vertical="center"/>
    </xf>
    <xf numFmtId="1" fontId="17" fillId="4" borderId="0" xfId="0" applyNumberFormat="1" applyFont="1" applyFill="1" applyBorder="1" applyAlignment="1">
      <alignment horizontal="left" vertical="center"/>
    </xf>
    <xf numFmtId="165" fontId="17" fillId="4" borderId="16" xfId="0" applyNumberFormat="1" applyFont="1" applyFill="1" applyBorder="1" applyAlignment="1">
      <alignment vertical="center"/>
    </xf>
    <xf numFmtId="165" fontId="20" fillId="4" borderId="0" xfId="0" applyNumberFormat="1" applyFont="1" applyFill="1" applyBorder="1" applyAlignment="1">
      <alignment vertical="center"/>
    </xf>
    <xf numFmtId="165" fontId="17" fillId="4" borderId="59" xfId="0" applyNumberFormat="1" applyFont="1" applyFill="1" applyBorder="1" applyAlignment="1">
      <alignment vertical="center"/>
    </xf>
    <xf numFmtId="165" fontId="19" fillId="0" borderId="28" xfId="0" applyNumberFormat="1" applyFont="1" applyFill="1" applyBorder="1" applyAlignment="1">
      <alignment vertical="center"/>
    </xf>
    <xf numFmtId="165" fontId="19" fillId="4" borderId="28" xfId="0" applyNumberFormat="1" applyFont="1" applyFill="1" applyBorder="1" applyAlignment="1">
      <alignment vertical="center"/>
    </xf>
    <xf numFmtId="9" fontId="10" fillId="4" borderId="28" xfId="1" applyFont="1" applyFill="1" applyBorder="1" applyAlignment="1">
      <alignment vertical="center"/>
    </xf>
    <xf numFmtId="165" fontId="21" fillId="0" borderId="28" xfId="0" applyNumberFormat="1" applyFont="1" applyFill="1" applyBorder="1" applyAlignment="1">
      <alignment vertical="center"/>
    </xf>
    <xf numFmtId="0" fontId="19" fillId="4" borderId="18" xfId="0" applyFont="1" applyFill="1" applyBorder="1" applyAlignment="1">
      <alignment horizontal="center" vertical="center" wrapText="1"/>
    </xf>
    <xf numFmtId="1" fontId="17" fillId="4" borderId="4" xfId="0" applyNumberFormat="1" applyFont="1" applyFill="1" applyBorder="1" applyAlignment="1">
      <alignment horizontal="left" vertical="center"/>
    </xf>
    <xf numFmtId="165" fontId="17" fillId="0" borderId="1" xfId="0" applyNumberFormat="1" applyFont="1" applyFill="1" applyBorder="1" applyAlignment="1">
      <alignment vertical="center"/>
    </xf>
    <xf numFmtId="165" fontId="17" fillId="4" borderId="37" xfId="2" applyNumberFormat="1" applyFont="1" applyFill="1" applyBorder="1" applyAlignment="1">
      <alignment vertical="center"/>
    </xf>
    <xf numFmtId="165" fontId="17" fillId="4" borderId="32" xfId="2" applyNumberFormat="1" applyFont="1" applyFill="1" applyBorder="1" applyAlignment="1">
      <alignment vertical="center"/>
    </xf>
    <xf numFmtId="1" fontId="17" fillId="4" borderId="5" xfId="0" applyNumberFormat="1" applyFont="1" applyFill="1" applyBorder="1" applyAlignment="1">
      <alignment horizontal="left" vertical="center"/>
    </xf>
    <xf numFmtId="165" fontId="17" fillId="0" borderId="2" xfId="0" applyNumberFormat="1" applyFont="1" applyFill="1" applyBorder="1" applyAlignment="1">
      <alignment vertical="center"/>
    </xf>
    <xf numFmtId="165" fontId="17" fillId="4" borderId="2" xfId="0" applyNumberFormat="1" applyFont="1" applyFill="1" applyBorder="1" applyAlignment="1">
      <alignment vertical="center"/>
    </xf>
    <xf numFmtId="9" fontId="20" fillId="4" borderId="2" xfId="1" applyNumberFormat="1" applyFont="1" applyFill="1" applyBorder="1" applyAlignment="1">
      <alignment vertical="center"/>
    </xf>
    <xf numFmtId="165" fontId="17" fillId="4" borderId="38" xfId="2" applyNumberFormat="1" applyFont="1" applyFill="1" applyBorder="1" applyAlignment="1">
      <alignment vertical="center"/>
    </xf>
    <xf numFmtId="165" fontId="17" fillId="4" borderId="33" xfId="2" applyNumberFormat="1" applyFont="1" applyFill="1" applyBorder="1" applyAlignment="1">
      <alignment vertical="center"/>
    </xf>
    <xf numFmtId="165" fontId="21" fillId="0" borderId="0" xfId="0" applyNumberFormat="1" applyFont="1" applyFill="1" applyBorder="1" applyAlignment="1">
      <alignment vertical="center"/>
    </xf>
    <xf numFmtId="165" fontId="21" fillId="4" borderId="0" xfId="0" applyNumberFormat="1" applyFont="1" applyFill="1" applyBorder="1" applyAlignment="1">
      <alignment vertical="center"/>
    </xf>
    <xf numFmtId="9" fontId="21" fillId="4" borderId="0" xfId="1" applyFont="1" applyFill="1" applyBorder="1" applyAlignment="1">
      <alignment vertical="center"/>
    </xf>
    <xf numFmtId="165" fontId="21" fillId="4" borderId="0" xfId="2" applyNumberFormat="1" applyFont="1" applyFill="1" applyBorder="1" applyAlignment="1">
      <alignment vertical="center"/>
    </xf>
    <xf numFmtId="165" fontId="21" fillId="0" borderId="0" xfId="0" applyNumberFormat="1" applyFont="1" applyFill="1" applyBorder="1" applyAlignment="1">
      <alignment horizontal="center" vertical="center"/>
    </xf>
    <xf numFmtId="167" fontId="17" fillId="0" borderId="0" xfId="2" applyNumberFormat="1" applyFont="1" applyAlignment="1">
      <alignment vertical="center"/>
    </xf>
    <xf numFmtId="165" fontId="17" fillId="0" borderId="0" xfId="2" applyNumberFormat="1" applyFont="1" applyFill="1" applyAlignment="1">
      <alignment vertical="center"/>
    </xf>
    <xf numFmtId="171" fontId="17" fillId="0" borderId="0" xfId="2" applyNumberFormat="1" applyFont="1" applyFill="1" applyAlignment="1">
      <alignment vertical="center"/>
    </xf>
    <xf numFmtId="165" fontId="19" fillId="5" borderId="28" xfId="2" applyNumberFormat="1" applyFont="1" applyFill="1" applyBorder="1" applyAlignment="1">
      <alignment vertical="center"/>
    </xf>
    <xf numFmtId="170" fontId="20" fillId="17" borderId="42" xfId="0" applyNumberFormat="1" applyFont="1" applyFill="1" applyBorder="1" applyAlignment="1">
      <alignment horizontal="center" vertical="center"/>
    </xf>
    <xf numFmtId="170" fontId="20" fillId="17" borderId="0" xfId="0" applyNumberFormat="1" applyFont="1" applyFill="1" applyBorder="1" applyAlignment="1">
      <alignment horizontal="center" vertical="center"/>
    </xf>
    <xf numFmtId="170" fontId="20" fillId="17" borderId="40" xfId="0" applyNumberFormat="1" applyFont="1" applyFill="1" applyBorder="1" applyAlignment="1">
      <alignment horizontal="center" vertical="center"/>
    </xf>
    <xf numFmtId="170" fontId="20" fillId="10" borderId="38" xfId="0" quotePrefix="1" applyNumberFormat="1" applyFont="1" applyFill="1" applyBorder="1" applyAlignment="1">
      <alignment horizontal="center" vertical="center"/>
    </xf>
    <xf numFmtId="170" fontId="20" fillId="10" borderId="42" xfId="0" quotePrefix="1" applyNumberFormat="1" applyFont="1" applyFill="1" applyBorder="1" applyAlignment="1">
      <alignment horizontal="center" vertical="center"/>
    </xf>
    <xf numFmtId="170" fontId="20" fillId="10" borderId="58" xfId="0" quotePrefix="1" applyNumberFormat="1" applyFont="1" applyFill="1" applyBorder="1" applyAlignment="1">
      <alignment horizontal="center" vertical="center"/>
    </xf>
    <xf numFmtId="170" fontId="20" fillId="10" borderId="0" xfId="0" quotePrefix="1" applyNumberFormat="1" applyFont="1" applyFill="1" applyBorder="1" applyAlignment="1">
      <alignment horizontal="center" vertical="center"/>
    </xf>
    <xf numFmtId="170" fontId="20" fillId="10" borderId="37" xfId="0" quotePrefix="1" applyNumberFormat="1" applyFont="1" applyFill="1" applyBorder="1" applyAlignment="1">
      <alignment horizontal="center" vertical="center"/>
    </xf>
    <xf numFmtId="170" fontId="20" fillId="10" borderId="40" xfId="0" quotePrefix="1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164" fontId="20" fillId="11" borderId="0" xfId="2" applyFont="1" applyFill="1" applyAlignment="1">
      <alignment vertical="center"/>
    </xf>
    <xf numFmtId="164" fontId="20" fillId="12" borderId="0" xfId="2" applyFont="1" applyFill="1" applyAlignment="1">
      <alignment vertical="center"/>
    </xf>
    <xf numFmtId="168" fontId="32" fillId="14" borderId="0" xfId="3" applyNumberFormat="1" applyFont="1" applyFill="1" applyBorder="1" applyAlignment="1">
      <alignment horizontal="center" vertical="center"/>
    </xf>
    <xf numFmtId="3" fontId="19" fillId="0" borderId="0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3" fontId="17" fillId="0" borderId="0" xfId="0" applyNumberFormat="1" applyFont="1" applyBorder="1" applyAlignment="1">
      <alignment vertical="center"/>
    </xf>
    <xf numFmtId="165" fontId="17" fillId="0" borderId="0" xfId="0" applyNumberFormat="1" applyFont="1" applyFill="1" applyAlignment="1">
      <alignment vertical="center"/>
    </xf>
    <xf numFmtId="0" fontId="19" fillId="3" borderId="16" xfId="0" applyFont="1" applyFill="1" applyBorder="1" applyAlignment="1">
      <alignment horizontal="center" vertical="center" wrapText="1"/>
    </xf>
    <xf numFmtId="0" fontId="19" fillId="5" borderId="16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165" fontId="19" fillId="14" borderId="0" xfId="2" applyNumberFormat="1" applyFont="1" applyFill="1" applyBorder="1" applyAlignment="1">
      <alignment vertical="center"/>
    </xf>
    <xf numFmtId="165" fontId="19" fillId="16" borderId="0" xfId="0" applyNumberFormat="1" applyFont="1" applyFill="1" applyBorder="1" applyAlignment="1">
      <alignment horizontal="center" vertical="center"/>
    </xf>
    <xf numFmtId="165" fontId="33" fillId="4" borderId="0" xfId="0" applyNumberFormat="1" applyFont="1" applyFill="1" applyBorder="1" applyAlignment="1">
      <alignment horizontal="center"/>
    </xf>
    <xf numFmtId="0" fontId="19" fillId="6" borderId="0" xfId="0" applyFont="1" applyFill="1" applyAlignment="1">
      <alignment horizontal="center" vertical="center"/>
    </xf>
    <xf numFmtId="165" fontId="19" fillId="18" borderId="66" xfId="2" applyNumberFormat="1" applyFont="1" applyFill="1" applyBorder="1" applyAlignment="1">
      <alignment horizontal="left" vertical="center"/>
    </xf>
    <xf numFmtId="165" fontId="19" fillId="18" borderId="65" xfId="2" applyNumberFormat="1" applyFont="1" applyFill="1" applyBorder="1" applyAlignment="1">
      <alignment horizontal="left" vertical="center"/>
    </xf>
    <xf numFmtId="165" fontId="19" fillId="18" borderId="69" xfId="2" applyNumberFormat="1" applyFont="1" applyFill="1" applyBorder="1" applyAlignment="1">
      <alignment horizontal="left" vertical="center"/>
    </xf>
    <xf numFmtId="165" fontId="19" fillId="18" borderId="72" xfId="2" applyNumberFormat="1" applyFont="1" applyFill="1" applyBorder="1" applyAlignment="1">
      <alignment horizontal="left" vertical="center"/>
    </xf>
    <xf numFmtId="165" fontId="19" fillId="18" borderId="74" xfId="2" applyNumberFormat="1" applyFont="1" applyFill="1" applyBorder="1" applyAlignment="1">
      <alignment horizontal="left" vertical="center"/>
    </xf>
    <xf numFmtId="165" fontId="19" fillId="18" borderId="70" xfId="2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4" borderId="0" xfId="0" applyNumberFormat="1" applyFont="1" applyFill="1" applyBorder="1" applyAlignment="1">
      <alignment horizontal="center" vertical="center"/>
    </xf>
    <xf numFmtId="165" fontId="21" fillId="4" borderId="0" xfId="2" applyNumberFormat="1" applyFont="1" applyFill="1" applyBorder="1" applyAlignment="1">
      <alignment horizontal="center" vertical="center"/>
    </xf>
    <xf numFmtId="165" fontId="20" fillId="11" borderId="0" xfId="2" applyNumberFormat="1" applyFont="1" applyFill="1" applyAlignment="1">
      <alignment vertical="center"/>
    </xf>
    <xf numFmtId="165" fontId="20" fillId="12" borderId="0" xfId="2" applyNumberFormat="1" applyFont="1" applyFill="1" applyAlignment="1">
      <alignment vertical="center"/>
    </xf>
    <xf numFmtId="0" fontId="27" fillId="0" borderId="0" xfId="0" applyFont="1" applyAlignment="1">
      <alignment vertical="center"/>
    </xf>
    <xf numFmtId="0" fontId="34" fillId="19" borderId="0" xfId="0" applyFont="1" applyFill="1" applyAlignment="1">
      <alignment horizontal="center" vertical="center"/>
    </xf>
    <xf numFmtId="0" fontId="17" fillId="19" borderId="0" xfId="0" applyFont="1" applyFill="1" applyAlignment="1">
      <alignment vertical="center"/>
    </xf>
    <xf numFmtId="0" fontId="35" fillId="19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168" fontId="10" fillId="0" borderId="0" xfId="3" applyNumberFormat="1" applyFont="1" applyBorder="1" applyAlignment="1">
      <alignment horizontal="center" vertical="center"/>
    </xf>
    <xf numFmtId="0" fontId="10" fillId="4" borderId="5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165" fontId="3" fillId="3" borderId="30" xfId="0" applyNumberFormat="1" applyFont="1" applyFill="1" applyBorder="1"/>
    <xf numFmtId="165" fontId="3" fillId="3" borderId="31" xfId="0" applyNumberFormat="1" applyFont="1" applyFill="1" applyBorder="1"/>
    <xf numFmtId="0" fontId="26" fillId="4" borderId="0" xfId="0" applyFont="1" applyFill="1" applyBorder="1" applyAlignment="1">
      <alignment horizontal="center" vertical="center" wrapText="1"/>
    </xf>
    <xf numFmtId="165" fontId="21" fillId="3" borderId="25" xfId="0" applyNumberFormat="1" applyFont="1" applyFill="1" applyBorder="1" applyAlignment="1">
      <alignment vertical="center"/>
    </xf>
    <xf numFmtId="165" fontId="21" fillId="2" borderId="25" xfId="0" applyNumberFormat="1" applyFont="1" applyFill="1" applyBorder="1" applyAlignment="1">
      <alignment vertical="center"/>
    </xf>
    <xf numFmtId="165" fontId="17" fillId="5" borderId="0" xfId="2" applyNumberFormat="1" applyFont="1" applyFill="1" applyBorder="1" applyAlignment="1">
      <alignment vertical="center"/>
    </xf>
    <xf numFmtId="165" fontId="19" fillId="3" borderId="31" xfId="0" applyNumberFormat="1" applyFont="1" applyFill="1" applyBorder="1" applyAlignment="1">
      <alignment vertical="center"/>
    </xf>
    <xf numFmtId="0" fontId="10" fillId="4" borderId="95" xfId="0" applyFont="1" applyFill="1" applyBorder="1" applyAlignment="1">
      <alignment horizontal="center" vertical="center" wrapText="1"/>
    </xf>
    <xf numFmtId="165" fontId="19" fillId="22" borderId="28" xfId="0" applyNumberFormat="1" applyFont="1" applyFill="1" applyBorder="1" applyAlignment="1">
      <alignment vertical="center"/>
    </xf>
    <xf numFmtId="165" fontId="19" fillId="20" borderId="13" xfId="0" applyNumberFormat="1" applyFont="1" applyFill="1" applyBorder="1" applyAlignment="1">
      <alignment vertical="center"/>
    </xf>
    <xf numFmtId="165" fontId="19" fillId="20" borderId="28" xfId="0" applyNumberFormat="1" applyFont="1" applyFill="1" applyBorder="1" applyAlignment="1">
      <alignment vertical="center"/>
    </xf>
    <xf numFmtId="168" fontId="20" fillId="4" borderId="0" xfId="3" applyNumberFormat="1" applyFont="1" applyFill="1" applyBorder="1"/>
    <xf numFmtId="165" fontId="17" fillId="4" borderId="26" xfId="0" applyNumberFormat="1" applyFont="1" applyFill="1" applyBorder="1" applyAlignment="1">
      <alignment vertical="center"/>
    </xf>
    <xf numFmtId="165" fontId="10" fillId="3" borderId="28" xfId="0" applyNumberFormat="1" applyFont="1" applyFill="1" applyBorder="1" applyAlignment="1">
      <alignment vertical="center"/>
    </xf>
    <xf numFmtId="165" fontId="10" fillId="3" borderId="30" xfId="0" applyNumberFormat="1" applyFont="1" applyFill="1" applyBorder="1" applyAlignment="1">
      <alignment vertical="center"/>
    </xf>
    <xf numFmtId="165" fontId="10" fillId="3" borderId="13" xfId="0" applyNumberFormat="1" applyFont="1" applyFill="1" applyBorder="1" applyAlignment="1">
      <alignment vertical="center"/>
    </xf>
    <xf numFmtId="9" fontId="10" fillId="3" borderId="13" xfId="1" applyFont="1" applyFill="1" applyBorder="1"/>
    <xf numFmtId="165" fontId="10" fillId="3" borderId="21" xfId="0" applyNumberFormat="1" applyFont="1" applyFill="1" applyBorder="1" applyAlignment="1">
      <alignment vertical="center"/>
    </xf>
    <xf numFmtId="165" fontId="10" fillId="3" borderId="31" xfId="0" applyNumberFormat="1" applyFont="1" applyFill="1" applyBorder="1" applyAlignment="1">
      <alignment vertical="center"/>
    </xf>
    <xf numFmtId="0" fontId="22" fillId="3" borderId="35" xfId="0" applyFont="1" applyFill="1" applyBorder="1" applyAlignment="1">
      <alignment vertical="center"/>
    </xf>
    <xf numFmtId="0" fontId="17" fillId="3" borderId="26" xfId="0" applyFont="1" applyFill="1" applyBorder="1" applyAlignment="1">
      <alignment vertical="center"/>
    </xf>
    <xf numFmtId="0" fontId="17" fillId="3" borderId="50" xfId="0" applyFont="1" applyFill="1" applyBorder="1" applyAlignment="1">
      <alignment vertical="center"/>
    </xf>
    <xf numFmtId="0" fontId="22" fillId="3" borderId="3" xfId="0" applyFont="1" applyFill="1" applyBorder="1" applyAlignment="1">
      <alignment vertical="center"/>
    </xf>
    <xf numFmtId="0" fontId="22" fillId="3" borderId="0" xfId="0" applyFont="1" applyFill="1" applyBorder="1" applyAlignment="1">
      <alignment vertical="center"/>
    </xf>
    <xf numFmtId="0" fontId="22" fillId="3" borderId="0" xfId="0" applyFont="1" applyFill="1" applyBorder="1" applyAlignment="1">
      <alignment horizontal="right" vertical="center"/>
    </xf>
    <xf numFmtId="0" fontId="22" fillId="3" borderId="51" xfId="0" applyFont="1" applyFill="1" applyBorder="1" applyAlignment="1">
      <alignment horizontal="right" vertical="center"/>
    </xf>
    <xf numFmtId="0" fontId="19" fillId="3" borderId="3" xfId="0" applyFont="1" applyFill="1" applyBorder="1" applyAlignment="1">
      <alignment vertical="center"/>
    </xf>
    <xf numFmtId="0" fontId="17" fillId="3" borderId="0" xfId="0" applyFont="1" applyFill="1" applyBorder="1" applyAlignment="1">
      <alignment vertical="center"/>
    </xf>
    <xf numFmtId="165" fontId="17" fillId="3" borderId="51" xfId="0" applyNumberFormat="1" applyFont="1" applyFill="1" applyBorder="1" applyAlignment="1">
      <alignment vertical="center"/>
    </xf>
    <xf numFmtId="165" fontId="24" fillId="3" borderId="0" xfId="0" applyNumberFormat="1" applyFont="1" applyFill="1" applyBorder="1" applyAlignment="1">
      <alignment vertical="center"/>
    </xf>
    <xf numFmtId="165" fontId="24" fillId="3" borderId="51" xfId="0" applyNumberFormat="1" applyFont="1" applyFill="1" applyBorder="1" applyAlignment="1">
      <alignment vertical="center"/>
    </xf>
    <xf numFmtId="0" fontId="19" fillId="3" borderId="0" xfId="0" applyFont="1" applyFill="1" applyBorder="1" applyAlignment="1">
      <alignment vertical="center"/>
    </xf>
    <xf numFmtId="165" fontId="19" fillId="3" borderId="52" xfId="0" applyNumberFormat="1" applyFont="1" applyFill="1" applyBorder="1" applyAlignment="1">
      <alignment vertical="center"/>
    </xf>
    <xf numFmtId="165" fontId="19" fillId="3" borderId="53" xfId="0" applyNumberFormat="1" applyFont="1" applyFill="1" applyBorder="1" applyAlignment="1">
      <alignment vertical="center"/>
    </xf>
    <xf numFmtId="0" fontId="19" fillId="3" borderId="36" xfId="0" applyFont="1" applyFill="1" applyBorder="1" applyAlignment="1">
      <alignment vertical="center"/>
    </xf>
    <xf numFmtId="0" fontId="19" fillId="3" borderId="25" xfId="0" applyFont="1" applyFill="1" applyBorder="1" applyAlignment="1">
      <alignment vertical="center"/>
    </xf>
    <xf numFmtId="165" fontId="19" fillId="3" borderId="25" xfId="0" applyNumberFormat="1" applyFont="1" applyFill="1" applyBorder="1" applyAlignment="1">
      <alignment vertical="center"/>
    </xf>
    <xf numFmtId="165" fontId="19" fillId="3" borderId="49" xfId="0" applyNumberFormat="1" applyFont="1" applyFill="1" applyBorder="1" applyAlignment="1">
      <alignment vertical="center"/>
    </xf>
    <xf numFmtId="165" fontId="19" fillId="5" borderId="14" xfId="0" applyNumberFormat="1" applyFont="1" applyFill="1" applyBorder="1" applyAlignment="1">
      <alignment vertical="center"/>
    </xf>
    <xf numFmtId="165" fontId="19" fillId="4" borderId="20" xfId="0" applyNumberFormat="1" applyFont="1" applyFill="1" applyBorder="1" applyAlignment="1">
      <alignment vertical="center"/>
    </xf>
    <xf numFmtId="165" fontId="0" fillId="4" borderId="0" xfId="0" applyNumberFormat="1" applyFont="1" applyFill="1" applyBorder="1"/>
    <xf numFmtId="165" fontId="0" fillId="4" borderId="26" xfId="0" applyNumberFormat="1" applyFont="1" applyFill="1" applyBorder="1"/>
    <xf numFmtId="1" fontId="9" fillId="4" borderId="26" xfId="0" applyNumberFormat="1" applyFont="1" applyFill="1" applyBorder="1" applyAlignment="1">
      <alignment horizontal="center"/>
    </xf>
    <xf numFmtId="165" fontId="0" fillId="4" borderId="47" xfId="0" applyNumberFormat="1" applyFont="1" applyFill="1" applyBorder="1" applyAlignment="1">
      <alignment horizontal="center"/>
    </xf>
    <xf numFmtId="165" fontId="0" fillId="4" borderId="26" xfId="0" applyNumberFormat="1" applyFont="1" applyFill="1" applyBorder="1" applyAlignment="1">
      <alignment horizontal="center"/>
    </xf>
    <xf numFmtId="165" fontId="0" fillId="4" borderId="7" xfId="0" applyNumberFormat="1" applyFont="1" applyFill="1" applyBorder="1"/>
    <xf numFmtId="165" fontId="2" fillId="4" borderId="8" xfId="2" applyNumberFormat="1" applyFont="1" applyFill="1" applyBorder="1"/>
    <xf numFmtId="165" fontId="0" fillId="4" borderId="22" xfId="0" applyNumberFormat="1" applyFont="1" applyFill="1" applyBorder="1"/>
    <xf numFmtId="1" fontId="9" fillId="4" borderId="0" xfId="0" applyNumberFormat="1" applyFont="1" applyFill="1" applyBorder="1" applyAlignment="1">
      <alignment horizontal="center"/>
    </xf>
    <xf numFmtId="165" fontId="0" fillId="4" borderId="45" xfId="0" applyNumberFormat="1" applyFont="1" applyFill="1" applyBorder="1" applyAlignment="1">
      <alignment horizontal="center"/>
    </xf>
    <xf numFmtId="165" fontId="0" fillId="4" borderId="0" xfId="0" applyNumberFormat="1" applyFont="1" applyFill="1" applyBorder="1" applyAlignment="1">
      <alignment horizontal="center"/>
    </xf>
    <xf numFmtId="165" fontId="0" fillId="4" borderId="1" xfId="0" applyNumberFormat="1" applyFont="1" applyFill="1" applyBorder="1"/>
    <xf numFmtId="165" fontId="2" fillId="4" borderId="9" xfId="2" applyNumberFormat="1" applyFont="1" applyFill="1" applyBorder="1"/>
    <xf numFmtId="165" fontId="0" fillId="4" borderId="23" xfId="0" applyNumberFormat="1" applyFont="1" applyFill="1" applyBorder="1"/>
    <xf numFmtId="165" fontId="0" fillId="4" borderId="48" xfId="0" applyNumberFormat="1" applyFont="1" applyFill="1" applyBorder="1" applyAlignment="1">
      <alignment horizontal="center"/>
    </xf>
    <xf numFmtId="165" fontId="0" fillId="4" borderId="47" xfId="0" applyNumberFormat="1" applyFont="1" applyFill="1" applyBorder="1"/>
    <xf numFmtId="1" fontId="9" fillId="4" borderId="58" xfId="0" applyNumberFormat="1" applyFont="1" applyFill="1" applyBorder="1" applyAlignment="1">
      <alignment horizontal="center"/>
    </xf>
    <xf numFmtId="165" fontId="0" fillId="4" borderId="45" xfId="0" applyNumberFormat="1" applyFont="1" applyFill="1" applyBorder="1"/>
    <xf numFmtId="1" fontId="9" fillId="4" borderId="37" xfId="0" applyNumberFormat="1" applyFont="1" applyFill="1" applyBorder="1" applyAlignment="1">
      <alignment horizontal="center"/>
    </xf>
    <xf numFmtId="165" fontId="0" fillId="4" borderId="46" xfId="0" applyNumberFormat="1" applyFont="1" applyFill="1" applyBorder="1"/>
    <xf numFmtId="165" fontId="2" fillId="4" borderId="10" xfId="2" applyNumberFormat="1" applyFont="1" applyFill="1" applyBorder="1"/>
    <xf numFmtId="165" fontId="0" fillId="4" borderId="32" xfId="0" applyNumberFormat="1" applyFont="1" applyFill="1" applyBorder="1"/>
    <xf numFmtId="165" fontId="6" fillId="4" borderId="46" xfId="0" applyNumberFormat="1" applyFont="1" applyFill="1" applyBorder="1"/>
    <xf numFmtId="165" fontId="3" fillId="21" borderId="48" xfId="0" applyNumberFormat="1" applyFont="1" applyFill="1" applyBorder="1"/>
    <xf numFmtId="165" fontId="3" fillId="21" borderId="28" xfId="0" applyNumberFormat="1" applyFont="1" applyFill="1" applyBorder="1"/>
    <xf numFmtId="9" fontId="8" fillId="21" borderId="28" xfId="1" applyFont="1" applyFill="1" applyBorder="1"/>
    <xf numFmtId="165" fontId="3" fillId="21" borderId="30" xfId="0" applyNumberFormat="1" applyFont="1" applyFill="1" applyBorder="1"/>
    <xf numFmtId="165" fontId="3" fillId="21" borderId="20" xfId="2" applyNumberFormat="1" applyFont="1" applyFill="1" applyBorder="1"/>
    <xf numFmtId="165" fontId="3" fillId="21" borderId="13" xfId="0" applyNumberFormat="1" applyFont="1" applyFill="1" applyBorder="1"/>
    <xf numFmtId="165" fontId="3" fillId="21" borderId="20" xfId="0" applyNumberFormat="1" applyFont="1" applyFill="1" applyBorder="1"/>
    <xf numFmtId="0" fontId="4" fillId="20" borderId="11" xfId="0" applyFont="1" applyFill="1" applyBorder="1" applyAlignment="1">
      <alignment horizontal="center" vertical="center" wrapText="1"/>
    </xf>
    <xf numFmtId="0" fontId="4" fillId="20" borderId="13" xfId="0" applyFont="1" applyFill="1" applyBorder="1" applyAlignment="1">
      <alignment horizontal="center" vertical="center" wrapText="1"/>
    </xf>
    <xf numFmtId="0" fontId="4" fillId="20" borderId="14" xfId="0" applyFont="1" applyFill="1" applyBorder="1" applyAlignment="1">
      <alignment horizontal="center" vertical="center" wrapText="1"/>
    </xf>
    <xf numFmtId="0" fontId="4" fillId="20" borderId="20" xfId="0" applyFont="1" applyFill="1" applyBorder="1" applyAlignment="1">
      <alignment horizontal="center" vertical="center" wrapText="1"/>
    </xf>
    <xf numFmtId="0" fontId="4" fillId="20" borderId="8" xfId="0" applyFont="1" applyFill="1" applyBorder="1" applyAlignment="1">
      <alignment horizontal="center" vertical="center" wrapText="1"/>
    </xf>
    <xf numFmtId="165" fontId="0" fillId="10" borderId="7" xfId="0" applyNumberFormat="1" applyFont="1" applyFill="1" applyBorder="1"/>
    <xf numFmtId="165" fontId="0" fillId="10" borderId="1" xfId="0" applyNumberFormat="1" applyFont="1" applyFill="1" applyBorder="1"/>
    <xf numFmtId="165" fontId="0" fillId="8" borderId="7" xfId="0" applyNumberFormat="1" applyFont="1" applyFill="1" applyBorder="1"/>
    <xf numFmtId="165" fontId="0" fillId="8" borderId="1" xfId="0" applyNumberFormat="1" applyFont="1" applyFill="1" applyBorder="1"/>
    <xf numFmtId="1" fontId="17" fillId="4" borderId="26" xfId="0" applyNumberFormat="1" applyFont="1" applyFill="1" applyBorder="1" applyAlignment="1">
      <alignment horizontal="center" vertical="center"/>
    </xf>
    <xf numFmtId="165" fontId="17" fillId="4" borderId="47" xfId="0" applyNumberFormat="1" applyFont="1" applyFill="1" applyBorder="1" applyAlignment="1">
      <alignment horizontal="center" vertical="center"/>
    </xf>
    <xf numFmtId="9" fontId="20" fillId="4" borderId="57" xfId="1" applyFont="1" applyFill="1" applyBorder="1"/>
    <xf numFmtId="1" fontId="17" fillId="4" borderId="0" xfId="0" applyNumberFormat="1" applyFont="1" applyFill="1" applyBorder="1" applyAlignment="1">
      <alignment horizontal="center" vertical="center"/>
    </xf>
    <xf numFmtId="165" fontId="17" fillId="4" borderId="45" xfId="0" applyNumberFormat="1" applyFont="1" applyFill="1" applyBorder="1" applyAlignment="1">
      <alignment horizontal="center" vertical="center"/>
    </xf>
    <xf numFmtId="9" fontId="20" fillId="4" borderId="0" xfId="1" applyFont="1" applyFill="1" applyBorder="1"/>
    <xf numFmtId="165" fontId="17" fillId="4" borderId="48" xfId="0" applyNumberFormat="1" applyFont="1" applyFill="1" applyBorder="1" applyAlignment="1">
      <alignment horizontal="center" vertical="center"/>
    </xf>
    <xf numFmtId="9" fontId="20" fillId="4" borderId="40" xfId="1" applyNumberFormat="1" applyFont="1" applyFill="1" applyBorder="1"/>
    <xf numFmtId="165" fontId="19" fillId="4" borderId="13" xfId="0" applyNumberFormat="1" applyFont="1" applyFill="1" applyBorder="1" applyAlignment="1">
      <alignment vertical="center"/>
    </xf>
    <xf numFmtId="9" fontId="10" fillId="4" borderId="28" xfId="1" applyFont="1" applyFill="1" applyBorder="1"/>
    <xf numFmtId="1" fontId="17" fillId="4" borderId="58" xfId="0" applyNumberFormat="1" applyFont="1" applyFill="1" applyBorder="1" applyAlignment="1">
      <alignment horizontal="center" vertical="center"/>
    </xf>
    <xf numFmtId="165" fontId="20" fillId="4" borderId="45" xfId="0" applyNumberFormat="1" applyFont="1" applyFill="1" applyBorder="1" applyAlignment="1">
      <alignment vertical="center"/>
    </xf>
    <xf numFmtId="1" fontId="17" fillId="4" borderId="37" xfId="0" applyNumberFormat="1" applyFont="1" applyFill="1" applyBorder="1" applyAlignment="1">
      <alignment horizontal="center" vertical="center"/>
    </xf>
    <xf numFmtId="165" fontId="20" fillId="4" borderId="46" xfId="0" applyNumberFormat="1" applyFont="1" applyFill="1" applyBorder="1" applyAlignment="1">
      <alignment vertical="center"/>
    </xf>
    <xf numFmtId="165" fontId="17" fillId="4" borderId="32" xfId="0" applyNumberFormat="1" applyFont="1" applyFill="1" applyBorder="1" applyAlignment="1">
      <alignment vertical="center"/>
    </xf>
    <xf numFmtId="165" fontId="20" fillId="4" borderId="47" xfId="0" applyNumberFormat="1" applyFont="1" applyFill="1" applyBorder="1" applyAlignment="1">
      <alignment vertical="center"/>
    </xf>
    <xf numFmtId="165" fontId="19" fillId="8" borderId="14" xfId="2" applyNumberFormat="1" applyFont="1" applyFill="1" applyBorder="1" applyAlignment="1">
      <alignment vertical="center"/>
    </xf>
    <xf numFmtId="0" fontId="19" fillId="8" borderId="18" xfId="0" applyFont="1" applyFill="1" applyBorder="1" applyAlignment="1">
      <alignment horizontal="center" vertical="center" wrapText="1"/>
    </xf>
    <xf numFmtId="1" fontId="17" fillId="8" borderId="4" xfId="0" applyNumberFormat="1" applyFont="1" applyFill="1" applyBorder="1" applyAlignment="1">
      <alignment horizontal="center" vertical="center"/>
    </xf>
    <xf numFmtId="165" fontId="17" fillId="8" borderId="1" xfId="0" applyNumberFormat="1" applyFont="1" applyFill="1" applyBorder="1" applyAlignment="1">
      <alignment vertical="center"/>
    </xf>
    <xf numFmtId="165" fontId="17" fillId="8" borderId="6" xfId="0" applyNumberFormat="1" applyFont="1" applyFill="1" applyBorder="1" applyAlignment="1">
      <alignment vertical="center"/>
    </xf>
    <xf numFmtId="165" fontId="17" fillId="8" borderId="37" xfId="2" applyNumberFormat="1" applyFont="1" applyFill="1" applyBorder="1" applyAlignment="1">
      <alignment vertical="center"/>
    </xf>
    <xf numFmtId="165" fontId="17" fillId="8" borderId="22" xfId="0" applyNumberFormat="1" applyFont="1" applyFill="1" applyBorder="1" applyAlignment="1">
      <alignment vertical="center"/>
    </xf>
    <xf numFmtId="0" fontId="19" fillId="8" borderId="16" xfId="0" applyFont="1" applyFill="1" applyBorder="1" applyAlignment="1">
      <alignment horizontal="center" vertical="center" wrapText="1"/>
    </xf>
    <xf numFmtId="1" fontId="17" fillId="8" borderId="5" xfId="0" applyNumberFormat="1" applyFont="1" applyFill="1" applyBorder="1" applyAlignment="1">
      <alignment horizontal="center" vertical="center"/>
    </xf>
    <xf numFmtId="165" fontId="17" fillId="8" borderId="2" xfId="0" applyNumberFormat="1" applyFont="1" applyFill="1" applyBorder="1" applyAlignment="1">
      <alignment vertical="center"/>
    </xf>
    <xf numFmtId="165" fontId="17" fillId="8" borderId="38" xfId="2" applyNumberFormat="1" applyFont="1" applyFill="1" applyBorder="1" applyAlignment="1">
      <alignment vertical="center"/>
    </xf>
    <xf numFmtId="0" fontId="19" fillId="8" borderId="27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165" fontId="19" fillId="8" borderId="28" xfId="0" applyNumberFormat="1" applyFont="1" applyFill="1" applyBorder="1" applyAlignment="1">
      <alignment vertical="center"/>
    </xf>
    <xf numFmtId="165" fontId="19" fillId="8" borderId="31" xfId="2" applyNumberFormat="1" applyFont="1" applyFill="1" applyBorder="1" applyAlignment="1">
      <alignment vertical="center"/>
    </xf>
    <xf numFmtId="165" fontId="20" fillId="4" borderId="26" xfId="0" applyNumberFormat="1" applyFont="1" applyFill="1" applyBorder="1" applyAlignment="1">
      <alignment horizontal="center" vertical="center"/>
    </xf>
    <xf numFmtId="165" fontId="20" fillId="4" borderId="0" xfId="0" applyNumberFormat="1" applyFont="1" applyFill="1" applyBorder="1" applyAlignment="1">
      <alignment horizontal="center" vertical="center"/>
    </xf>
    <xf numFmtId="165" fontId="19" fillId="4" borderId="31" xfId="0" applyNumberFormat="1" applyFont="1" applyFill="1" applyBorder="1" applyAlignment="1">
      <alignment vertical="center"/>
    </xf>
    <xf numFmtId="165" fontId="19" fillId="4" borderId="14" xfId="2" applyNumberFormat="1" applyFont="1" applyFill="1" applyBorder="1" applyAlignment="1">
      <alignment vertical="center"/>
    </xf>
    <xf numFmtId="165" fontId="19" fillId="22" borderId="14" xfId="2" applyNumberFormat="1" applyFont="1" applyFill="1" applyBorder="1" applyAlignment="1">
      <alignment vertical="center"/>
    </xf>
    <xf numFmtId="165" fontId="17" fillId="22" borderId="0" xfId="0" applyNumberFormat="1" applyFont="1" applyFill="1" applyBorder="1" applyAlignment="1">
      <alignment vertical="center"/>
    </xf>
    <xf numFmtId="165" fontId="10" fillId="22" borderId="28" xfId="0" applyNumberFormat="1" applyFont="1" applyFill="1" applyBorder="1" applyAlignment="1">
      <alignment vertical="center"/>
    </xf>
    <xf numFmtId="165" fontId="10" fillId="22" borderId="30" xfId="0" applyNumberFormat="1" applyFont="1" applyFill="1" applyBorder="1" applyAlignment="1">
      <alignment vertical="center"/>
    </xf>
    <xf numFmtId="165" fontId="10" fillId="22" borderId="13" xfId="0" applyNumberFormat="1" applyFont="1" applyFill="1" applyBorder="1" applyAlignment="1">
      <alignment vertical="center"/>
    </xf>
    <xf numFmtId="9" fontId="10" fillId="22" borderId="13" xfId="1" applyFont="1" applyFill="1" applyBorder="1"/>
    <xf numFmtId="165" fontId="10" fillId="22" borderId="21" xfId="0" applyNumberFormat="1" applyFont="1" applyFill="1" applyBorder="1" applyAlignment="1">
      <alignment vertical="center"/>
    </xf>
    <xf numFmtId="165" fontId="10" fillId="22" borderId="31" xfId="0" applyNumberFormat="1" applyFont="1" applyFill="1" applyBorder="1" applyAlignment="1">
      <alignment vertical="center"/>
    </xf>
    <xf numFmtId="0" fontId="22" fillId="22" borderId="35" xfId="0" applyFont="1" applyFill="1" applyBorder="1" applyAlignment="1">
      <alignment vertical="center"/>
    </xf>
    <xf numFmtId="0" fontId="17" fillId="22" borderId="26" xfId="0" applyFont="1" applyFill="1" applyBorder="1" applyAlignment="1">
      <alignment vertical="center"/>
    </xf>
    <xf numFmtId="0" fontId="17" fillId="22" borderId="50" xfId="0" applyFont="1" applyFill="1" applyBorder="1" applyAlignment="1">
      <alignment vertical="center"/>
    </xf>
    <xf numFmtId="0" fontId="22" fillId="22" borderId="3" xfId="0" applyFont="1" applyFill="1" applyBorder="1" applyAlignment="1">
      <alignment vertical="center"/>
    </xf>
    <xf numFmtId="0" fontId="22" fillId="22" borderId="0" xfId="0" applyFont="1" applyFill="1" applyBorder="1" applyAlignment="1">
      <alignment vertical="center"/>
    </xf>
    <xf numFmtId="0" fontId="22" fillId="22" borderId="0" xfId="0" applyFont="1" applyFill="1" applyBorder="1" applyAlignment="1">
      <alignment horizontal="right" vertical="center"/>
    </xf>
    <xf numFmtId="0" fontId="22" fillId="22" borderId="51" xfId="0" applyFont="1" applyFill="1" applyBorder="1" applyAlignment="1">
      <alignment horizontal="right" vertical="center"/>
    </xf>
    <xf numFmtId="0" fontId="19" fillId="22" borderId="3" xfId="0" applyFont="1" applyFill="1" applyBorder="1" applyAlignment="1">
      <alignment vertical="center"/>
    </xf>
    <xf numFmtId="0" fontId="17" fillId="22" borderId="0" xfId="0" applyFont="1" applyFill="1" applyBorder="1" applyAlignment="1">
      <alignment vertical="center"/>
    </xf>
    <xf numFmtId="165" fontId="17" fillId="22" borderId="51" xfId="0" applyNumberFormat="1" applyFont="1" applyFill="1" applyBorder="1" applyAlignment="1">
      <alignment vertical="center"/>
    </xf>
    <xf numFmtId="165" fontId="24" fillId="22" borderId="0" xfId="0" applyNumberFormat="1" applyFont="1" applyFill="1" applyBorder="1" applyAlignment="1">
      <alignment vertical="center"/>
    </xf>
    <xf numFmtId="165" fontId="24" fillId="22" borderId="51" xfId="0" applyNumberFormat="1" applyFont="1" applyFill="1" applyBorder="1" applyAlignment="1">
      <alignment vertical="center"/>
    </xf>
    <xf numFmtId="0" fontId="19" fillId="22" borderId="0" xfId="0" applyFont="1" applyFill="1" applyBorder="1" applyAlignment="1">
      <alignment vertical="center"/>
    </xf>
    <xf numFmtId="165" fontId="19" fillId="22" borderId="52" xfId="0" applyNumberFormat="1" applyFont="1" applyFill="1" applyBorder="1" applyAlignment="1">
      <alignment vertical="center"/>
    </xf>
    <xf numFmtId="165" fontId="19" fillId="22" borderId="53" xfId="0" applyNumberFormat="1" applyFont="1" applyFill="1" applyBorder="1" applyAlignment="1">
      <alignment vertical="center"/>
    </xf>
    <xf numFmtId="0" fontId="19" fillId="22" borderId="36" xfId="0" applyFont="1" applyFill="1" applyBorder="1" applyAlignment="1">
      <alignment vertical="center"/>
    </xf>
    <xf numFmtId="0" fontId="19" fillId="22" borderId="25" xfId="0" applyFont="1" applyFill="1" applyBorder="1" applyAlignment="1">
      <alignment vertical="center"/>
    </xf>
    <xf numFmtId="165" fontId="19" fillId="22" borderId="25" xfId="0" applyNumberFormat="1" applyFont="1" applyFill="1" applyBorder="1" applyAlignment="1">
      <alignment vertical="center"/>
    </xf>
    <xf numFmtId="165" fontId="19" fillId="22" borderId="49" xfId="0" applyNumberFormat="1" applyFont="1" applyFill="1" applyBorder="1" applyAlignment="1">
      <alignment vertical="center"/>
    </xf>
    <xf numFmtId="165" fontId="10" fillId="22" borderId="20" xfId="0" applyNumberFormat="1" applyFont="1" applyFill="1" applyBorder="1" applyAlignment="1">
      <alignment vertical="center"/>
    </xf>
    <xf numFmtId="0" fontId="36" fillId="21" borderId="27" xfId="0" applyFont="1" applyFill="1" applyBorder="1" applyAlignment="1">
      <alignment horizontal="center" vertical="center" wrapText="1"/>
    </xf>
    <xf numFmtId="0" fontId="36" fillId="21" borderId="30" xfId="0" applyFont="1" applyFill="1" applyBorder="1" applyAlignment="1">
      <alignment horizontal="center" vertical="center" wrapText="1"/>
    </xf>
    <xf numFmtId="165" fontId="8" fillId="21" borderId="28" xfId="0" applyNumberFormat="1" applyFont="1" applyFill="1" applyBorder="1"/>
    <xf numFmtId="165" fontId="8" fillId="21" borderId="31" xfId="2" applyNumberFormat="1" applyFont="1" applyFill="1" applyBorder="1"/>
    <xf numFmtId="0" fontId="17" fillId="0" borderId="27" xfId="0" applyFont="1" applyBorder="1"/>
    <xf numFmtId="0" fontId="17" fillId="0" borderId="30" xfId="0" applyFont="1" applyBorder="1"/>
    <xf numFmtId="1" fontId="17" fillId="0" borderId="26" xfId="0" applyNumberFormat="1" applyFont="1" applyFill="1" applyBorder="1" applyAlignment="1">
      <alignment horizontal="center"/>
    </xf>
    <xf numFmtId="165" fontId="20" fillId="0" borderId="44" xfId="0" applyNumberFormat="1" applyFont="1" applyFill="1" applyBorder="1"/>
    <xf numFmtId="165" fontId="20" fillId="0" borderId="26" xfId="0" applyNumberFormat="1" applyFont="1" applyFill="1" applyBorder="1" applyAlignment="1">
      <alignment horizontal="center"/>
    </xf>
    <xf numFmtId="165" fontId="17" fillId="0" borderId="7" xfId="0" applyNumberFormat="1" applyFont="1" applyFill="1" applyBorder="1"/>
    <xf numFmtId="165" fontId="17" fillId="0" borderId="60" xfId="0" applyNumberFormat="1" applyFont="1" applyFill="1" applyBorder="1"/>
    <xf numFmtId="9" fontId="20" fillId="0" borderId="60" xfId="1" applyNumberFormat="1" applyFont="1" applyFill="1" applyBorder="1"/>
    <xf numFmtId="165" fontId="17" fillId="0" borderId="50" xfId="2" applyNumberFormat="1" applyFont="1" applyFill="1" applyBorder="1"/>
    <xf numFmtId="165" fontId="17" fillId="0" borderId="22" xfId="0" applyNumberFormat="1" applyFont="1" applyFill="1" applyBorder="1"/>
    <xf numFmtId="165" fontId="17" fillId="0" borderId="26" xfId="2" applyNumberFormat="1" applyFont="1" applyFill="1" applyBorder="1"/>
    <xf numFmtId="1" fontId="17" fillId="0" borderId="0" xfId="0" applyNumberFormat="1" applyFont="1" applyFill="1" applyBorder="1" applyAlignment="1">
      <alignment horizontal="center"/>
    </xf>
    <xf numFmtId="165" fontId="20" fillId="0" borderId="45" xfId="0" applyNumberFormat="1" applyFont="1" applyFill="1" applyBorder="1"/>
    <xf numFmtId="165" fontId="20" fillId="0" borderId="0" xfId="0" applyNumberFormat="1" applyFont="1" applyFill="1" applyBorder="1" applyAlignment="1">
      <alignment horizontal="center"/>
    </xf>
    <xf numFmtId="165" fontId="17" fillId="0" borderId="1" xfId="0" applyNumberFormat="1" applyFont="1" applyFill="1" applyBorder="1"/>
    <xf numFmtId="165" fontId="17" fillId="0" borderId="61" xfId="0" applyNumberFormat="1" applyFont="1" applyFill="1" applyBorder="1"/>
    <xf numFmtId="9" fontId="20" fillId="0" borderId="61" xfId="1" applyNumberFormat="1" applyFont="1" applyFill="1" applyBorder="1"/>
    <xf numFmtId="165" fontId="17" fillId="0" borderId="51" xfId="2" applyNumberFormat="1" applyFont="1" applyFill="1" applyBorder="1"/>
    <xf numFmtId="165" fontId="17" fillId="0" borderId="23" xfId="0" applyNumberFormat="1" applyFont="1" applyFill="1" applyBorder="1"/>
    <xf numFmtId="165" fontId="17" fillId="0" borderId="0" xfId="2" applyNumberFormat="1" applyFont="1" applyFill="1" applyBorder="1"/>
    <xf numFmtId="165" fontId="20" fillId="0" borderId="46" xfId="0" applyNumberFormat="1" applyFont="1" applyFill="1" applyBorder="1"/>
    <xf numFmtId="165" fontId="17" fillId="0" borderId="62" xfId="0" applyNumberFormat="1" applyFont="1" applyFill="1" applyBorder="1"/>
    <xf numFmtId="9" fontId="20" fillId="0" borderId="62" xfId="1" applyNumberFormat="1" applyFont="1" applyFill="1" applyBorder="1"/>
    <xf numFmtId="0" fontId="17" fillId="0" borderId="0" xfId="0" applyFont="1" applyFill="1"/>
    <xf numFmtId="165" fontId="19" fillId="0" borderId="28" xfId="0" applyNumberFormat="1" applyFont="1" applyFill="1" applyBorder="1"/>
    <xf numFmtId="165" fontId="19" fillId="0" borderId="30" xfId="0" applyNumberFormat="1" applyFont="1" applyFill="1" applyBorder="1"/>
    <xf numFmtId="165" fontId="19" fillId="0" borderId="13" xfId="0" applyNumberFormat="1" applyFont="1" applyFill="1" applyBorder="1" applyAlignment="1">
      <alignment vertical="center"/>
    </xf>
    <xf numFmtId="165" fontId="19" fillId="0" borderId="13" xfId="0" applyNumberFormat="1" applyFont="1" applyFill="1" applyBorder="1"/>
    <xf numFmtId="9" fontId="10" fillId="0" borderId="28" xfId="1" applyFont="1" applyFill="1" applyBorder="1"/>
    <xf numFmtId="165" fontId="19" fillId="0" borderId="27" xfId="0" applyNumberFormat="1" applyFont="1" applyFill="1" applyBorder="1"/>
    <xf numFmtId="165" fontId="19" fillId="0" borderId="20" xfId="2" applyNumberFormat="1" applyFont="1" applyFill="1" applyBorder="1"/>
    <xf numFmtId="1" fontId="17" fillId="0" borderId="56" xfId="0" applyNumberFormat="1" applyFont="1" applyFill="1" applyBorder="1" applyAlignment="1">
      <alignment horizontal="center"/>
    </xf>
    <xf numFmtId="9" fontId="20" fillId="0" borderId="7" xfId="1" applyFont="1" applyFill="1" applyBorder="1"/>
    <xf numFmtId="165" fontId="17" fillId="0" borderId="8" xfId="2" applyNumberFormat="1" applyFont="1" applyFill="1" applyBorder="1"/>
    <xf numFmtId="38" fontId="17" fillId="0" borderId="0" xfId="0" applyNumberFormat="1" applyFont="1" applyFill="1"/>
    <xf numFmtId="1" fontId="17" fillId="0" borderId="58" xfId="0" applyNumberFormat="1" applyFont="1" applyFill="1" applyBorder="1" applyAlignment="1">
      <alignment horizontal="center"/>
    </xf>
    <xf numFmtId="9" fontId="20" fillId="0" borderId="1" xfId="1" applyFont="1" applyFill="1" applyBorder="1"/>
    <xf numFmtId="165" fontId="17" fillId="0" borderId="9" xfId="2" applyNumberFormat="1" applyFont="1" applyFill="1" applyBorder="1"/>
    <xf numFmtId="1" fontId="17" fillId="0" borderId="37" xfId="0" applyNumberFormat="1" applyFont="1" applyFill="1" applyBorder="1" applyAlignment="1">
      <alignment horizontal="center"/>
    </xf>
    <xf numFmtId="165" fontId="17" fillId="0" borderId="6" xfId="0" applyNumberFormat="1" applyFont="1" applyFill="1" applyBorder="1"/>
    <xf numFmtId="9" fontId="20" fillId="0" borderId="6" xfId="1" applyNumberFormat="1" applyFont="1" applyFill="1" applyBorder="1"/>
    <xf numFmtId="165" fontId="17" fillId="0" borderId="10" xfId="2" applyNumberFormat="1" applyFont="1" applyFill="1" applyBorder="1"/>
    <xf numFmtId="165" fontId="17" fillId="0" borderId="32" xfId="0" applyNumberFormat="1" applyFont="1" applyFill="1" applyBorder="1"/>
    <xf numFmtId="9" fontId="20" fillId="0" borderId="1" xfId="1" applyNumberFormat="1" applyFont="1" applyFill="1" applyBorder="1"/>
    <xf numFmtId="9" fontId="17" fillId="0" borderId="1" xfId="0" applyNumberFormat="1" applyFont="1" applyFill="1" applyBorder="1"/>
    <xf numFmtId="165" fontId="19" fillId="0" borderId="34" xfId="0" applyNumberFormat="1" applyFont="1" applyFill="1" applyBorder="1"/>
    <xf numFmtId="0" fontId="21" fillId="0" borderId="36" xfId="0" applyFont="1" applyFill="1" applyBorder="1" applyAlignment="1">
      <alignment horizontal="center" vertical="center" wrapText="1"/>
    </xf>
    <xf numFmtId="0" fontId="21" fillId="0" borderId="25" xfId="0" applyFont="1" applyFill="1" applyBorder="1" applyAlignment="1">
      <alignment horizontal="center" vertical="center" wrapText="1"/>
    </xf>
    <xf numFmtId="165" fontId="21" fillId="0" borderId="48" xfId="0" applyNumberFormat="1" applyFont="1" applyFill="1" applyBorder="1"/>
    <xf numFmtId="9" fontId="21" fillId="0" borderId="48" xfId="1" applyFont="1" applyFill="1" applyBorder="1"/>
    <xf numFmtId="165" fontId="21" fillId="0" borderId="49" xfId="2" applyNumberFormat="1" applyFont="1" applyFill="1" applyBorder="1"/>
    <xf numFmtId="0" fontId="17" fillId="22" borderId="30" xfId="0" applyFont="1" applyFill="1" applyBorder="1"/>
    <xf numFmtId="165" fontId="10" fillId="22" borderId="30" xfId="0" applyNumberFormat="1" applyFont="1" applyFill="1" applyBorder="1"/>
    <xf numFmtId="165" fontId="10" fillId="22" borderId="28" xfId="0" applyNumberFormat="1" applyFont="1" applyFill="1" applyBorder="1"/>
    <xf numFmtId="165" fontId="10" fillId="22" borderId="13" xfId="0" applyNumberFormat="1" applyFont="1" applyFill="1" applyBorder="1"/>
    <xf numFmtId="165" fontId="10" fillId="22" borderId="21" xfId="0" applyNumberFormat="1" applyFont="1" applyFill="1" applyBorder="1"/>
    <xf numFmtId="165" fontId="10" fillId="22" borderId="31" xfId="0" applyNumberFormat="1" applyFont="1" applyFill="1" applyBorder="1"/>
    <xf numFmtId="0" fontId="22" fillId="22" borderId="35" xfId="0" applyFont="1" applyFill="1" applyBorder="1"/>
    <xf numFmtId="0" fontId="17" fillId="22" borderId="26" xfId="0" applyFont="1" applyFill="1" applyBorder="1"/>
    <xf numFmtId="0" fontId="17" fillId="22" borderId="50" xfId="0" applyFont="1" applyFill="1" applyBorder="1"/>
    <xf numFmtId="0" fontId="22" fillId="22" borderId="3" xfId="0" applyFont="1" applyFill="1" applyBorder="1" applyAlignment="1"/>
    <xf numFmtId="0" fontId="22" fillId="22" borderId="0" xfId="0" applyFont="1" applyFill="1" applyBorder="1" applyAlignment="1"/>
    <xf numFmtId="0" fontId="19" fillId="22" borderId="3" xfId="0" applyFont="1" applyFill="1" applyBorder="1"/>
    <xf numFmtId="0" fontId="17" fillId="22" borderId="0" xfId="0" applyFont="1" applyFill="1" applyBorder="1"/>
    <xf numFmtId="165" fontId="17" fillId="22" borderId="0" xfId="0" applyNumberFormat="1" applyFont="1" applyFill="1" applyBorder="1"/>
    <xf numFmtId="165" fontId="17" fillId="22" borderId="51" xfId="0" applyNumberFormat="1" applyFont="1" applyFill="1" applyBorder="1"/>
    <xf numFmtId="165" fontId="24" fillId="22" borderId="0" xfId="0" applyNumberFormat="1" applyFont="1" applyFill="1" applyBorder="1"/>
    <xf numFmtId="165" fontId="24" fillId="22" borderId="51" xfId="0" applyNumberFormat="1" applyFont="1" applyFill="1" applyBorder="1"/>
    <xf numFmtId="0" fontId="19" fillId="22" borderId="0" xfId="0" applyFont="1" applyFill="1" applyBorder="1"/>
    <xf numFmtId="165" fontId="19" fillId="22" borderId="52" xfId="0" applyNumberFormat="1" applyFont="1" applyFill="1" applyBorder="1"/>
    <xf numFmtId="0" fontId="19" fillId="22" borderId="36" xfId="0" applyFont="1" applyFill="1" applyBorder="1"/>
    <xf numFmtId="0" fontId="19" fillId="22" borderId="25" xfId="0" applyFont="1" applyFill="1" applyBorder="1"/>
    <xf numFmtId="165" fontId="19" fillId="22" borderId="25" xfId="0" applyNumberFormat="1" applyFont="1" applyFill="1" applyBorder="1"/>
    <xf numFmtId="165" fontId="19" fillId="22" borderId="49" xfId="0" applyNumberFormat="1" applyFont="1" applyFill="1" applyBorder="1"/>
    <xf numFmtId="1" fontId="10" fillId="22" borderId="27" xfId="0" applyNumberFormat="1" applyFont="1" applyFill="1" applyBorder="1" applyAlignment="1">
      <alignment horizontal="left"/>
    </xf>
    <xf numFmtId="0" fontId="37" fillId="0" borderId="36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 wrapText="1"/>
    </xf>
    <xf numFmtId="165" fontId="37" fillId="0" borderId="48" xfId="0" applyNumberFormat="1" applyFont="1" applyFill="1" applyBorder="1"/>
    <xf numFmtId="9" fontId="37" fillId="0" borderId="48" xfId="1" applyFont="1" applyFill="1" applyBorder="1"/>
    <xf numFmtId="165" fontId="37" fillId="0" borderId="49" xfId="2" applyNumberFormat="1" applyFont="1" applyFill="1" applyBorder="1"/>
    <xf numFmtId="165" fontId="17" fillId="0" borderId="2" xfId="0" applyNumberFormat="1" applyFont="1" applyFill="1" applyBorder="1"/>
    <xf numFmtId="9" fontId="17" fillId="0" borderId="2" xfId="1" applyFont="1" applyFill="1" applyBorder="1" applyAlignment="1">
      <alignment vertical="center"/>
    </xf>
    <xf numFmtId="165" fontId="2" fillId="0" borderId="38" xfId="2" applyNumberFormat="1" applyFont="1" applyFill="1" applyBorder="1"/>
    <xf numFmtId="165" fontId="0" fillId="0" borderId="0" xfId="2" applyNumberFormat="1" applyFont="1" applyFill="1"/>
    <xf numFmtId="165" fontId="2" fillId="0" borderId="33" xfId="2" applyNumberFormat="1" applyFont="1" applyFill="1" applyBorder="1"/>
    <xf numFmtId="0" fontId="19" fillId="0" borderId="27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9" fontId="19" fillId="0" borderId="28" xfId="1" applyFont="1" applyFill="1" applyBorder="1"/>
    <xf numFmtId="165" fontId="3" fillId="0" borderId="34" xfId="0" applyNumberFormat="1" applyFont="1" applyFill="1" applyBorder="1"/>
    <xf numFmtId="165" fontId="3" fillId="0" borderId="20" xfId="0" applyNumberFormat="1" applyFont="1" applyFill="1" applyBorder="1"/>
    <xf numFmtId="165" fontId="3" fillId="0" borderId="31" xfId="2" applyNumberFormat="1" applyFont="1" applyFill="1" applyBorder="1"/>
    <xf numFmtId="1" fontId="10" fillId="21" borderId="27" xfId="0" applyNumberFormat="1" applyFont="1" applyFill="1" applyBorder="1" applyAlignment="1">
      <alignment horizontal="left"/>
    </xf>
    <xf numFmtId="0" fontId="17" fillId="21" borderId="30" xfId="0" applyFont="1" applyFill="1" applyBorder="1"/>
    <xf numFmtId="165" fontId="10" fillId="21" borderId="29" xfId="0" applyNumberFormat="1" applyFont="1" applyFill="1" applyBorder="1"/>
    <xf numFmtId="165" fontId="10" fillId="21" borderId="13" xfId="0" applyNumberFormat="1" applyFont="1" applyFill="1" applyBorder="1"/>
    <xf numFmtId="9" fontId="10" fillId="21" borderId="13" xfId="1" applyFont="1" applyFill="1" applyBorder="1"/>
    <xf numFmtId="165" fontId="10" fillId="21" borderId="20" xfId="0" applyNumberFormat="1" applyFont="1" applyFill="1" applyBorder="1"/>
    <xf numFmtId="165" fontId="10" fillId="21" borderId="31" xfId="0" applyNumberFormat="1" applyFont="1" applyFill="1" applyBorder="1"/>
    <xf numFmtId="165" fontId="10" fillId="21" borderId="21" xfId="0" applyNumberFormat="1" applyFont="1" applyFill="1" applyBorder="1"/>
    <xf numFmtId="165" fontId="19" fillId="20" borderId="13" xfId="0" applyNumberFormat="1" applyFont="1" applyFill="1" applyBorder="1"/>
    <xf numFmtId="165" fontId="17" fillId="0" borderId="20" xfId="2" applyNumberFormat="1" applyFont="1" applyFill="1" applyBorder="1"/>
    <xf numFmtId="165" fontId="20" fillId="0" borderId="7" xfId="0" applyNumberFormat="1" applyFont="1" applyFill="1" applyBorder="1"/>
    <xf numFmtId="165" fontId="20" fillId="0" borderId="1" xfId="0" applyNumberFormat="1" applyFont="1" applyFill="1" applyBorder="1"/>
    <xf numFmtId="165" fontId="20" fillId="0" borderId="6" xfId="0" applyNumberFormat="1" applyFont="1" applyFill="1" applyBorder="1"/>
    <xf numFmtId="165" fontId="17" fillId="0" borderId="44" xfId="0" applyNumberFormat="1" applyFont="1" applyFill="1" applyBorder="1"/>
    <xf numFmtId="165" fontId="17" fillId="0" borderId="26" xfId="0" applyNumberFormat="1" applyFont="1" applyFill="1" applyBorder="1" applyAlignment="1">
      <alignment horizontal="center"/>
    </xf>
    <xf numFmtId="9" fontId="20" fillId="0" borderId="7" xfId="1" applyNumberFormat="1" applyFont="1" applyFill="1" applyBorder="1"/>
    <xf numFmtId="165" fontId="17" fillId="0" borderId="45" xfId="0" applyNumberFormat="1" applyFont="1" applyFill="1" applyBorder="1"/>
    <xf numFmtId="165" fontId="17" fillId="0" borderId="0" xfId="0" applyNumberFormat="1" applyFont="1" applyFill="1" applyBorder="1" applyAlignment="1">
      <alignment horizontal="center"/>
    </xf>
    <xf numFmtId="165" fontId="17" fillId="0" borderId="26" xfId="0" applyNumberFormat="1" applyFont="1" applyFill="1" applyBorder="1"/>
    <xf numFmtId="165" fontId="17" fillId="0" borderId="0" xfId="0" applyNumberFormat="1" applyFont="1" applyFill="1" applyBorder="1"/>
    <xf numFmtId="165" fontId="17" fillId="0" borderId="46" xfId="0" applyNumberFormat="1" applyFont="1" applyFill="1" applyBorder="1"/>
    <xf numFmtId="165" fontId="17" fillId="0" borderId="40" xfId="0" applyNumberFormat="1" applyFont="1" applyFill="1" applyBorder="1"/>
    <xf numFmtId="1" fontId="10" fillId="0" borderId="0" xfId="0" applyNumberFormat="1" applyFont="1" applyFill="1" applyBorder="1" applyAlignment="1">
      <alignment horizontal="left"/>
    </xf>
    <xf numFmtId="0" fontId="17" fillId="0" borderId="0" xfId="0" applyFont="1" applyFill="1" applyBorder="1"/>
    <xf numFmtId="165" fontId="10" fillId="0" borderId="0" xfId="0" applyNumberFormat="1" applyFont="1" applyFill="1" applyBorder="1"/>
    <xf numFmtId="165" fontId="10" fillId="0" borderId="0" xfId="0" applyNumberFormat="1" applyFont="1" applyFill="1" applyBorder="1" applyAlignment="1">
      <alignment vertical="center"/>
    </xf>
    <xf numFmtId="165" fontId="8" fillId="21" borderId="34" xfId="0" applyNumberFormat="1" applyFont="1" applyFill="1" applyBorder="1"/>
    <xf numFmtId="165" fontId="8" fillId="21" borderId="20" xfId="0" applyNumberFormat="1" applyFont="1" applyFill="1" applyBorder="1"/>
    <xf numFmtId="165" fontId="0" fillId="3" borderId="20" xfId="2" applyNumberFormat="1" applyFont="1" applyFill="1" applyBorder="1"/>
    <xf numFmtId="0" fontId="36" fillId="3" borderId="36" xfId="0" applyFont="1" applyFill="1" applyBorder="1" applyAlignment="1">
      <alignment horizontal="center" vertical="center" wrapText="1"/>
    </xf>
    <xf numFmtId="0" fontId="36" fillId="3" borderId="25" xfId="0" applyFont="1" applyFill="1" applyBorder="1" applyAlignment="1">
      <alignment horizontal="center" vertical="center" wrapText="1"/>
    </xf>
    <xf numFmtId="165" fontId="8" fillId="3" borderId="28" xfId="0" applyNumberFormat="1" applyFont="1" applyFill="1" applyBorder="1"/>
    <xf numFmtId="165" fontId="8" fillId="3" borderId="48" xfId="0" applyNumberFormat="1" applyFont="1" applyFill="1" applyBorder="1"/>
    <xf numFmtId="165" fontId="8" fillId="3" borderId="25" xfId="0" applyNumberFormat="1" applyFont="1" applyFill="1" applyBorder="1"/>
    <xf numFmtId="165" fontId="8" fillId="3" borderId="49" xfId="2" applyNumberFormat="1" applyFont="1" applyFill="1" applyBorder="1"/>
    <xf numFmtId="165" fontId="17" fillId="11" borderId="0" xfId="5" applyNumberFormat="1" applyFont="1" applyFill="1" applyAlignment="1">
      <alignment vertical="center"/>
    </xf>
    <xf numFmtId="165" fontId="19" fillId="14" borderId="0" xfId="5" applyNumberFormat="1" applyFont="1" applyFill="1" applyBorder="1" applyAlignment="1">
      <alignment vertical="center"/>
    </xf>
    <xf numFmtId="165" fontId="19" fillId="15" borderId="0" xfId="5" applyNumberFormat="1" applyFont="1" applyFill="1" applyAlignment="1">
      <alignment vertical="center"/>
    </xf>
    <xf numFmtId="165" fontId="19" fillId="23" borderId="28" xfId="0" applyNumberFormat="1" applyFont="1" applyFill="1" applyBorder="1" applyAlignment="1">
      <alignment vertical="center"/>
    </xf>
    <xf numFmtId="165" fontId="10" fillId="3" borderId="28" xfId="0" applyNumberFormat="1" applyFont="1" applyFill="1" applyBorder="1"/>
    <xf numFmtId="165" fontId="10" fillId="3" borderId="30" xfId="0" applyNumberFormat="1" applyFont="1" applyFill="1" applyBorder="1"/>
    <xf numFmtId="165" fontId="10" fillId="3" borderId="13" xfId="0" applyNumberFormat="1" applyFont="1" applyFill="1" applyBorder="1"/>
    <xf numFmtId="165" fontId="10" fillId="3" borderId="21" xfId="0" applyNumberFormat="1" applyFont="1" applyFill="1" applyBorder="1"/>
    <xf numFmtId="165" fontId="10" fillId="3" borderId="31" xfId="0" applyNumberFormat="1" applyFont="1" applyFill="1" applyBorder="1"/>
    <xf numFmtId="0" fontId="22" fillId="3" borderId="35" xfId="0" applyFont="1" applyFill="1" applyBorder="1"/>
    <xf numFmtId="0" fontId="17" fillId="3" borderId="26" xfId="0" applyFont="1" applyFill="1" applyBorder="1"/>
    <xf numFmtId="0" fontId="17" fillId="3" borderId="50" xfId="0" applyFont="1" applyFill="1" applyBorder="1"/>
    <xf numFmtId="0" fontId="22" fillId="3" borderId="3" xfId="0" applyFont="1" applyFill="1" applyBorder="1" applyAlignment="1"/>
    <xf numFmtId="0" fontId="22" fillId="3" borderId="0" xfId="0" applyFont="1" applyFill="1" applyBorder="1" applyAlignment="1"/>
    <xf numFmtId="0" fontId="19" fillId="3" borderId="3" xfId="0" applyFont="1" applyFill="1" applyBorder="1"/>
    <xf numFmtId="0" fontId="17" fillId="3" borderId="0" xfId="0" applyFont="1" applyFill="1" applyBorder="1"/>
    <xf numFmtId="165" fontId="17" fillId="3" borderId="0" xfId="0" applyNumberFormat="1" applyFont="1" applyFill="1" applyBorder="1"/>
    <xf numFmtId="165" fontId="17" fillId="3" borderId="51" xfId="0" applyNumberFormat="1" applyFont="1" applyFill="1" applyBorder="1"/>
    <xf numFmtId="165" fontId="24" fillId="3" borderId="0" xfId="0" applyNumberFormat="1" applyFont="1" applyFill="1" applyBorder="1"/>
    <xf numFmtId="165" fontId="24" fillId="3" borderId="51" xfId="0" applyNumberFormat="1" applyFont="1" applyFill="1" applyBorder="1"/>
    <xf numFmtId="0" fontId="19" fillId="3" borderId="0" xfId="0" applyFont="1" applyFill="1" applyBorder="1"/>
    <xf numFmtId="165" fontId="19" fillId="3" borderId="52" xfId="0" applyNumberFormat="1" applyFont="1" applyFill="1" applyBorder="1"/>
    <xf numFmtId="165" fontId="19" fillId="3" borderId="53" xfId="0" applyNumberFormat="1" applyFont="1" applyFill="1" applyBorder="1"/>
    <xf numFmtId="0" fontId="19" fillId="3" borderId="36" xfId="0" applyFont="1" applyFill="1" applyBorder="1"/>
    <xf numFmtId="0" fontId="19" fillId="3" borderId="25" xfId="0" applyFont="1" applyFill="1" applyBorder="1"/>
    <xf numFmtId="165" fontId="19" fillId="3" borderId="25" xfId="0" applyNumberFormat="1" applyFont="1" applyFill="1" applyBorder="1"/>
    <xf numFmtId="165" fontId="19" fillId="3" borderId="49" xfId="0" applyNumberFormat="1" applyFont="1" applyFill="1" applyBorder="1"/>
    <xf numFmtId="165" fontId="19" fillId="23" borderId="13" xfId="0" applyNumberFormat="1" applyFont="1" applyFill="1" applyBorder="1"/>
    <xf numFmtId="165" fontId="10" fillId="5" borderId="28" xfId="0" applyNumberFormat="1" applyFont="1" applyFill="1" applyBorder="1"/>
    <xf numFmtId="165" fontId="10" fillId="5" borderId="30" xfId="0" applyNumberFormat="1" applyFont="1" applyFill="1" applyBorder="1"/>
    <xf numFmtId="165" fontId="10" fillId="5" borderId="13" xfId="0" applyNumberFormat="1" applyFont="1" applyFill="1" applyBorder="1"/>
    <xf numFmtId="9" fontId="10" fillId="5" borderId="13" xfId="1" applyFont="1" applyFill="1" applyBorder="1"/>
    <xf numFmtId="165" fontId="10" fillId="5" borderId="21" xfId="0" applyNumberFormat="1" applyFont="1" applyFill="1" applyBorder="1"/>
    <xf numFmtId="165" fontId="19" fillId="0" borderId="14" xfId="2" applyNumberFormat="1" applyFont="1" applyFill="1" applyBorder="1" applyAlignment="1">
      <alignment vertical="center"/>
    </xf>
    <xf numFmtId="165" fontId="10" fillId="5" borderId="31" xfId="0" applyNumberFormat="1" applyFont="1" applyFill="1" applyBorder="1"/>
    <xf numFmtId="0" fontId="22" fillId="5" borderId="35" xfId="0" applyFont="1" applyFill="1" applyBorder="1"/>
    <xf numFmtId="0" fontId="17" fillId="5" borderId="26" xfId="0" applyFont="1" applyFill="1" applyBorder="1"/>
    <xf numFmtId="0" fontId="17" fillId="5" borderId="50" xfId="0" applyFont="1" applyFill="1" applyBorder="1"/>
    <xf numFmtId="0" fontId="22" fillId="5" borderId="3" xfId="0" applyFont="1" applyFill="1" applyBorder="1" applyAlignment="1"/>
    <xf numFmtId="0" fontId="22" fillId="5" borderId="0" xfId="0" applyFont="1" applyFill="1" applyBorder="1" applyAlignment="1"/>
    <xf numFmtId="0" fontId="22" fillId="5" borderId="0" xfId="0" applyFont="1" applyFill="1" applyBorder="1" applyAlignment="1">
      <alignment horizontal="right"/>
    </xf>
    <xf numFmtId="0" fontId="22" fillId="5" borderId="0" xfId="0" applyFont="1" applyFill="1" applyBorder="1" applyAlignment="1">
      <alignment horizontal="right" vertical="center"/>
    </xf>
    <xf numFmtId="0" fontId="22" fillId="5" borderId="51" xfId="0" applyFont="1" applyFill="1" applyBorder="1" applyAlignment="1">
      <alignment horizontal="right"/>
    </xf>
    <xf numFmtId="0" fontId="19" fillId="5" borderId="3" xfId="0" applyFont="1" applyFill="1" applyBorder="1"/>
    <xf numFmtId="0" fontId="17" fillId="5" borderId="0" xfId="0" applyFont="1" applyFill="1" applyBorder="1"/>
    <xf numFmtId="165" fontId="17" fillId="5" borderId="51" xfId="0" applyNumberFormat="1" applyFont="1" applyFill="1" applyBorder="1"/>
    <xf numFmtId="165" fontId="24" fillId="5" borderId="0" xfId="0" applyNumberFormat="1" applyFont="1" applyFill="1" applyBorder="1"/>
    <xf numFmtId="165" fontId="24" fillId="5" borderId="51" xfId="0" applyNumberFormat="1" applyFont="1" applyFill="1" applyBorder="1"/>
    <xf numFmtId="0" fontId="19" fillId="5" borderId="0" xfId="0" applyFont="1" applyFill="1" applyBorder="1"/>
    <xf numFmtId="165" fontId="19" fillId="5" borderId="52" xfId="0" applyNumberFormat="1" applyFont="1" applyFill="1" applyBorder="1"/>
    <xf numFmtId="165" fontId="19" fillId="5" borderId="53" xfId="0" applyNumberFormat="1" applyFont="1" applyFill="1" applyBorder="1"/>
    <xf numFmtId="0" fontId="19" fillId="5" borderId="36" xfId="0" applyFont="1" applyFill="1" applyBorder="1"/>
    <xf numFmtId="0" fontId="19" fillId="5" borderId="25" xfId="0" applyFont="1" applyFill="1" applyBorder="1"/>
    <xf numFmtId="165" fontId="19" fillId="5" borderId="25" xfId="0" applyNumberFormat="1" applyFont="1" applyFill="1" applyBorder="1"/>
    <xf numFmtId="165" fontId="19" fillId="5" borderId="49" xfId="0" applyNumberFormat="1" applyFont="1" applyFill="1" applyBorder="1"/>
    <xf numFmtId="165" fontId="17" fillId="10" borderId="7" xfId="0" applyNumberFormat="1" applyFont="1" applyFill="1" applyBorder="1"/>
    <xf numFmtId="165" fontId="17" fillId="10" borderId="1" xfId="0" applyNumberFormat="1" applyFont="1" applyFill="1" applyBorder="1"/>
    <xf numFmtId="165" fontId="19" fillId="10" borderId="13" xfId="0" applyNumberFormat="1" applyFont="1" applyFill="1" applyBorder="1" applyAlignment="1">
      <alignment vertical="center"/>
    </xf>
    <xf numFmtId="165" fontId="17" fillId="10" borderId="7" xfId="0" applyNumberFormat="1" applyFont="1" applyFill="1" applyBorder="1" applyAlignment="1">
      <alignment vertical="center"/>
    </xf>
    <xf numFmtId="165" fontId="17" fillId="10" borderId="1" xfId="0" applyNumberFormat="1" applyFont="1" applyFill="1" applyBorder="1" applyAlignment="1">
      <alignment vertical="center"/>
    </xf>
    <xf numFmtId="0" fontId="37" fillId="4" borderId="27" xfId="0" applyFont="1" applyFill="1" applyBorder="1" applyAlignment="1">
      <alignment horizontal="center" vertical="center" wrapText="1"/>
    </xf>
    <xf numFmtId="0" fontId="37" fillId="4" borderId="30" xfId="0" applyFont="1" applyFill="1" applyBorder="1" applyAlignment="1">
      <alignment horizontal="center" vertical="center" wrapText="1"/>
    </xf>
    <xf numFmtId="165" fontId="37" fillId="4" borderId="28" xfId="0" applyNumberFormat="1" applyFont="1" applyFill="1" applyBorder="1" applyAlignment="1">
      <alignment vertical="center"/>
    </xf>
    <xf numFmtId="9" fontId="37" fillId="4" borderId="28" xfId="1" applyFont="1" applyFill="1" applyBorder="1"/>
    <xf numFmtId="165" fontId="37" fillId="4" borderId="34" xfId="0" applyNumberFormat="1" applyFont="1" applyFill="1" applyBorder="1" applyAlignment="1">
      <alignment vertical="center"/>
    </xf>
    <xf numFmtId="165" fontId="37" fillId="4" borderId="20" xfId="0" applyNumberFormat="1" applyFont="1" applyFill="1" applyBorder="1" applyAlignment="1">
      <alignment vertical="center"/>
    </xf>
    <xf numFmtId="165" fontId="37" fillId="4" borderId="31" xfId="2" applyNumberFormat="1" applyFont="1" applyFill="1" applyBorder="1" applyAlignment="1">
      <alignment vertical="center"/>
    </xf>
    <xf numFmtId="165" fontId="17" fillId="4" borderId="44" xfId="0" applyNumberFormat="1" applyFont="1" applyFill="1" applyBorder="1" applyAlignment="1">
      <alignment horizontal="center" vertical="center"/>
    </xf>
    <xf numFmtId="165" fontId="17" fillId="4" borderId="44" xfId="0" applyNumberFormat="1" applyFont="1" applyFill="1" applyBorder="1" applyAlignment="1">
      <alignment vertical="center"/>
    </xf>
    <xf numFmtId="165" fontId="17" fillId="4" borderId="50" xfId="2" applyNumberFormat="1" applyFont="1" applyFill="1" applyBorder="1" applyAlignment="1">
      <alignment vertical="center"/>
    </xf>
    <xf numFmtId="165" fontId="17" fillId="4" borderId="51" xfId="2" applyNumberFormat="1" applyFont="1" applyFill="1" applyBorder="1" applyAlignment="1">
      <alignment vertical="center"/>
    </xf>
    <xf numFmtId="165" fontId="37" fillId="4" borderId="14" xfId="2" applyNumberFormat="1" applyFont="1" applyFill="1" applyBorder="1" applyAlignment="1">
      <alignment vertical="center"/>
    </xf>
    <xf numFmtId="165" fontId="37" fillId="4" borderId="30" xfId="0" applyNumberFormat="1" applyFont="1" applyFill="1" applyBorder="1" applyAlignment="1">
      <alignment vertical="center"/>
    </xf>
    <xf numFmtId="165" fontId="37" fillId="4" borderId="13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10" fillId="0" borderId="50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" fontId="17" fillId="0" borderId="26" xfId="0" applyNumberFormat="1" applyFont="1" applyFill="1" applyBorder="1" applyAlignment="1">
      <alignment horizontal="center" vertical="center"/>
    </xf>
    <xf numFmtId="165" fontId="17" fillId="0" borderId="47" xfId="0" applyNumberFormat="1" applyFont="1" applyFill="1" applyBorder="1" applyAlignment="1">
      <alignment horizontal="center" vertical="center"/>
    </xf>
    <xf numFmtId="165" fontId="17" fillId="0" borderId="26" xfId="0" applyNumberFormat="1" applyFont="1" applyFill="1" applyBorder="1" applyAlignment="1">
      <alignment horizontal="center" vertical="center"/>
    </xf>
    <xf numFmtId="165" fontId="17" fillId="0" borderId="7" xfId="0" applyNumberFormat="1" applyFont="1" applyFill="1" applyBorder="1" applyAlignment="1">
      <alignment vertical="center"/>
    </xf>
    <xf numFmtId="9" fontId="20" fillId="0" borderId="57" xfId="1" applyFont="1" applyFill="1" applyBorder="1"/>
    <xf numFmtId="165" fontId="17" fillId="0" borderId="8" xfId="2" applyNumberFormat="1" applyFont="1" applyFill="1" applyBorder="1" applyAlignment="1">
      <alignment vertical="center"/>
    </xf>
    <xf numFmtId="165" fontId="17" fillId="0" borderId="22" xfId="0" applyNumberFormat="1" applyFont="1" applyFill="1" applyBorder="1" applyAlignment="1">
      <alignment vertical="center"/>
    </xf>
    <xf numFmtId="165" fontId="17" fillId="0" borderId="26" xfId="2" applyNumberFormat="1" applyFont="1" applyFill="1" applyBorder="1" applyAlignment="1">
      <alignment vertical="center"/>
    </xf>
    <xf numFmtId="1" fontId="17" fillId="0" borderId="0" xfId="0" applyNumberFormat="1" applyFont="1" applyFill="1" applyBorder="1" applyAlignment="1">
      <alignment horizontal="center" vertical="center"/>
    </xf>
    <xf numFmtId="165" fontId="17" fillId="0" borderId="45" xfId="0" applyNumberFormat="1" applyFont="1" applyFill="1" applyBorder="1" applyAlignment="1">
      <alignment horizontal="center" vertical="center"/>
    </xf>
    <xf numFmtId="165" fontId="17" fillId="0" borderId="0" xfId="0" applyNumberFormat="1" applyFont="1" applyFill="1" applyBorder="1" applyAlignment="1">
      <alignment horizontal="center" vertical="center"/>
    </xf>
    <xf numFmtId="9" fontId="20" fillId="0" borderId="0" xfId="1" applyFont="1" applyFill="1" applyBorder="1"/>
    <xf numFmtId="165" fontId="17" fillId="0" borderId="9" xfId="2" applyNumberFormat="1" applyFont="1" applyFill="1" applyBorder="1" applyAlignment="1">
      <alignment vertical="center"/>
    </xf>
    <xf numFmtId="165" fontId="17" fillId="0" borderId="23" xfId="0" applyNumberFormat="1" applyFont="1" applyFill="1" applyBorder="1" applyAlignment="1">
      <alignment vertical="center"/>
    </xf>
    <xf numFmtId="165" fontId="17" fillId="0" borderId="0" xfId="2" applyNumberFormat="1" applyFont="1" applyFill="1" applyBorder="1" applyAlignment="1">
      <alignment vertical="center"/>
    </xf>
    <xf numFmtId="165" fontId="17" fillId="0" borderId="48" xfId="0" applyNumberFormat="1" applyFont="1" applyFill="1" applyBorder="1" applyAlignment="1">
      <alignment horizontal="center" vertical="center"/>
    </xf>
    <xf numFmtId="9" fontId="20" fillId="0" borderId="40" xfId="1" applyNumberFormat="1" applyFont="1" applyFill="1" applyBorder="1"/>
    <xf numFmtId="165" fontId="19" fillId="0" borderId="45" xfId="0" applyNumberFormat="1" applyFont="1" applyFill="1" applyBorder="1" applyAlignment="1">
      <alignment vertical="center"/>
    </xf>
    <xf numFmtId="165" fontId="19" fillId="0" borderId="26" xfId="0" applyNumberFormat="1" applyFont="1" applyFill="1" applyBorder="1" applyAlignment="1">
      <alignment vertical="center"/>
    </xf>
    <xf numFmtId="165" fontId="19" fillId="0" borderId="7" xfId="0" applyNumberFormat="1" applyFont="1" applyFill="1" applyBorder="1" applyAlignment="1">
      <alignment vertical="center"/>
    </xf>
    <xf numFmtId="165" fontId="19" fillId="0" borderId="20" xfId="0" applyNumberFormat="1" applyFont="1" applyFill="1" applyBorder="1" applyAlignment="1">
      <alignment vertical="center"/>
    </xf>
    <xf numFmtId="165" fontId="19" fillId="0" borderId="20" xfId="2" applyNumberFormat="1" applyFont="1" applyFill="1" applyBorder="1" applyAlignment="1">
      <alignment vertical="center"/>
    </xf>
    <xf numFmtId="165" fontId="19" fillId="0" borderId="31" xfId="2" applyNumberFormat="1" applyFont="1" applyFill="1" applyBorder="1" applyAlignment="1">
      <alignment vertical="center"/>
    </xf>
    <xf numFmtId="1" fontId="17" fillId="0" borderId="56" xfId="0" applyNumberFormat="1" applyFont="1" applyFill="1" applyBorder="1" applyAlignment="1">
      <alignment horizontal="center" vertical="center"/>
    </xf>
    <xf numFmtId="165" fontId="17" fillId="0" borderId="47" xfId="0" applyNumberFormat="1" applyFont="1" applyFill="1" applyBorder="1" applyAlignment="1">
      <alignment vertical="center"/>
    </xf>
    <xf numFmtId="1" fontId="17" fillId="0" borderId="58" xfId="0" applyNumberFormat="1" applyFont="1" applyFill="1" applyBorder="1" applyAlignment="1">
      <alignment horizontal="center" vertical="center"/>
    </xf>
    <xf numFmtId="1" fontId="17" fillId="0" borderId="37" xfId="0" applyNumberFormat="1" applyFont="1" applyFill="1" applyBorder="1" applyAlignment="1">
      <alignment horizontal="center" vertical="center"/>
    </xf>
    <xf numFmtId="165" fontId="17" fillId="0" borderId="10" xfId="2" applyNumberFormat="1" applyFont="1" applyFill="1" applyBorder="1" applyAlignment="1">
      <alignment vertical="center"/>
    </xf>
    <xf numFmtId="165" fontId="17" fillId="0" borderId="32" xfId="0" applyNumberFormat="1" applyFont="1" applyFill="1" applyBorder="1" applyAlignment="1">
      <alignment vertical="center"/>
    </xf>
    <xf numFmtId="165" fontId="17" fillId="0" borderId="0" xfId="0" applyNumberFormat="1" applyFont="1" applyFill="1" applyBorder="1" applyAlignment="1">
      <alignment vertical="center"/>
    </xf>
    <xf numFmtId="165" fontId="20" fillId="0" borderId="46" xfId="0" applyNumberFormat="1" applyFont="1" applyFill="1" applyBorder="1" applyAlignment="1">
      <alignment vertical="center"/>
    </xf>
    <xf numFmtId="165" fontId="19" fillId="0" borderId="48" xfId="0" applyNumberFormat="1" applyFont="1" applyFill="1" applyBorder="1" applyAlignment="1">
      <alignment vertical="center"/>
    </xf>
    <xf numFmtId="0" fontId="21" fillId="0" borderId="27" xfId="0" applyFont="1" applyFill="1" applyBorder="1" applyAlignment="1">
      <alignment horizontal="center" vertical="center" wrapText="1"/>
    </xf>
    <xf numFmtId="0" fontId="21" fillId="0" borderId="30" xfId="0" applyFont="1" applyFill="1" applyBorder="1" applyAlignment="1">
      <alignment horizontal="center" vertical="center" wrapText="1"/>
    </xf>
    <xf numFmtId="9" fontId="21" fillId="0" borderId="28" xfId="1" applyFont="1" applyFill="1" applyBorder="1"/>
    <xf numFmtId="165" fontId="21" fillId="0" borderId="31" xfId="2" applyNumberFormat="1" applyFont="1" applyFill="1" applyBorder="1" applyAlignment="1">
      <alignment vertical="center"/>
    </xf>
    <xf numFmtId="165" fontId="17" fillId="0" borderId="60" xfId="0" applyNumberFormat="1" applyFont="1" applyFill="1" applyBorder="1" applyAlignment="1">
      <alignment vertical="center"/>
    </xf>
    <xf numFmtId="165" fontId="17" fillId="0" borderId="50" xfId="2" applyNumberFormat="1" applyFont="1" applyFill="1" applyBorder="1" applyAlignment="1">
      <alignment vertical="center"/>
    </xf>
    <xf numFmtId="165" fontId="17" fillId="0" borderId="61" xfId="0" applyNumberFormat="1" applyFont="1" applyFill="1" applyBorder="1" applyAlignment="1">
      <alignment vertical="center"/>
    </xf>
    <xf numFmtId="165" fontId="17" fillId="0" borderId="51" xfId="2" applyNumberFormat="1" applyFont="1" applyFill="1" applyBorder="1" applyAlignment="1">
      <alignment vertical="center"/>
    </xf>
    <xf numFmtId="165" fontId="17" fillId="0" borderId="62" xfId="0" applyNumberFormat="1" applyFont="1" applyFill="1" applyBorder="1" applyAlignment="1">
      <alignment vertical="center"/>
    </xf>
    <xf numFmtId="165" fontId="19" fillId="0" borderId="30" xfId="0" applyNumberFormat="1" applyFont="1" applyFill="1" applyBorder="1" applyAlignment="1">
      <alignment vertical="center"/>
    </xf>
    <xf numFmtId="165" fontId="19" fillId="0" borderId="27" xfId="0" applyNumberFormat="1" applyFont="1" applyFill="1" applyBorder="1" applyAlignment="1">
      <alignment vertical="center"/>
    </xf>
    <xf numFmtId="165" fontId="17" fillId="0" borderId="20" xfId="2" applyNumberFormat="1" applyFont="1" applyFill="1" applyBorder="1" applyAlignment="1">
      <alignment vertical="center"/>
    </xf>
    <xf numFmtId="165" fontId="17" fillId="0" borderId="26" xfId="0" applyNumberFormat="1" applyFont="1" applyFill="1" applyBorder="1" applyAlignment="1">
      <alignment vertical="center"/>
    </xf>
    <xf numFmtId="165" fontId="17" fillId="0" borderId="40" xfId="0" applyNumberFormat="1" applyFont="1" applyFill="1" applyBorder="1" applyAlignment="1">
      <alignment vertical="center"/>
    </xf>
    <xf numFmtId="165" fontId="17" fillId="0" borderId="6" xfId="0" applyNumberFormat="1" applyFont="1" applyFill="1" applyBorder="1" applyAlignment="1">
      <alignment vertical="center"/>
    </xf>
    <xf numFmtId="165" fontId="20" fillId="0" borderId="0" xfId="0" applyNumberFormat="1" applyFont="1" applyFill="1" applyBorder="1" applyAlignment="1">
      <alignment vertical="center"/>
    </xf>
    <xf numFmtId="165" fontId="19" fillId="0" borderId="34" xfId="0" applyNumberFormat="1" applyFont="1" applyFill="1" applyBorder="1" applyAlignment="1">
      <alignment vertical="center"/>
    </xf>
    <xf numFmtId="165" fontId="21" fillId="0" borderId="48" xfId="0" applyNumberFormat="1" applyFont="1" applyFill="1" applyBorder="1" applyAlignment="1">
      <alignment vertical="center"/>
    </xf>
    <xf numFmtId="165" fontId="21" fillId="0" borderId="49" xfId="2" applyNumberFormat="1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 textRotation="90"/>
    </xf>
    <xf numFmtId="1" fontId="10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vertical="center"/>
    </xf>
    <xf numFmtId="165" fontId="20" fillId="0" borderId="26" xfId="0" applyNumberFormat="1" applyFont="1" applyFill="1" applyBorder="1" applyAlignment="1">
      <alignment horizontal="center" vertical="center"/>
    </xf>
    <xf numFmtId="165" fontId="20" fillId="0" borderId="0" xfId="0" applyNumberFormat="1" applyFont="1" applyFill="1" applyBorder="1" applyAlignment="1">
      <alignment horizontal="center" vertical="center"/>
    </xf>
    <xf numFmtId="165" fontId="37" fillId="0" borderId="48" xfId="0" applyNumberFormat="1" applyFont="1" applyFill="1" applyBorder="1" applyAlignment="1">
      <alignment vertical="center"/>
    </xf>
    <xf numFmtId="165" fontId="37" fillId="0" borderId="49" xfId="2" applyNumberFormat="1" applyFont="1" applyFill="1" applyBorder="1" applyAlignment="1">
      <alignment vertical="center"/>
    </xf>
    <xf numFmtId="165" fontId="10" fillId="24" borderId="28" xfId="0" applyNumberFormat="1" applyFont="1" applyFill="1" applyBorder="1" applyAlignment="1">
      <alignment vertical="center"/>
    </xf>
    <xf numFmtId="165" fontId="10" fillId="24" borderId="30" xfId="0" applyNumberFormat="1" applyFont="1" applyFill="1" applyBorder="1" applyAlignment="1">
      <alignment vertical="center"/>
    </xf>
    <xf numFmtId="165" fontId="10" fillId="24" borderId="13" xfId="0" applyNumberFormat="1" applyFont="1" applyFill="1" applyBorder="1" applyAlignment="1">
      <alignment vertical="center"/>
    </xf>
    <xf numFmtId="9" fontId="10" fillId="24" borderId="13" xfId="1" applyFont="1" applyFill="1" applyBorder="1"/>
    <xf numFmtId="165" fontId="10" fillId="24" borderId="21" xfId="0" applyNumberFormat="1" applyFont="1" applyFill="1" applyBorder="1" applyAlignment="1">
      <alignment vertical="center"/>
    </xf>
    <xf numFmtId="165" fontId="10" fillId="24" borderId="31" xfId="0" applyNumberFormat="1" applyFont="1" applyFill="1" applyBorder="1" applyAlignment="1">
      <alignment vertical="center"/>
    </xf>
    <xf numFmtId="0" fontId="22" fillId="24" borderId="35" xfId="0" applyFont="1" applyFill="1" applyBorder="1" applyAlignment="1">
      <alignment vertical="center"/>
    </xf>
    <xf numFmtId="0" fontId="17" fillId="24" borderId="26" xfId="0" applyFont="1" applyFill="1" applyBorder="1" applyAlignment="1">
      <alignment vertical="center"/>
    </xf>
    <xf numFmtId="0" fontId="17" fillId="24" borderId="50" xfId="0" applyFont="1" applyFill="1" applyBorder="1" applyAlignment="1">
      <alignment vertical="center"/>
    </xf>
    <xf numFmtId="0" fontId="22" fillId="24" borderId="3" xfId="0" applyFont="1" applyFill="1" applyBorder="1" applyAlignment="1">
      <alignment vertical="center"/>
    </xf>
    <xf numFmtId="0" fontId="22" fillId="24" borderId="0" xfId="0" applyFont="1" applyFill="1" applyBorder="1" applyAlignment="1">
      <alignment vertical="center"/>
    </xf>
    <xf numFmtId="0" fontId="22" fillId="24" borderId="0" xfId="0" applyFont="1" applyFill="1" applyBorder="1" applyAlignment="1">
      <alignment horizontal="right" vertical="center"/>
    </xf>
    <xf numFmtId="0" fontId="22" fillId="24" borderId="51" xfId="0" applyFont="1" applyFill="1" applyBorder="1" applyAlignment="1">
      <alignment horizontal="right" vertical="center"/>
    </xf>
    <xf numFmtId="0" fontId="19" fillId="24" borderId="3" xfId="0" applyFont="1" applyFill="1" applyBorder="1" applyAlignment="1">
      <alignment vertical="center"/>
    </xf>
    <xf numFmtId="0" fontId="17" fillId="24" borderId="0" xfId="0" applyFont="1" applyFill="1" applyBorder="1" applyAlignment="1">
      <alignment vertical="center"/>
    </xf>
    <xf numFmtId="165" fontId="17" fillId="24" borderId="0" xfId="0" applyNumberFormat="1" applyFont="1" applyFill="1" applyBorder="1" applyAlignment="1">
      <alignment vertical="center"/>
    </xf>
    <xf numFmtId="165" fontId="17" fillId="24" borderId="0" xfId="0" applyNumberFormat="1" applyFont="1" applyFill="1" applyBorder="1"/>
    <xf numFmtId="165" fontId="17" fillId="24" borderId="51" xfId="0" applyNumberFormat="1" applyFont="1" applyFill="1" applyBorder="1" applyAlignment="1">
      <alignment vertical="center"/>
    </xf>
    <xf numFmtId="165" fontId="24" fillId="24" borderId="0" xfId="0" applyNumberFormat="1" applyFont="1" applyFill="1" applyBorder="1" applyAlignment="1">
      <alignment vertical="center"/>
    </xf>
    <xf numFmtId="165" fontId="24" fillId="24" borderId="0" xfId="0" applyNumberFormat="1" applyFont="1" applyFill="1" applyBorder="1"/>
    <xf numFmtId="165" fontId="24" fillId="24" borderId="51" xfId="0" applyNumberFormat="1" applyFont="1" applyFill="1" applyBorder="1" applyAlignment="1">
      <alignment vertical="center"/>
    </xf>
    <xf numFmtId="0" fontId="19" fillId="24" borderId="0" xfId="0" applyFont="1" applyFill="1" applyBorder="1" applyAlignment="1">
      <alignment vertical="center"/>
    </xf>
    <xf numFmtId="165" fontId="19" fillId="24" borderId="52" xfId="0" applyNumberFormat="1" applyFont="1" applyFill="1" applyBorder="1" applyAlignment="1">
      <alignment vertical="center"/>
    </xf>
    <xf numFmtId="165" fontId="19" fillId="24" borderId="52" xfId="0" applyNumberFormat="1" applyFont="1" applyFill="1" applyBorder="1"/>
    <xf numFmtId="165" fontId="19" fillId="24" borderId="53" xfId="0" applyNumberFormat="1" applyFont="1" applyFill="1" applyBorder="1" applyAlignment="1">
      <alignment vertical="center"/>
    </xf>
    <xf numFmtId="0" fontId="19" fillId="24" borderId="36" xfId="0" applyFont="1" applyFill="1" applyBorder="1" applyAlignment="1">
      <alignment vertical="center"/>
    </xf>
    <xf numFmtId="0" fontId="19" fillId="24" borderId="25" xfId="0" applyFont="1" applyFill="1" applyBorder="1" applyAlignment="1">
      <alignment vertical="center"/>
    </xf>
    <xf numFmtId="165" fontId="19" fillId="24" borderId="25" xfId="0" applyNumberFormat="1" applyFont="1" applyFill="1" applyBorder="1" applyAlignment="1">
      <alignment vertical="center"/>
    </xf>
    <xf numFmtId="165" fontId="19" fillId="24" borderId="25" xfId="0" applyNumberFormat="1" applyFont="1" applyFill="1" applyBorder="1"/>
    <xf numFmtId="165" fontId="19" fillId="24" borderId="49" xfId="0" applyNumberFormat="1" applyFont="1" applyFill="1" applyBorder="1" applyAlignment="1">
      <alignment vertical="center"/>
    </xf>
    <xf numFmtId="165" fontId="19" fillId="24" borderId="28" xfId="0" applyNumberFormat="1" applyFont="1" applyFill="1" applyBorder="1" applyAlignment="1">
      <alignment vertical="center"/>
    </xf>
    <xf numFmtId="0" fontId="22" fillId="5" borderId="35" xfId="0" applyFont="1" applyFill="1" applyBorder="1" applyAlignment="1">
      <alignment vertical="center"/>
    </xf>
    <xf numFmtId="0" fontId="17" fillId="5" borderId="26" xfId="0" applyFont="1" applyFill="1" applyBorder="1" applyAlignment="1">
      <alignment vertical="center"/>
    </xf>
    <xf numFmtId="0" fontId="17" fillId="5" borderId="50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/>
    </xf>
    <xf numFmtId="0" fontId="22" fillId="5" borderId="51" xfId="0" applyFont="1" applyFill="1" applyBorder="1" applyAlignment="1">
      <alignment horizontal="right" vertical="center"/>
    </xf>
    <xf numFmtId="0" fontId="19" fillId="5" borderId="3" xfId="0" applyFont="1" applyFill="1" applyBorder="1" applyAlignment="1">
      <alignment vertical="center"/>
    </xf>
    <xf numFmtId="0" fontId="17" fillId="5" borderId="0" xfId="0" applyFont="1" applyFill="1" applyBorder="1" applyAlignment="1">
      <alignment vertical="center"/>
    </xf>
    <xf numFmtId="165" fontId="17" fillId="5" borderId="51" xfId="0" applyNumberFormat="1" applyFont="1" applyFill="1" applyBorder="1" applyAlignment="1">
      <alignment vertical="center"/>
    </xf>
    <xf numFmtId="165" fontId="24" fillId="5" borderId="0" xfId="0" applyNumberFormat="1" applyFont="1" applyFill="1" applyBorder="1" applyAlignment="1">
      <alignment vertical="center"/>
    </xf>
    <xf numFmtId="165" fontId="24" fillId="5" borderId="51" xfId="0" applyNumberFormat="1" applyFont="1" applyFill="1" applyBorder="1" applyAlignment="1">
      <alignment vertical="center"/>
    </xf>
    <xf numFmtId="0" fontId="19" fillId="5" borderId="0" xfId="0" applyFont="1" applyFill="1" applyBorder="1" applyAlignment="1">
      <alignment vertical="center"/>
    </xf>
    <xf numFmtId="165" fontId="19" fillId="5" borderId="52" xfId="0" applyNumberFormat="1" applyFont="1" applyFill="1" applyBorder="1" applyAlignment="1">
      <alignment vertical="center"/>
    </xf>
    <xf numFmtId="165" fontId="19" fillId="5" borderId="53" xfId="0" applyNumberFormat="1" applyFont="1" applyFill="1" applyBorder="1" applyAlignment="1">
      <alignment vertical="center"/>
    </xf>
    <xf numFmtId="0" fontId="19" fillId="5" borderId="36" xfId="0" applyFont="1" applyFill="1" applyBorder="1" applyAlignment="1">
      <alignment vertical="center"/>
    </xf>
    <xf numFmtId="0" fontId="19" fillId="5" borderId="25" xfId="0" applyFont="1" applyFill="1" applyBorder="1" applyAlignment="1">
      <alignment vertical="center"/>
    </xf>
    <xf numFmtId="165" fontId="19" fillId="5" borderId="25" xfId="0" applyNumberFormat="1" applyFont="1" applyFill="1" applyBorder="1" applyAlignment="1">
      <alignment vertical="center"/>
    </xf>
    <xf numFmtId="165" fontId="19" fillId="5" borderId="49" xfId="0" applyNumberFormat="1" applyFont="1" applyFill="1" applyBorder="1" applyAlignment="1">
      <alignment vertical="center"/>
    </xf>
    <xf numFmtId="165" fontId="10" fillId="5" borderId="28" xfId="0" applyNumberFormat="1" applyFont="1" applyFill="1" applyBorder="1" applyAlignment="1">
      <alignment vertical="center"/>
    </xf>
    <xf numFmtId="165" fontId="10" fillId="5" borderId="30" xfId="0" applyNumberFormat="1" applyFont="1" applyFill="1" applyBorder="1" applyAlignment="1">
      <alignment vertical="center"/>
    </xf>
    <xf numFmtId="165" fontId="10" fillId="5" borderId="13" xfId="0" applyNumberFormat="1" applyFont="1" applyFill="1" applyBorder="1" applyAlignment="1">
      <alignment vertical="center"/>
    </xf>
    <xf numFmtId="165" fontId="10" fillId="5" borderId="21" xfId="0" applyNumberFormat="1" applyFont="1" applyFill="1" applyBorder="1" applyAlignment="1">
      <alignment vertical="center"/>
    </xf>
    <xf numFmtId="165" fontId="10" fillId="5" borderId="31" xfId="0" applyNumberFormat="1" applyFont="1" applyFill="1" applyBorder="1" applyAlignment="1">
      <alignment vertical="center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165" fontId="17" fillId="0" borderId="47" xfId="0" applyNumberFormat="1" applyFont="1" applyFill="1" applyBorder="1" applyAlignment="1">
      <alignment horizontal="center"/>
    </xf>
    <xf numFmtId="165" fontId="17" fillId="0" borderId="45" xfId="0" applyNumberFormat="1" applyFont="1" applyFill="1" applyBorder="1" applyAlignment="1">
      <alignment horizontal="center"/>
    </xf>
    <xf numFmtId="165" fontId="17" fillId="0" borderId="48" xfId="0" applyNumberFormat="1" applyFont="1" applyFill="1" applyBorder="1" applyAlignment="1">
      <alignment horizontal="center"/>
    </xf>
    <xf numFmtId="165" fontId="19" fillId="0" borderId="45" xfId="0" applyNumberFormat="1" applyFont="1" applyFill="1" applyBorder="1"/>
    <xf numFmtId="165" fontId="19" fillId="0" borderId="26" xfId="0" applyNumberFormat="1" applyFont="1" applyFill="1" applyBorder="1"/>
    <xf numFmtId="165" fontId="19" fillId="0" borderId="7" xfId="0" applyNumberFormat="1" applyFont="1" applyFill="1" applyBorder="1"/>
    <xf numFmtId="165" fontId="19" fillId="0" borderId="20" xfId="0" applyNumberFormat="1" applyFont="1" applyFill="1" applyBorder="1"/>
    <xf numFmtId="165" fontId="19" fillId="0" borderId="31" xfId="2" applyNumberFormat="1" applyFont="1" applyFill="1" applyBorder="1"/>
    <xf numFmtId="165" fontId="19" fillId="0" borderId="14" xfId="2" applyNumberFormat="1" applyFont="1" applyFill="1" applyBorder="1"/>
    <xf numFmtId="165" fontId="17" fillId="0" borderId="47" xfId="0" applyNumberFormat="1" applyFont="1" applyFill="1" applyBorder="1"/>
    <xf numFmtId="165" fontId="19" fillId="0" borderId="48" xfId="0" applyNumberFormat="1" applyFont="1" applyFill="1" applyBorder="1"/>
    <xf numFmtId="165" fontId="21" fillId="0" borderId="28" xfId="0" applyNumberFormat="1" applyFont="1" applyFill="1" applyBorder="1"/>
    <xf numFmtId="165" fontId="21" fillId="0" borderId="31" xfId="2" applyNumberFormat="1" applyFont="1" applyFill="1" applyBorder="1"/>
    <xf numFmtId="165" fontId="17" fillId="0" borderId="0" xfId="0" applyNumberFormat="1" applyFont="1" applyFill="1"/>
    <xf numFmtId="9" fontId="20" fillId="0" borderId="2" xfId="1" applyNumberFormat="1" applyFont="1" applyFill="1" applyBorder="1" applyAlignment="1">
      <alignment vertical="center"/>
    </xf>
    <xf numFmtId="0" fontId="10" fillId="0" borderId="8" xfId="0" applyFont="1" applyFill="1" applyBorder="1" applyAlignment="1">
      <alignment horizontal="center" vertical="center" wrapText="1"/>
    </xf>
    <xf numFmtId="1" fontId="9" fillId="0" borderId="26" xfId="0" applyNumberFormat="1" applyFont="1" applyFill="1" applyBorder="1" applyAlignment="1">
      <alignment horizontal="center"/>
    </xf>
    <xf numFmtId="165" fontId="0" fillId="0" borderId="44" xfId="0" applyNumberFormat="1" applyFont="1" applyFill="1" applyBorder="1"/>
    <xf numFmtId="165" fontId="0" fillId="0" borderId="26" xfId="0" applyNumberFormat="1" applyFont="1" applyFill="1" applyBorder="1" applyAlignment="1">
      <alignment horizontal="center"/>
    </xf>
    <xf numFmtId="165" fontId="0" fillId="0" borderId="7" xfId="0" applyNumberFormat="1" applyFont="1" applyFill="1" applyBorder="1"/>
    <xf numFmtId="165" fontId="0" fillId="0" borderId="60" xfId="0" applyNumberFormat="1" applyFont="1" applyFill="1" applyBorder="1"/>
    <xf numFmtId="165" fontId="2" fillId="0" borderId="50" xfId="2" applyNumberFormat="1" applyFont="1" applyFill="1" applyBorder="1"/>
    <xf numFmtId="165" fontId="0" fillId="0" borderId="22" xfId="0" applyNumberFormat="1" applyFont="1" applyFill="1" applyBorder="1"/>
    <xf numFmtId="165" fontId="0" fillId="0" borderId="26" xfId="0" applyNumberFormat="1" applyFont="1" applyFill="1" applyBorder="1"/>
    <xf numFmtId="165" fontId="2" fillId="0" borderId="26" xfId="2" applyNumberFormat="1" applyFont="1" applyFill="1" applyBorder="1"/>
    <xf numFmtId="1" fontId="9" fillId="0" borderId="0" xfId="0" applyNumberFormat="1" applyFont="1" applyFill="1" applyBorder="1" applyAlignment="1">
      <alignment horizontal="center"/>
    </xf>
    <xf numFmtId="165" fontId="0" fillId="0" borderId="45" xfId="0" applyNumberFormat="1" applyFont="1" applyFill="1" applyBorder="1"/>
    <xf numFmtId="165" fontId="0" fillId="0" borderId="0" xfId="0" applyNumberFormat="1" applyFont="1" applyFill="1" applyBorder="1" applyAlignment="1">
      <alignment horizontal="center"/>
    </xf>
    <xf numFmtId="165" fontId="0" fillId="0" borderId="1" xfId="0" applyNumberFormat="1" applyFont="1" applyFill="1" applyBorder="1"/>
    <xf numFmtId="165" fontId="0" fillId="0" borderId="61" xfId="0" applyNumberFormat="1" applyFont="1" applyFill="1" applyBorder="1"/>
    <xf numFmtId="165" fontId="2" fillId="0" borderId="51" xfId="2" applyNumberFormat="1" applyFont="1" applyFill="1" applyBorder="1"/>
    <xf numFmtId="165" fontId="0" fillId="0" borderId="23" xfId="0" applyNumberFormat="1" applyFont="1" applyFill="1" applyBorder="1"/>
    <xf numFmtId="165" fontId="0" fillId="0" borderId="0" xfId="0" applyNumberFormat="1" applyFont="1" applyFill="1" applyBorder="1"/>
    <xf numFmtId="165" fontId="2" fillId="0" borderId="0" xfId="2" applyNumberFormat="1" applyFont="1" applyFill="1" applyBorder="1"/>
    <xf numFmtId="165" fontId="0" fillId="0" borderId="62" xfId="0" applyNumberFormat="1" applyFont="1" applyFill="1" applyBorder="1"/>
    <xf numFmtId="1" fontId="9" fillId="0" borderId="56" xfId="0" applyNumberFormat="1" applyFont="1" applyFill="1" applyBorder="1" applyAlignment="1">
      <alignment horizontal="center"/>
    </xf>
    <xf numFmtId="165" fontId="2" fillId="0" borderId="8" xfId="2" applyNumberFormat="1" applyFont="1" applyFill="1" applyBorder="1"/>
    <xf numFmtId="1" fontId="9" fillId="0" borderId="58" xfId="0" applyNumberFormat="1" applyFont="1" applyFill="1" applyBorder="1" applyAlignment="1">
      <alignment horizontal="center"/>
    </xf>
    <xf numFmtId="165" fontId="2" fillId="0" borderId="9" xfId="2" applyNumberFormat="1" applyFont="1" applyFill="1" applyBorder="1"/>
    <xf numFmtId="1" fontId="9" fillId="0" borderId="37" xfId="0" applyNumberFormat="1" applyFont="1" applyFill="1" applyBorder="1" applyAlignment="1">
      <alignment horizontal="center"/>
    </xf>
    <xf numFmtId="165" fontId="0" fillId="0" borderId="46" xfId="0" applyNumberFormat="1" applyFont="1" applyFill="1" applyBorder="1"/>
    <xf numFmtId="165" fontId="0" fillId="0" borderId="40" xfId="0" applyNumberFormat="1" applyFont="1" applyFill="1" applyBorder="1"/>
    <xf numFmtId="165" fontId="0" fillId="0" borderId="6" xfId="0" applyNumberFormat="1" applyFont="1" applyFill="1" applyBorder="1"/>
    <xf numFmtId="165" fontId="2" fillId="0" borderId="10" xfId="2" applyNumberFormat="1" applyFont="1" applyFill="1" applyBorder="1"/>
    <xf numFmtId="165" fontId="0" fillId="0" borderId="32" xfId="0" applyNumberFormat="1" applyFont="1" applyFill="1" applyBorder="1"/>
    <xf numFmtId="165" fontId="0" fillId="0" borderId="0" xfId="2" applyNumberFormat="1" applyFont="1" applyFill="1" applyBorder="1"/>
    <xf numFmtId="0" fontId="5" fillId="0" borderId="16" xfId="0" applyFont="1" applyFill="1" applyBorder="1" applyAlignment="1">
      <alignment horizontal="center" vertical="center" wrapText="1"/>
    </xf>
    <xf numFmtId="165" fontId="6" fillId="0" borderId="0" xfId="0" applyNumberFormat="1" applyFont="1" applyFill="1" applyBorder="1"/>
    <xf numFmtId="0" fontId="36" fillId="21" borderId="36" xfId="0" applyFont="1" applyFill="1" applyBorder="1" applyAlignment="1">
      <alignment horizontal="center" vertical="center" wrapText="1"/>
    </xf>
    <xf numFmtId="0" fontId="36" fillId="21" borderId="25" xfId="0" applyFont="1" applyFill="1" applyBorder="1" applyAlignment="1">
      <alignment horizontal="center" vertical="center" wrapText="1"/>
    </xf>
    <xf numFmtId="165" fontId="8" fillId="21" borderId="48" xfId="0" applyNumberFormat="1" applyFont="1" applyFill="1" applyBorder="1"/>
    <xf numFmtId="165" fontId="8" fillId="21" borderId="49" xfId="2" applyNumberFormat="1" applyFont="1" applyFill="1" applyBorder="1"/>
    <xf numFmtId="165" fontId="3" fillId="21" borderId="26" xfId="0" applyNumberFormat="1" applyFont="1" applyFill="1" applyBorder="1"/>
    <xf numFmtId="165" fontId="3" fillId="21" borderId="7" xfId="0" applyNumberFormat="1" applyFont="1" applyFill="1" applyBorder="1"/>
    <xf numFmtId="165" fontId="2" fillId="21" borderId="20" xfId="2" applyNumberFormat="1" applyFont="1" applyFill="1" applyBorder="1"/>
    <xf numFmtId="165" fontId="0" fillId="21" borderId="20" xfId="2" applyNumberFormat="1" applyFont="1" applyFill="1" applyBorder="1"/>
    <xf numFmtId="0" fontId="5" fillId="3" borderId="27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165" fontId="0" fillId="0" borderId="44" xfId="0" applyNumberFormat="1" applyFill="1" applyBorder="1"/>
    <xf numFmtId="165" fontId="8" fillId="21" borderId="30" xfId="0" applyNumberFormat="1" applyFont="1" applyFill="1" applyBorder="1"/>
    <xf numFmtId="165" fontId="6" fillId="21" borderId="20" xfId="2" applyNumberFormat="1" applyFont="1" applyFill="1" applyBorder="1"/>
    <xf numFmtId="165" fontId="3" fillId="21" borderId="27" xfId="0" applyNumberFormat="1" applyFont="1" applyFill="1" applyBorder="1"/>
    <xf numFmtId="165" fontId="3" fillId="3" borderId="27" xfId="0" applyNumberFormat="1" applyFont="1" applyFill="1" applyBorder="1"/>
    <xf numFmtId="1" fontId="10" fillId="20" borderId="27" xfId="0" applyNumberFormat="1" applyFont="1" applyFill="1" applyBorder="1" applyAlignment="1">
      <alignment horizontal="left"/>
    </xf>
    <xf numFmtId="0" fontId="6" fillId="20" borderId="30" xfId="0" applyFont="1" applyFill="1" applyBorder="1"/>
    <xf numFmtId="165" fontId="10" fillId="20" borderId="30" xfId="0" applyNumberFormat="1" applyFont="1" applyFill="1" applyBorder="1"/>
    <xf numFmtId="165" fontId="10" fillId="20" borderId="28" xfId="0" applyNumberFormat="1" applyFont="1" applyFill="1" applyBorder="1"/>
    <xf numFmtId="165" fontId="10" fillId="20" borderId="13" xfId="0" applyNumberFormat="1" applyFont="1" applyFill="1" applyBorder="1"/>
    <xf numFmtId="165" fontId="10" fillId="20" borderId="21" xfId="0" applyNumberFormat="1" applyFont="1" applyFill="1" applyBorder="1"/>
    <xf numFmtId="165" fontId="10" fillId="20" borderId="31" xfId="0" applyNumberFormat="1" applyFont="1" applyFill="1" applyBorder="1"/>
    <xf numFmtId="0" fontId="5" fillId="0" borderId="18" xfId="0" applyFont="1" applyFill="1" applyBorder="1" applyAlignment="1">
      <alignment horizontal="center" wrapText="1"/>
    </xf>
    <xf numFmtId="1" fontId="9" fillId="0" borderId="4" xfId="0" applyNumberFormat="1" applyFont="1" applyFill="1" applyBorder="1" applyAlignment="1">
      <alignment horizontal="center"/>
    </xf>
    <xf numFmtId="165" fontId="2" fillId="0" borderId="37" xfId="2" applyNumberFormat="1" applyFont="1" applyFill="1" applyBorder="1"/>
    <xf numFmtId="165" fontId="2" fillId="0" borderId="32" xfId="2" applyNumberFormat="1" applyFont="1" applyFill="1" applyBorder="1"/>
    <xf numFmtId="0" fontId="0" fillId="0" borderId="0" xfId="0" applyFill="1"/>
    <xf numFmtId="1" fontId="9" fillId="0" borderId="5" xfId="0" applyNumberFormat="1" applyFont="1" applyFill="1" applyBorder="1" applyAlignment="1">
      <alignment horizontal="center"/>
    </xf>
    <xf numFmtId="165" fontId="0" fillId="0" borderId="2" xfId="0" applyNumberFormat="1" applyFont="1" applyFill="1" applyBorder="1"/>
    <xf numFmtId="0" fontId="31" fillId="22" borderId="0" xfId="0" applyFont="1" applyFill="1" applyBorder="1" applyAlignment="1">
      <alignment horizontal="right" vertical="center"/>
    </xf>
    <xf numFmtId="165" fontId="3" fillId="3" borderId="34" xfId="2" applyNumberFormat="1" applyFont="1" applyFill="1" applyBorder="1"/>
    <xf numFmtId="165" fontId="3" fillId="3" borderId="20" xfId="2" applyNumberFormat="1" applyFont="1" applyFill="1" applyBorder="1"/>
    <xf numFmtId="165" fontId="3" fillId="3" borderId="14" xfId="2" applyNumberFormat="1" applyFont="1" applyFill="1" applyBorder="1"/>
    <xf numFmtId="0" fontId="42" fillId="22" borderId="0" xfId="0" applyFont="1" applyFill="1" applyBorder="1" applyAlignment="1"/>
    <xf numFmtId="0" fontId="40" fillId="22" borderId="0" xfId="0" applyFont="1" applyFill="1" applyBorder="1" applyAlignment="1">
      <alignment horizontal="right"/>
    </xf>
    <xf numFmtId="0" fontId="40" fillId="22" borderId="51" xfId="0" applyFont="1" applyFill="1" applyBorder="1" applyAlignment="1">
      <alignment horizontal="right"/>
    </xf>
    <xf numFmtId="0" fontId="43" fillId="22" borderId="0" xfId="0" applyFont="1" applyFill="1" applyBorder="1"/>
    <xf numFmtId="165" fontId="43" fillId="22" borderId="51" xfId="0" applyNumberFormat="1" applyFont="1" applyFill="1" applyBorder="1"/>
    <xf numFmtId="165" fontId="44" fillId="22" borderId="51" xfId="0" applyNumberFormat="1" applyFont="1" applyFill="1" applyBorder="1"/>
    <xf numFmtId="0" fontId="36" fillId="22" borderId="0" xfId="0" applyFont="1" applyFill="1" applyBorder="1"/>
    <xf numFmtId="165" fontId="36" fillId="22" borderId="52" xfId="0" applyNumberFormat="1" applyFont="1" applyFill="1" applyBorder="1"/>
    <xf numFmtId="165" fontId="36" fillId="22" borderId="53" xfId="0" applyNumberFormat="1" applyFont="1" applyFill="1" applyBorder="1"/>
    <xf numFmtId="0" fontId="39" fillId="22" borderId="25" xfId="0" applyFont="1" applyFill="1" applyBorder="1"/>
    <xf numFmtId="165" fontId="39" fillId="22" borderId="25" xfId="0" applyNumberFormat="1" applyFont="1" applyFill="1" applyBorder="1"/>
    <xf numFmtId="165" fontId="39" fillId="22" borderId="49" xfId="0" applyNumberFormat="1" applyFont="1" applyFill="1" applyBorder="1"/>
    <xf numFmtId="0" fontId="6" fillId="22" borderId="26" xfId="0" applyFont="1" applyFill="1" applyBorder="1"/>
    <xf numFmtId="0" fontId="6" fillId="22" borderId="50" xfId="0" applyFont="1" applyFill="1" applyBorder="1"/>
    <xf numFmtId="1" fontId="10" fillId="3" borderId="27" xfId="0" applyNumberFormat="1" applyFont="1" applyFill="1" applyBorder="1" applyAlignment="1">
      <alignment horizontal="left"/>
    </xf>
    <xf numFmtId="0" fontId="0" fillId="3" borderId="30" xfId="0" applyFill="1" applyBorder="1"/>
    <xf numFmtId="165" fontId="10" fillId="3" borderId="29" xfId="0" applyNumberFormat="1" applyFont="1" applyFill="1" applyBorder="1"/>
    <xf numFmtId="165" fontId="10" fillId="3" borderId="20" xfId="0" applyNumberFormat="1" applyFont="1" applyFill="1" applyBorder="1"/>
    <xf numFmtId="165" fontId="19" fillId="0" borderId="46" xfId="0" applyNumberFormat="1" applyFont="1" applyFill="1" applyBorder="1" applyAlignment="1">
      <alignment vertical="center"/>
    </xf>
    <xf numFmtId="165" fontId="19" fillId="4" borderId="40" xfId="0" applyNumberFormat="1" applyFont="1" applyFill="1" applyBorder="1" applyAlignment="1">
      <alignment vertical="center"/>
    </xf>
    <xf numFmtId="165" fontId="19" fillId="4" borderId="6" xfId="0" applyNumberFormat="1" applyFont="1" applyFill="1" applyBorder="1" applyAlignment="1">
      <alignment vertical="center"/>
    </xf>
    <xf numFmtId="1" fontId="17" fillId="4" borderId="38" xfId="0" applyNumberFormat="1" applyFont="1" applyFill="1" applyBorder="1" applyAlignment="1">
      <alignment horizontal="left" vertical="center"/>
    </xf>
    <xf numFmtId="165" fontId="19" fillId="4" borderId="99" xfId="0" applyNumberFormat="1" applyFont="1" applyFill="1" applyBorder="1" applyAlignment="1">
      <alignment vertical="center"/>
    </xf>
    <xf numFmtId="1" fontId="17" fillId="0" borderId="38" xfId="0" applyNumberFormat="1" applyFont="1" applyFill="1" applyBorder="1" applyAlignment="1">
      <alignment horizontal="left" vertical="center"/>
    </xf>
    <xf numFmtId="1" fontId="17" fillId="0" borderId="58" xfId="0" applyNumberFormat="1" applyFont="1" applyFill="1" applyBorder="1" applyAlignment="1">
      <alignment horizontal="left" vertical="center"/>
    </xf>
    <xf numFmtId="1" fontId="17" fillId="0" borderId="37" xfId="0" applyNumberFormat="1" applyFont="1" applyFill="1" applyBorder="1" applyAlignment="1">
      <alignment horizontal="left" vertical="center"/>
    </xf>
    <xf numFmtId="9" fontId="17" fillId="0" borderId="47" xfId="1" applyFont="1" applyFill="1" applyBorder="1" applyAlignment="1">
      <alignment vertical="center"/>
    </xf>
    <xf numFmtId="9" fontId="17" fillId="0" borderId="45" xfId="1" applyFont="1" applyFill="1" applyBorder="1" applyAlignment="1">
      <alignment vertical="center"/>
    </xf>
    <xf numFmtId="9" fontId="17" fillId="0" borderId="46" xfId="1" applyFont="1" applyFill="1" applyBorder="1" applyAlignment="1">
      <alignment vertical="center"/>
    </xf>
    <xf numFmtId="0" fontId="17" fillId="25" borderId="0" xfId="0" applyFont="1" applyFill="1" applyAlignment="1">
      <alignment vertical="center"/>
    </xf>
    <xf numFmtId="0" fontId="37" fillId="25" borderId="20" xfId="0" applyFont="1" applyFill="1" applyBorder="1" applyAlignment="1">
      <alignment horizontal="center" vertical="center"/>
    </xf>
    <xf numFmtId="0" fontId="37" fillId="25" borderId="27" xfId="0" applyFont="1" applyFill="1" applyBorder="1" applyAlignment="1">
      <alignment horizontal="center" vertical="center" wrapText="1"/>
    </xf>
    <xf numFmtId="0" fontId="37" fillId="25" borderId="12" xfId="0" applyFont="1" applyFill="1" applyBorder="1" applyAlignment="1">
      <alignment horizontal="center" vertical="center" wrapText="1"/>
    </xf>
    <xf numFmtId="165" fontId="37" fillId="25" borderId="28" xfId="0" applyNumberFormat="1" applyFont="1" applyFill="1" applyBorder="1" applyAlignment="1">
      <alignment vertical="center"/>
    </xf>
    <xf numFmtId="9" fontId="37" fillId="25" borderId="28" xfId="1" applyFont="1" applyFill="1" applyBorder="1" applyAlignment="1">
      <alignment vertical="center"/>
    </xf>
    <xf numFmtId="165" fontId="37" fillId="25" borderId="34" xfId="2" applyNumberFormat="1" applyFont="1" applyFill="1" applyBorder="1" applyAlignment="1">
      <alignment vertical="center"/>
    </xf>
    <xf numFmtId="165" fontId="37" fillId="25" borderId="20" xfId="2" applyNumberFormat="1" applyFont="1" applyFill="1" applyBorder="1" applyAlignment="1">
      <alignment vertical="center"/>
    </xf>
    <xf numFmtId="165" fontId="37" fillId="25" borderId="31" xfId="2" applyNumberFormat="1" applyFont="1" applyFill="1" applyBorder="1" applyAlignment="1">
      <alignment vertical="center"/>
    </xf>
    <xf numFmtId="0" fontId="37" fillId="4" borderId="12" xfId="0" applyFont="1" applyFill="1" applyBorder="1" applyAlignment="1">
      <alignment horizontal="center" vertical="center" wrapText="1"/>
    </xf>
    <xf numFmtId="165" fontId="37" fillId="0" borderId="28" xfId="0" applyNumberFormat="1" applyFont="1" applyFill="1" applyBorder="1" applyAlignment="1">
      <alignment vertical="center"/>
    </xf>
    <xf numFmtId="9" fontId="37" fillId="4" borderId="28" xfId="1" applyFont="1" applyFill="1" applyBorder="1" applyAlignment="1">
      <alignment vertical="center"/>
    </xf>
    <xf numFmtId="165" fontId="37" fillId="4" borderId="34" xfId="2" applyNumberFormat="1" applyFont="1" applyFill="1" applyBorder="1" applyAlignment="1">
      <alignment vertical="center"/>
    </xf>
    <xf numFmtId="165" fontId="37" fillId="4" borderId="20" xfId="2" applyNumberFormat="1" applyFont="1" applyFill="1" applyBorder="1" applyAlignment="1">
      <alignment vertical="center"/>
    </xf>
    <xf numFmtId="0" fontId="37" fillId="3" borderId="27" xfId="0" applyFont="1" applyFill="1" applyBorder="1" applyAlignment="1">
      <alignment horizontal="center" vertical="center" wrapText="1"/>
    </xf>
    <xf numFmtId="0" fontId="37" fillId="3" borderId="30" xfId="0" applyFont="1" applyFill="1" applyBorder="1" applyAlignment="1">
      <alignment horizontal="center" vertical="center" wrapText="1"/>
    </xf>
    <xf numFmtId="165" fontId="37" fillId="3" borderId="28" xfId="0" applyNumberFormat="1" applyFont="1" applyFill="1" applyBorder="1" applyAlignment="1">
      <alignment vertical="center"/>
    </xf>
    <xf numFmtId="9" fontId="37" fillId="3" borderId="28" xfId="1" applyFont="1" applyFill="1" applyBorder="1" applyAlignment="1">
      <alignment vertical="center"/>
    </xf>
    <xf numFmtId="165" fontId="37" fillId="3" borderId="31" xfId="2" applyNumberFormat="1" applyFont="1" applyFill="1" applyBorder="1" applyAlignment="1">
      <alignment vertical="center"/>
    </xf>
    <xf numFmtId="0" fontId="37" fillId="3" borderId="11" xfId="0" applyFont="1" applyFill="1" applyBorder="1" applyAlignment="1">
      <alignment horizontal="center" vertical="center" wrapText="1"/>
    </xf>
    <xf numFmtId="0" fontId="37" fillId="3" borderId="97" xfId="0" applyFont="1" applyFill="1" applyBorder="1" applyAlignment="1">
      <alignment horizontal="center" vertical="center" wrapText="1"/>
    </xf>
    <xf numFmtId="0" fontId="37" fillId="3" borderId="7" xfId="0" applyFont="1" applyFill="1" applyBorder="1" applyAlignment="1">
      <alignment horizontal="center" vertical="center" wrapText="1"/>
    </xf>
    <xf numFmtId="0" fontId="37" fillId="3" borderId="13" xfId="0" applyFont="1" applyFill="1" applyBorder="1" applyAlignment="1">
      <alignment horizontal="center" vertical="center" wrapText="1"/>
    </xf>
    <xf numFmtId="0" fontId="37" fillId="3" borderId="14" xfId="0" applyFont="1" applyFill="1" applyBorder="1" applyAlignment="1">
      <alignment horizontal="center" vertical="center" wrapText="1"/>
    </xf>
    <xf numFmtId="0" fontId="37" fillId="3" borderId="20" xfId="0" applyFont="1" applyFill="1" applyBorder="1" applyAlignment="1">
      <alignment horizontal="center" vertical="center" wrapText="1"/>
    </xf>
    <xf numFmtId="0" fontId="37" fillId="3" borderId="8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24" borderId="0" xfId="0" applyFont="1" applyFill="1" applyAlignment="1">
      <alignment horizontal="center" vertical="center"/>
    </xf>
    <xf numFmtId="0" fontId="17" fillId="3" borderId="52" xfId="0" applyFont="1" applyFill="1" applyBorder="1" applyAlignment="1">
      <alignment vertical="center"/>
    </xf>
    <xf numFmtId="0" fontId="37" fillId="3" borderId="20" xfId="0" applyFont="1" applyFill="1" applyBorder="1" applyAlignment="1">
      <alignment horizontal="center" vertical="center"/>
    </xf>
    <xf numFmtId="0" fontId="37" fillId="3" borderId="12" xfId="0" applyFont="1" applyFill="1" applyBorder="1" applyAlignment="1">
      <alignment horizontal="center" vertical="center" wrapText="1"/>
    </xf>
    <xf numFmtId="165" fontId="37" fillId="3" borderId="34" xfId="2" applyNumberFormat="1" applyFont="1" applyFill="1" applyBorder="1" applyAlignment="1">
      <alignment vertical="center"/>
    </xf>
    <xf numFmtId="165" fontId="37" fillId="3" borderId="20" xfId="2" applyNumberFormat="1" applyFont="1" applyFill="1" applyBorder="1" applyAlignment="1">
      <alignment vertical="center"/>
    </xf>
    <xf numFmtId="165" fontId="37" fillId="3" borderId="14" xfId="2" applyNumberFormat="1" applyFont="1" applyFill="1" applyBorder="1" applyAlignment="1">
      <alignment vertical="center"/>
    </xf>
    <xf numFmtId="9" fontId="20" fillId="24" borderId="7" xfId="1" applyNumberFormat="1" applyFont="1" applyFill="1" applyBorder="1" applyAlignment="1">
      <alignment vertical="center"/>
    </xf>
    <xf numFmtId="9" fontId="20" fillId="24" borderId="1" xfId="1" applyNumberFormat="1" applyFont="1" applyFill="1" applyBorder="1" applyAlignment="1">
      <alignment vertical="center"/>
    </xf>
    <xf numFmtId="9" fontId="20" fillId="24" borderId="45" xfId="1" applyFont="1" applyFill="1" applyBorder="1" applyAlignment="1">
      <alignment vertical="center"/>
    </xf>
    <xf numFmtId="9" fontId="20" fillId="24" borderId="6" xfId="1" applyNumberFormat="1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Border="1"/>
    <xf numFmtId="165" fontId="0" fillId="0" borderId="26" xfId="2" applyNumberFormat="1" applyFont="1" applyFill="1" applyBorder="1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4" borderId="16" xfId="0" applyFont="1" applyFill="1" applyBorder="1" applyAlignment="1">
      <alignment horizontal="center" vertical="center" wrapText="1"/>
    </xf>
    <xf numFmtId="165" fontId="35" fillId="18" borderId="91" xfId="2" applyNumberFormat="1" applyFont="1" applyFill="1" applyBorder="1" applyAlignment="1">
      <alignment vertical="center"/>
    </xf>
    <xf numFmtId="165" fontId="35" fillId="18" borderId="65" xfId="2" applyNumberFormat="1" applyFont="1" applyFill="1" applyBorder="1" applyAlignment="1">
      <alignment vertical="center"/>
    </xf>
    <xf numFmtId="165" fontId="35" fillId="18" borderId="92" xfId="2" applyNumberFormat="1" applyFont="1" applyFill="1" applyBorder="1" applyAlignment="1">
      <alignment vertical="center"/>
    </xf>
    <xf numFmtId="165" fontId="35" fillId="18" borderId="93" xfId="2" applyNumberFormat="1" applyFont="1" applyFill="1" applyBorder="1" applyAlignment="1">
      <alignment vertical="center"/>
    </xf>
    <xf numFmtId="165" fontId="35" fillId="18" borderId="94" xfId="2" applyNumberFormat="1" applyFont="1" applyFill="1" applyBorder="1" applyAlignment="1">
      <alignment vertical="center"/>
    </xf>
    <xf numFmtId="165" fontId="37" fillId="6" borderId="14" xfId="2" applyNumberFormat="1" applyFont="1" applyFill="1" applyBorder="1" applyAlignment="1">
      <alignment vertical="center"/>
    </xf>
    <xf numFmtId="165" fontId="17" fillId="4" borderId="58" xfId="2" applyNumberFormat="1" applyFont="1" applyFill="1" applyBorder="1" applyAlignment="1">
      <alignment vertical="center"/>
    </xf>
    <xf numFmtId="165" fontId="19" fillId="4" borderId="22" xfId="0" applyNumberFormat="1" applyFont="1" applyFill="1" applyBorder="1" applyAlignment="1">
      <alignment vertical="center"/>
    </xf>
    <xf numFmtId="165" fontId="19" fillId="4" borderId="100" xfId="0" applyNumberFormat="1" applyFont="1" applyFill="1" applyBorder="1" applyAlignment="1">
      <alignment vertical="center"/>
    </xf>
    <xf numFmtId="165" fontId="17" fillId="4" borderId="47" xfId="0" applyNumberFormat="1" applyFont="1" applyFill="1" applyBorder="1" applyAlignment="1">
      <alignment vertical="center"/>
    </xf>
    <xf numFmtId="165" fontId="27" fillId="0" borderId="0" xfId="2" applyNumberFormat="1" applyFont="1" applyBorder="1"/>
    <xf numFmtId="165" fontId="21" fillId="0" borderId="0" xfId="2" applyNumberFormat="1" applyFont="1" applyBorder="1"/>
    <xf numFmtId="165" fontId="21" fillId="0" borderId="0" xfId="2" applyNumberFormat="1" applyFont="1" applyAlignment="1">
      <alignment vertical="center"/>
    </xf>
    <xf numFmtId="165" fontId="17" fillId="18" borderId="92" xfId="2" applyNumberFormat="1" applyFont="1" applyFill="1" applyBorder="1" applyAlignment="1">
      <alignment vertical="center"/>
    </xf>
    <xf numFmtId="165" fontId="17" fillId="18" borderId="83" xfId="2" applyNumberFormat="1" applyFont="1" applyFill="1" applyBorder="1" applyAlignment="1">
      <alignment vertical="center"/>
    </xf>
    <xf numFmtId="165" fontId="35" fillId="18" borderId="84" xfId="2" applyNumberFormat="1" applyFont="1" applyFill="1" applyBorder="1" applyAlignment="1">
      <alignment vertical="center"/>
    </xf>
    <xf numFmtId="165" fontId="47" fillId="18" borderId="66" xfId="2" applyNumberFormat="1" applyFont="1" applyFill="1" applyBorder="1" applyAlignment="1">
      <alignment vertical="center"/>
    </xf>
    <xf numFmtId="165" fontId="47" fillId="18" borderId="65" xfId="2" applyNumberFormat="1" applyFont="1" applyFill="1" applyBorder="1" applyAlignment="1">
      <alignment vertical="center"/>
    </xf>
    <xf numFmtId="165" fontId="48" fillId="18" borderId="74" xfId="2" applyNumberFormat="1" applyFont="1" applyFill="1" applyBorder="1" applyAlignment="1">
      <alignment vertical="center"/>
    </xf>
    <xf numFmtId="165" fontId="48" fillId="18" borderId="69" xfId="2" applyNumberFormat="1" applyFont="1" applyFill="1" applyBorder="1" applyAlignment="1">
      <alignment vertical="center"/>
    </xf>
    <xf numFmtId="165" fontId="47" fillId="18" borderId="70" xfId="2" applyNumberFormat="1" applyFont="1" applyFill="1" applyBorder="1" applyAlignment="1">
      <alignment vertical="center"/>
    </xf>
    <xf numFmtId="165" fontId="48" fillId="0" borderId="0" xfId="0" applyNumberFormat="1" applyFont="1" applyAlignment="1">
      <alignment vertical="center"/>
    </xf>
    <xf numFmtId="165" fontId="48" fillId="18" borderId="76" xfId="2" applyNumberFormat="1" applyFont="1" applyFill="1" applyBorder="1" applyAlignment="1">
      <alignment vertical="center"/>
    </xf>
    <xf numFmtId="165" fontId="48" fillId="18" borderId="75" xfId="2" applyNumberFormat="1" applyFont="1" applyFill="1" applyBorder="1" applyAlignment="1">
      <alignment vertical="center"/>
    </xf>
    <xf numFmtId="165" fontId="48" fillId="18" borderId="77" xfId="2" applyNumberFormat="1" applyFont="1" applyFill="1" applyBorder="1" applyAlignment="1">
      <alignment vertical="center"/>
    </xf>
    <xf numFmtId="165" fontId="48" fillId="18" borderId="78" xfId="2" applyNumberFormat="1" applyFont="1" applyFill="1" applyBorder="1" applyAlignment="1">
      <alignment vertical="center"/>
    </xf>
    <xf numFmtId="165" fontId="48" fillId="18" borderId="79" xfId="2" applyNumberFormat="1" applyFont="1" applyFill="1" applyBorder="1" applyAlignment="1">
      <alignment vertical="center"/>
    </xf>
    <xf numFmtId="165" fontId="48" fillId="18" borderId="82" xfId="2" applyNumberFormat="1" applyFont="1" applyFill="1" applyBorder="1" applyAlignment="1">
      <alignment vertical="center"/>
    </xf>
    <xf numFmtId="165" fontId="48" fillId="11" borderId="87" xfId="2" applyNumberFormat="1" applyFont="1" applyFill="1" applyBorder="1" applyAlignment="1">
      <alignment vertical="center"/>
    </xf>
    <xf numFmtId="165" fontId="27" fillId="0" borderId="0" xfId="2" applyNumberFormat="1" applyFont="1" applyAlignment="1">
      <alignment vertical="center"/>
    </xf>
    <xf numFmtId="165" fontId="48" fillId="11" borderId="89" xfId="2" applyNumberFormat="1" applyFont="1" applyFill="1" applyBorder="1" applyAlignment="1">
      <alignment vertical="center"/>
    </xf>
    <xf numFmtId="165" fontId="48" fillId="24" borderId="80" xfId="2" applyNumberFormat="1" applyFont="1" applyFill="1" applyBorder="1" applyAlignment="1">
      <alignment vertical="center"/>
    </xf>
    <xf numFmtId="165" fontId="48" fillId="24" borderId="90" xfId="2" applyNumberFormat="1" applyFont="1" applyFill="1" applyBorder="1" applyAlignment="1">
      <alignment vertical="center"/>
    </xf>
    <xf numFmtId="165" fontId="48" fillId="24" borderId="76" xfId="2" applyNumberFormat="1" applyFont="1" applyFill="1" applyBorder="1" applyAlignment="1">
      <alignment vertical="center"/>
    </xf>
    <xf numFmtId="165" fontId="48" fillId="24" borderId="91" xfId="2" applyNumberFormat="1" applyFont="1" applyFill="1" applyBorder="1" applyAlignment="1">
      <alignment vertical="center"/>
    </xf>
    <xf numFmtId="165" fontId="47" fillId="18" borderId="66" xfId="2" applyNumberFormat="1" applyFont="1" applyFill="1" applyBorder="1" applyAlignment="1">
      <alignment horizontal="left" vertical="center"/>
    </xf>
    <xf numFmtId="165" fontId="47" fillId="18" borderId="65" xfId="2" applyNumberFormat="1" applyFont="1" applyFill="1" applyBorder="1" applyAlignment="1">
      <alignment horizontal="left" vertical="center"/>
    </xf>
    <xf numFmtId="165" fontId="47" fillId="18" borderId="69" xfId="2" applyNumberFormat="1" applyFont="1" applyFill="1" applyBorder="1" applyAlignment="1">
      <alignment horizontal="left" vertical="center"/>
    </xf>
    <xf numFmtId="165" fontId="47" fillId="18" borderId="74" xfId="2" applyNumberFormat="1" applyFont="1" applyFill="1" applyBorder="1" applyAlignment="1">
      <alignment horizontal="left" vertical="center"/>
    </xf>
    <xf numFmtId="165" fontId="47" fillId="18" borderId="70" xfId="2" applyNumberFormat="1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vertical="center"/>
    </xf>
    <xf numFmtId="1" fontId="17" fillId="0" borderId="5" xfId="0" applyNumberFormat="1" applyFont="1" applyFill="1" applyBorder="1" applyAlignment="1">
      <alignment horizontal="center" vertical="center"/>
    </xf>
    <xf numFmtId="165" fontId="17" fillId="0" borderId="38" xfId="2" applyNumberFormat="1" applyFont="1" applyFill="1" applyBorder="1" applyAlignment="1">
      <alignment vertical="center"/>
    </xf>
    <xf numFmtId="164" fontId="17" fillId="4" borderId="0" xfId="0" applyNumberFormat="1" applyFont="1" applyFill="1" applyAlignment="1">
      <alignment vertical="center"/>
    </xf>
    <xf numFmtId="165" fontId="20" fillId="4" borderId="45" xfId="2" applyNumberFormat="1" applyFont="1" applyFill="1" applyBorder="1" applyAlignment="1">
      <alignment vertical="center"/>
    </xf>
    <xf numFmtId="165" fontId="27" fillId="0" borderId="0" xfId="2" applyNumberFormat="1" applyFont="1" applyBorder="1" applyAlignment="1">
      <alignment vertical="center"/>
    </xf>
    <xf numFmtId="164" fontId="17" fillId="0" borderId="0" xfId="2" applyNumberFormat="1" applyFont="1" applyFill="1"/>
    <xf numFmtId="164" fontId="17" fillId="0" borderId="0" xfId="0" applyNumberFormat="1" applyFont="1" applyFill="1"/>
    <xf numFmtId="165" fontId="48" fillId="3" borderId="82" xfId="2" applyNumberFormat="1" applyFont="1" applyFill="1" applyBorder="1" applyAlignment="1">
      <alignment vertical="center"/>
    </xf>
    <xf numFmtId="165" fontId="48" fillId="3" borderId="81" xfId="2" applyNumberFormat="1" applyFont="1" applyFill="1" applyBorder="1" applyAlignment="1">
      <alignment vertical="center"/>
    </xf>
    <xf numFmtId="9" fontId="17" fillId="0" borderId="0" xfId="1" applyFont="1" applyFill="1" applyBorder="1"/>
    <xf numFmtId="9" fontId="17" fillId="0" borderId="0" xfId="1" applyFont="1" applyFill="1"/>
    <xf numFmtId="164" fontId="17" fillId="0" borderId="0" xfId="2" applyFont="1"/>
    <xf numFmtId="0" fontId="19" fillId="0" borderId="0" xfId="0" applyFont="1" applyAlignment="1">
      <alignment vertical="center"/>
    </xf>
    <xf numFmtId="10" fontId="20" fillId="0" borderId="6" xfId="1" applyNumberFormat="1" applyFont="1" applyFill="1" applyBorder="1" applyAlignment="1">
      <alignment vertical="center"/>
    </xf>
    <xf numFmtId="10" fontId="20" fillId="0" borderId="1" xfId="1" applyNumberFormat="1" applyFont="1" applyFill="1" applyBorder="1" applyAlignment="1">
      <alignment vertical="center"/>
    </xf>
    <xf numFmtId="10" fontId="19" fillId="8" borderId="28" xfId="1" applyNumberFormat="1" applyFont="1" applyFill="1" applyBorder="1" applyAlignment="1">
      <alignment vertical="center"/>
    </xf>
    <xf numFmtId="10" fontId="10" fillId="22" borderId="13" xfId="1" applyNumberFormat="1" applyFont="1" applyFill="1" applyBorder="1" applyAlignment="1">
      <alignment vertical="center"/>
    </xf>
    <xf numFmtId="10" fontId="17" fillId="0" borderId="2" xfId="1" applyNumberFormat="1" applyFont="1" applyFill="1" applyBorder="1" applyAlignment="1">
      <alignment vertical="center"/>
    </xf>
    <xf numFmtId="10" fontId="17" fillId="8" borderId="6" xfId="1" applyNumberFormat="1" applyFont="1" applyFill="1" applyBorder="1" applyAlignment="1">
      <alignment vertical="center"/>
    </xf>
    <xf numFmtId="10" fontId="10" fillId="4" borderId="28" xfId="1" applyNumberFormat="1" applyFont="1" applyFill="1" applyBorder="1" applyAlignment="1">
      <alignment vertical="center"/>
    </xf>
    <xf numFmtId="10" fontId="20" fillId="4" borderId="1" xfId="1" applyNumberFormat="1" applyFont="1" applyFill="1" applyBorder="1"/>
    <xf numFmtId="10" fontId="20" fillId="0" borderId="1" xfId="1" applyNumberFormat="1" applyFont="1" applyFill="1" applyBorder="1"/>
    <xf numFmtId="10" fontId="17" fillId="0" borderId="1" xfId="0" applyNumberFormat="1" applyFont="1" applyFill="1" applyBorder="1"/>
    <xf numFmtId="164" fontId="19" fillId="0" borderId="20" xfId="2" applyNumberFormat="1" applyFont="1" applyFill="1" applyBorder="1"/>
    <xf numFmtId="164" fontId="19" fillId="4" borderId="31" xfId="2" applyNumberFormat="1" applyFont="1" applyFill="1" applyBorder="1" applyAlignment="1">
      <alignment vertical="center"/>
    </xf>
    <xf numFmtId="44" fontId="17" fillId="0" borderId="0" xfId="6" applyFont="1" applyAlignment="1">
      <alignment vertical="center"/>
    </xf>
    <xf numFmtId="3" fontId="19" fillId="0" borderId="0" xfId="0" applyNumberFormat="1" applyFont="1" applyAlignment="1">
      <alignment vertical="center"/>
    </xf>
    <xf numFmtId="44" fontId="17" fillId="0" borderId="0" xfId="0" applyNumberFormat="1" applyFont="1" applyAlignment="1">
      <alignment vertical="center"/>
    </xf>
    <xf numFmtId="165" fontId="19" fillId="0" borderId="0" xfId="0" applyNumberFormat="1" applyFont="1" applyAlignment="1">
      <alignment vertical="center"/>
    </xf>
    <xf numFmtId="43" fontId="17" fillId="0" borderId="0" xfId="0" applyNumberFormat="1" applyFont="1" applyAlignment="1">
      <alignment vertical="center"/>
    </xf>
    <xf numFmtId="165" fontId="19" fillId="14" borderId="63" xfId="0" applyNumberFormat="1" applyFont="1" applyFill="1" applyBorder="1" applyAlignment="1">
      <alignment horizontal="left" vertical="center"/>
    </xf>
    <xf numFmtId="10" fontId="20" fillId="4" borderId="1" xfId="1" applyNumberFormat="1" applyFont="1" applyFill="1" applyBorder="1" applyAlignment="1">
      <alignment vertical="center"/>
    </xf>
    <xf numFmtId="10" fontId="20" fillId="4" borderId="2" xfId="1" applyNumberFormat="1" applyFont="1" applyFill="1" applyBorder="1" applyAlignment="1">
      <alignment vertical="center"/>
    </xf>
    <xf numFmtId="3" fontId="17" fillId="0" borderId="0" xfId="0" applyNumberFormat="1" applyFont="1" applyFill="1" applyBorder="1" applyAlignment="1">
      <alignment vertical="center"/>
    </xf>
    <xf numFmtId="3" fontId="19" fillId="0" borderId="0" xfId="0" applyNumberFormat="1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165" fontId="48" fillId="0" borderId="0" xfId="2" applyNumberFormat="1" applyFont="1" applyFill="1" applyBorder="1" applyAlignment="1">
      <alignment vertical="center"/>
    </xf>
    <xf numFmtId="165" fontId="47" fillId="0" borderId="0" xfId="2" applyNumberFormat="1" applyFont="1" applyFill="1" applyBorder="1" applyAlignment="1">
      <alignment horizontal="center" vertical="center"/>
    </xf>
    <xf numFmtId="4" fontId="17" fillId="0" borderId="0" xfId="0" applyNumberFormat="1" applyFont="1" applyAlignment="1">
      <alignment vertical="center"/>
    </xf>
    <xf numFmtId="9" fontId="37" fillId="4" borderId="28" xfId="1" applyNumberFormat="1" applyFont="1" applyFill="1" applyBorder="1" applyAlignment="1">
      <alignment vertical="center"/>
    </xf>
    <xf numFmtId="0" fontId="29" fillId="4" borderId="0" xfId="0" applyFont="1" applyFill="1" applyBorder="1" applyAlignment="1">
      <alignment vertical="center"/>
    </xf>
    <xf numFmtId="0" fontId="26" fillId="4" borderId="0" xfId="0" applyFont="1" applyFill="1" applyBorder="1" applyAlignment="1">
      <alignment vertical="center"/>
    </xf>
    <xf numFmtId="4" fontId="17" fillId="0" borderId="0" xfId="0" applyNumberFormat="1" applyFont="1" applyFill="1" applyAlignment="1">
      <alignment vertical="center"/>
    </xf>
    <xf numFmtId="164" fontId="17" fillId="0" borderId="0" xfId="2" applyFont="1" applyFill="1" applyAlignment="1">
      <alignment vertical="center"/>
    </xf>
    <xf numFmtId="164" fontId="17" fillId="0" borderId="0" xfId="2" applyFont="1" applyAlignment="1">
      <alignment vertical="center"/>
    </xf>
    <xf numFmtId="167" fontId="19" fillId="0" borderId="20" xfId="2" applyNumberFormat="1" applyFont="1" applyFill="1" applyBorder="1" applyAlignment="1">
      <alignment vertical="center"/>
    </xf>
    <xf numFmtId="9" fontId="17" fillId="0" borderId="0" xfId="1" applyFont="1" applyFill="1" applyAlignment="1">
      <alignment vertical="center"/>
    </xf>
    <xf numFmtId="0" fontId="17" fillId="0" borderId="40" xfId="0" applyFont="1" applyBorder="1" applyAlignment="1">
      <alignment vertical="center"/>
    </xf>
    <xf numFmtId="0" fontId="49" fillId="0" borderId="0" xfId="0" applyFont="1"/>
    <xf numFmtId="0" fontId="17" fillId="27" borderId="0" xfId="0" applyFont="1" applyFill="1" applyAlignment="1">
      <alignment horizontal="center"/>
    </xf>
    <xf numFmtId="0" fontId="19" fillId="27" borderId="0" xfId="0" applyFont="1" applyFill="1" applyAlignment="1">
      <alignment horizontal="center"/>
    </xf>
    <xf numFmtId="164" fontId="17" fillId="0" borderId="40" xfId="2" applyFont="1" applyBorder="1" applyAlignment="1">
      <alignment vertical="center"/>
    </xf>
    <xf numFmtId="43" fontId="18" fillId="4" borderId="0" xfId="0" applyNumberFormat="1" applyFont="1" applyFill="1" applyAlignment="1">
      <alignment vertical="center"/>
    </xf>
    <xf numFmtId="2" fontId="21" fillId="4" borderId="0" xfId="1" applyNumberFormat="1" applyFont="1" applyFill="1" applyBorder="1" applyAlignment="1">
      <alignment vertical="center"/>
    </xf>
    <xf numFmtId="170" fontId="20" fillId="11" borderId="0" xfId="0" applyNumberFormat="1" applyFont="1" applyFill="1" applyAlignment="1">
      <alignment horizontal="center" vertical="center"/>
    </xf>
    <xf numFmtId="170" fontId="20" fillId="12" borderId="0" xfId="0" applyNumberFormat="1" applyFont="1" applyFill="1" applyAlignment="1">
      <alignment horizontal="center" vertical="center"/>
    </xf>
    <xf numFmtId="44" fontId="17" fillId="0" borderId="0" xfId="6" applyFont="1" applyBorder="1" applyAlignment="1">
      <alignment vertical="center"/>
    </xf>
    <xf numFmtId="10" fontId="20" fillId="3" borderId="1" xfId="1" applyNumberFormat="1" applyFont="1" applyFill="1" applyBorder="1"/>
    <xf numFmtId="10" fontId="17" fillId="3" borderId="1" xfId="0" applyNumberFormat="1" applyFont="1" applyFill="1" applyBorder="1"/>
    <xf numFmtId="10" fontId="20" fillId="2" borderId="1" xfId="1" applyNumberFormat="1" applyFont="1" applyFill="1" applyBorder="1"/>
    <xf numFmtId="10" fontId="17" fillId="2" borderId="1" xfId="0" applyNumberFormat="1" applyFont="1" applyFill="1" applyBorder="1"/>
    <xf numFmtId="10" fontId="10" fillId="0" borderId="28" xfId="1" applyNumberFormat="1" applyFont="1" applyFill="1" applyBorder="1"/>
    <xf numFmtId="165" fontId="37" fillId="0" borderId="0" xfId="2" applyNumberFormat="1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vertical="center"/>
    </xf>
    <xf numFmtId="165" fontId="19" fillId="0" borderId="0" xfId="2" applyNumberFormat="1" applyFont="1" applyFill="1" applyBorder="1" applyAlignment="1">
      <alignment vertical="center"/>
    </xf>
    <xf numFmtId="165" fontId="19" fillId="4" borderId="19" xfId="2" applyNumberFormat="1" applyFont="1" applyFill="1" applyBorder="1" applyAlignment="1">
      <alignment vertical="center"/>
    </xf>
    <xf numFmtId="164" fontId="28" fillId="0" borderId="0" xfId="0" applyNumberFormat="1" applyFont="1"/>
    <xf numFmtId="164" fontId="17" fillId="0" borderId="0" xfId="2" applyNumberFormat="1" applyFont="1" applyAlignment="1">
      <alignment vertical="center"/>
    </xf>
    <xf numFmtId="0" fontId="17" fillId="0" borderId="40" xfId="0" applyFont="1" applyBorder="1" applyAlignment="1">
      <alignment horizontal="right" vertical="center"/>
    </xf>
    <xf numFmtId="165" fontId="17" fillId="0" borderId="40" xfId="2" applyNumberFormat="1" applyFont="1" applyBorder="1" applyAlignment="1">
      <alignment vertical="center"/>
    </xf>
    <xf numFmtId="164" fontId="91" fillId="0" borderId="0" xfId="2" applyFont="1" applyFill="1" applyAlignment="1">
      <alignment horizontal="right" vertical="center"/>
    </xf>
    <xf numFmtId="165" fontId="91" fillId="0" borderId="0" xfId="2" applyNumberFormat="1" applyFont="1" applyFill="1" applyAlignment="1">
      <alignment vertical="center"/>
    </xf>
    <xf numFmtId="165" fontId="17" fillId="0" borderId="40" xfId="2" applyNumberFormat="1" applyFont="1" applyFill="1" applyBorder="1" applyAlignment="1">
      <alignment vertical="center"/>
    </xf>
    <xf numFmtId="43" fontId="19" fillId="0" borderId="0" xfId="0" applyNumberFormat="1" applyFont="1" applyAlignment="1">
      <alignment vertical="center"/>
    </xf>
    <xf numFmtId="164" fontId="17" fillId="4" borderId="0" xfId="2" applyNumberFormat="1" applyFont="1" applyFill="1" applyAlignment="1">
      <alignment vertical="center"/>
    </xf>
    <xf numFmtId="164" fontId="17" fillId="0" borderId="0" xfId="2" applyFont="1" applyBorder="1" applyAlignment="1">
      <alignment vertical="center"/>
    </xf>
    <xf numFmtId="43" fontId="17" fillId="0" borderId="0" xfId="0" applyNumberFormat="1" applyFont="1" applyBorder="1" applyAlignment="1">
      <alignment vertical="center"/>
    </xf>
    <xf numFmtId="0" fontId="19" fillId="13" borderId="63" xfId="0" applyFont="1" applyFill="1" applyBorder="1" applyAlignment="1">
      <alignment horizontal="center" vertical="center"/>
    </xf>
    <xf numFmtId="0" fontId="28" fillId="0" borderId="0" xfId="0" applyFont="1"/>
    <xf numFmtId="195" fontId="20" fillId="4" borderId="1" xfId="1" applyNumberFormat="1" applyFont="1" applyFill="1" applyBorder="1"/>
    <xf numFmtId="195" fontId="17" fillId="4" borderId="1" xfId="0" applyNumberFormat="1" applyFont="1" applyFill="1" applyBorder="1"/>
    <xf numFmtId="0" fontId="17" fillId="6" borderId="0" xfId="0" applyFont="1" applyFill="1" applyAlignment="1">
      <alignment vertical="center"/>
    </xf>
    <xf numFmtId="195" fontId="17" fillId="8" borderId="6" xfId="1" applyNumberFormat="1" applyFont="1" applyFill="1" applyBorder="1" applyAlignment="1">
      <alignment vertical="center"/>
    </xf>
    <xf numFmtId="10" fontId="17" fillId="0" borderId="0" xfId="0" applyNumberFormat="1" applyFont="1" applyAlignment="1">
      <alignment vertical="center"/>
    </xf>
    <xf numFmtId="9" fontId="17" fillId="0" borderId="0" xfId="0" applyNumberFormat="1" applyFont="1" applyAlignment="1">
      <alignment vertical="center"/>
    </xf>
    <xf numFmtId="195" fontId="20" fillId="0" borderId="7" xfId="1" applyNumberFormat="1" applyFont="1" applyFill="1" applyBorder="1"/>
    <xf numFmtId="165" fontId="17" fillId="0" borderId="107" xfId="2" applyNumberFormat="1" applyFont="1" applyFill="1" applyBorder="1" applyAlignment="1">
      <alignment vertical="center"/>
    </xf>
    <xf numFmtId="9" fontId="20" fillId="0" borderId="22" xfId="1" applyNumberFormat="1" applyFont="1" applyFill="1" applyBorder="1"/>
    <xf numFmtId="9" fontId="20" fillId="0" borderId="23" xfId="1" applyNumberFormat="1" applyFont="1" applyFill="1" applyBorder="1"/>
    <xf numFmtId="9" fontId="20" fillId="0" borderId="24" xfId="1" applyNumberFormat="1" applyFont="1" applyFill="1" applyBorder="1"/>
    <xf numFmtId="3" fontId="6" fillId="0" borderId="0" xfId="0" applyNumberFormat="1" applyFont="1"/>
    <xf numFmtId="3" fontId="17" fillId="0" borderId="0" xfId="6" applyNumberFormat="1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9" fillId="4" borderId="16" xfId="0" applyFont="1" applyFill="1" applyBorder="1" applyAlignment="1">
      <alignment horizontal="center" vertical="center" wrapText="1"/>
    </xf>
    <xf numFmtId="196" fontId="48" fillId="0" borderId="0" xfId="2" applyNumberFormat="1" applyFont="1" applyFill="1" applyBorder="1" applyAlignment="1">
      <alignment vertical="center"/>
    </xf>
    <xf numFmtId="196" fontId="17" fillId="0" borderId="0" xfId="2" applyNumberFormat="1" applyFont="1" applyFill="1" applyBorder="1" applyAlignment="1">
      <alignment vertical="center"/>
    </xf>
    <xf numFmtId="164" fontId="47" fillId="24" borderId="0" xfId="2" applyNumberFormat="1" applyFont="1" applyFill="1" applyAlignment="1">
      <alignment horizontal="center" vertical="center"/>
    </xf>
    <xf numFmtId="165" fontId="20" fillId="10" borderId="42" xfId="0" applyNumberFormat="1" applyFont="1" applyFill="1" applyBorder="1" applyAlignment="1">
      <alignment horizontal="center" vertical="center"/>
    </xf>
    <xf numFmtId="3" fontId="17" fillId="0" borderId="0" xfId="0" applyNumberFormat="1" applyFont="1" applyAlignment="1">
      <alignment vertical="center"/>
    </xf>
    <xf numFmtId="3" fontId="17" fillId="0" borderId="0" xfId="6" applyNumberFormat="1" applyFont="1" applyBorder="1" applyAlignment="1">
      <alignment vertical="center"/>
    </xf>
    <xf numFmtId="197" fontId="17" fillId="0" borderId="0" xfId="0" applyNumberFormat="1" applyFont="1" applyBorder="1" applyAlignment="1">
      <alignment vertical="center"/>
    </xf>
    <xf numFmtId="196" fontId="19" fillId="0" borderId="0" xfId="0" applyNumberFormat="1" applyFont="1" applyFill="1" applyBorder="1" applyAlignment="1">
      <alignment horizontal="right" vertical="center"/>
    </xf>
    <xf numFmtId="0" fontId="93" fillId="51" borderId="0" xfId="0" applyFont="1" applyFill="1" applyAlignment="1">
      <alignment vertical="center"/>
    </xf>
    <xf numFmtId="0" fontId="93" fillId="51" borderId="0" xfId="0" applyFont="1" applyFill="1" applyAlignment="1">
      <alignment horizontal="center" vertical="center"/>
    </xf>
    <xf numFmtId="0" fontId="93" fillId="0" borderId="0" xfId="0" applyFont="1" applyAlignment="1">
      <alignment vertical="center"/>
    </xf>
    <xf numFmtId="0" fontId="94" fillId="51" borderId="0" xfId="0" applyFont="1" applyFill="1" applyAlignment="1">
      <alignment vertical="center"/>
    </xf>
    <xf numFmtId="0" fontId="94" fillId="51" borderId="0" xfId="0" applyFont="1" applyFill="1" applyAlignment="1">
      <alignment horizontal="center" vertical="center"/>
    </xf>
    <xf numFmtId="0" fontId="94" fillId="51" borderId="0" xfId="0" applyFont="1" applyFill="1" applyBorder="1" applyAlignment="1">
      <alignment vertical="center"/>
    </xf>
    <xf numFmtId="0" fontId="94" fillId="51" borderId="0" xfId="0" applyFont="1" applyFill="1" applyBorder="1" applyAlignment="1">
      <alignment horizontal="center" vertical="center"/>
    </xf>
    <xf numFmtId="0" fontId="92" fillId="51" borderId="0" xfId="0" applyFont="1" applyFill="1" applyBorder="1"/>
    <xf numFmtId="165" fontId="17" fillId="0" borderId="0" xfId="0" applyNumberFormat="1" applyFont="1" applyAlignment="1">
      <alignment horizontal="center" vertical="center"/>
    </xf>
    <xf numFmtId="4" fontId="19" fillId="0" borderId="0" xfId="0" applyNumberFormat="1" applyFont="1" applyFill="1" applyBorder="1" applyAlignment="1">
      <alignment vertical="center"/>
    </xf>
    <xf numFmtId="3" fontId="17" fillId="0" borderId="0" xfId="0" applyNumberFormat="1" applyFont="1" applyFill="1" applyAlignment="1">
      <alignment vertical="center"/>
    </xf>
    <xf numFmtId="198" fontId="17" fillId="0" borderId="0" xfId="0" applyNumberFormat="1" applyFont="1" applyFill="1" applyAlignment="1">
      <alignment vertical="center"/>
    </xf>
    <xf numFmtId="10" fontId="20" fillId="24" borderId="1" xfId="1" applyNumberFormat="1" applyFont="1" applyFill="1" applyBorder="1" applyAlignment="1">
      <alignment horizontal="right" vertical="center"/>
    </xf>
    <xf numFmtId="10" fontId="17" fillId="24" borderId="1" xfId="1" applyNumberFormat="1" applyFont="1" applyFill="1" applyBorder="1" applyAlignment="1">
      <alignment horizontal="right" vertical="center"/>
    </xf>
    <xf numFmtId="10" fontId="17" fillId="0" borderId="45" xfId="1" applyNumberFormat="1" applyFont="1" applyFill="1" applyBorder="1" applyAlignment="1">
      <alignment horizontal="right" vertical="center"/>
    </xf>
    <xf numFmtId="9" fontId="20" fillId="24" borderId="7" xfId="1" applyNumberFormat="1" applyFont="1" applyFill="1" applyBorder="1" applyAlignment="1">
      <alignment horizontal="right" vertical="center"/>
    </xf>
    <xf numFmtId="9" fontId="20" fillId="24" borderId="1" xfId="1" applyNumberFormat="1" applyFont="1" applyFill="1" applyBorder="1" applyAlignment="1">
      <alignment horizontal="right" vertical="center"/>
    </xf>
    <xf numFmtId="9" fontId="10" fillId="4" borderId="19" xfId="1" applyFont="1" applyFill="1" applyBorder="1" applyAlignment="1">
      <alignment horizontal="right" vertical="center"/>
    </xf>
    <xf numFmtId="9" fontId="20" fillId="24" borderId="45" xfId="1" applyFont="1" applyFill="1" applyBorder="1" applyAlignment="1">
      <alignment horizontal="right" vertical="center"/>
    </xf>
    <xf numFmtId="9" fontId="20" fillId="24" borderId="6" xfId="1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4" fillId="20" borderId="13" xfId="0" applyFont="1" applyFill="1" applyBorder="1" applyAlignment="1">
      <alignment horizontal="right" vertical="center" wrapText="1"/>
    </xf>
    <xf numFmtId="9" fontId="6" fillId="4" borderId="44" xfId="1" applyFont="1" applyFill="1" applyBorder="1" applyAlignment="1">
      <alignment horizontal="right"/>
    </xf>
    <xf numFmtId="9" fontId="6" fillId="4" borderId="45" xfId="1" applyFont="1" applyFill="1" applyBorder="1" applyAlignment="1">
      <alignment horizontal="right"/>
    </xf>
    <xf numFmtId="9" fontId="6" fillId="4" borderId="48" xfId="1" applyNumberFormat="1" applyFont="1" applyFill="1" applyBorder="1" applyAlignment="1">
      <alignment horizontal="right"/>
    </xf>
    <xf numFmtId="9" fontId="8" fillId="21" borderId="28" xfId="1" applyFont="1" applyFill="1" applyBorder="1" applyAlignment="1">
      <alignment horizontal="right"/>
    </xf>
    <xf numFmtId="9" fontId="6" fillId="4" borderId="96" xfId="1" applyFont="1" applyFill="1" applyBorder="1" applyAlignment="1">
      <alignment horizontal="right"/>
    </xf>
    <xf numFmtId="9" fontId="6" fillId="4" borderId="0" xfId="1" applyFont="1" applyFill="1" applyBorder="1" applyAlignment="1">
      <alignment horizontal="right"/>
    </xf>
    <xf numFmtId="9" fontId="6" fillId="4" borderId="40" xfId="1" applyNumberFormat="1" applyFont="1" applyFill="1" applyBorder="1" applyAlignment="1">
      <alignment horizontal="right"/>
    </xf>
    <xf numFmtId="9" fontId="6" fillId="4" borderId="1" xfId="1" applyNumberFormat="1" applyFont="1" applyFill="1" applyBorder="1" applyAlignment="1">
      <alignment horizontal="right"/>
    </xf>
    <xf numFmtId="9" fontId="0" fillId="4" borderId="1" xfId="0" applyNumberFormat="1" applyFont="1" applyFill="1" applyBorder="1" applyAlignment="1">
      <alignment horizontal="right"/>
    </xf>
    <xf numFmtId="9" fontId="6" fillId="0" borderId="60" xfId="1" applyNumberFormat="1" applyFont="1" applyFill="1" applyBorder="1" applyAlignment="1">
      <alignment horizontal="right"/>
    </xf>
    <xf numFmtId="9" fontId="6" fillId="0" borderId="61" xfId="1" applyNumberFormat="1" applyFont="1" applyFill="1" applyBorder="1" applyAlignment="1">
      <alignment horizontal="right"/>
    </xf>
    <xf numFmtId="9" fontId="6" fillId="0" borderId="62" xfId="1" applyNumberFormat="1" applyFont="1" applyFill="1" applyBorder="1" applyAlignment="1">
      <alignment horizontal="right"/>
    </xf>
    <xf numFmtId="9" fontId="8" fillId="3" borderId="28" xfId="1" applyFont="1" applyFill="1" applyBorder="1" applyAlignment="1">
      <alignment horizontal="right"/>
    </xf>
    <xf numFmtId="9" fontId="6" fillId="0" borderId="7" xfId="1" applyFont="1" applyFill="1" applyBorder="1" applyAlignment="1">
      <alignment horizontal="right"/>
    </xf>
    <xf numFmtId="9" fontId="6" fillId="0" borderId="1" xfId="1" applyFont="1" applyFill="1" applyBorder="1" applyAlignment="1">
      <alignment horizontal="right"/>
    </xf>
    <xf numFmtId="9" fontId="6" fillId="0" borderId="6" xfId="1" applyNumberFormat="1" applyFont="1" applyFill="1" applyBorder="1" applyAlignment="1">
      <alignment horizontal="right"/>
    </xf>
    <xf numFmtId="9" fontId="6" fillId="0" borderId="1" xfId="1" applyNumberFormat="1" applyFont="1" applyFill="1" applyBorder="1" applyAlignment="1">
      <alignment horizontal="right"/>
    </xf>
    <xf numFmtId="9" fontId="0" fillId="0" borderId="1" xfId="0" applyNumberFormat="1" applyFont="1" applyFill="1" applyBorder="1" applyAlignment="1">
      <alignment horizontal="right"/>
    </xf>
    <xf numFmtId="9" fontId="8" fillId="3" borderId="48" xfId="1" applyFont="1" applyFill="1" applyBorder="1" applyAlignment="1">
      <alignment horizontal="right"/>
    </xf>
    <xf numFmtId="9" fontId="8" fillId="21" borderId="48" xfId="1" applyFont="1" applyFill="1" applyBorder="1" applyAlignment="1">
      <alignment horizontal="right"/>
    </xf>
    <xf numFmtId="9" fontId="6" fillId="0" borderId="7" xfId="1" applyNumberFormat="1" applyFont="1" applyFill="1" applyBorder="1" applyAlignment="1">
      <alignment horizontal="right"/>
    </xf>
    <xf numFmtId="9" fontId="8" fillId="20" borderId="13" xfId="1" applyFont="1" applyFill="1" applyBorder="1" applyAlignment="1">
      <alignment horizontal="right"/>
    </xf>
    <xf numFmtId="0" fontId="40" fillId="22" borderId="35" xfId="0" applyFont="1" applyFill="1" applyBorder="1" applyAlignment="1">
      <alignment horizontal="right"/>
    </xf>
    <xf numFmtId="0" fontId="41" fillId="22" borderId="3" xfId="0" applyFont="1" applyFill="1" applyBorder="1" applyAlignment="1">
      <alignment horizontal="right"/>
    </xf>
    <xf numFmtId="0" fontId="33" fillId="22" borderId="3" xfId="0" applyFont="1" applyFill="1" applyBorder="1" applyAlignment="1">
      <alignment horizontal="right"/>
    </xf>
    <xf numFmtId="0" fontId="39" fillId="22" borderId="36" xfId="0" applyFont="1" applyFill="1" applyBorder="1" applyAlignment="1">
      <alignment horizontal="right"/>
    </xf>
    <xf numFmtId="0" fontId="4" fillId="3" borderId="13" xfId="0" applyFont="1" applyFill="1" applyBorder="1" applyAlignment="1">
      <alignment horizontal="right" vertical="center" wrapText="1"/>
    </xf>
    <xf numFmtId="10" fontId="6" fillId="0" borderId="1" xfId="1" applyNumberFormat="1" applyFont="1" applyFill="1" applyBorder="1" applyAlignment="1">
      <alignment horizontal="right"/>
    </xf>
    <xf numFmtId="10" fontId="6" fillId="0" borderId="2" xfId="1" applyNumberFormat="1" applyFont="1" applyFill="1" applyBorder="1" applyAlignment="1">
      <alignment horizontal="right"/>
    </xf>
    <xf numFmtId="9" fontId="6" fillId="0" borderId="2" xfId="1" applyNumberFormat="1" applyFont="1" applyFill="1" applyBorder="1" applyAlignment="1">
      <alignment horizontal="right"/>
    </xf>
    <xf numFmtId="10" fontId="3" fillId="3" borderId="28" xfId="1" applyNumberFormat="1" applyFont="1" applyFill="1" applyBorder="1" applyAlignment="1">
      <alignment horizontal="right"/>
    </xf>
    <xf numFmtId="9" fontId="20" fillId="8" borderId="2" xfId="1" applyNumberFormat="1" applyFont="1" applyFill="1" applyBorder="1" applyAlignment="1">
      <alignment horizontal="right" vertical="center"/>
    </xf>
    <xf numFmtId="9" fontId="3" fillId="3" borderId="28" xfId="1" applyFont="1" applyFill="1" applyBorder="1" applyAlignment="1">
      <alignment horizontal="right"/>
    </xf>
    <xf numFmtId="9" fontId="8" fillId="3" borderId="13" xfId="1" applyFont="1" applyFill="1" applyBorder="1" applyAlignment="1">
      <alignment horizontal="right"/>
    </xf>
    <xf numFmtId="0" fontId="17" fillId="0" borderId="0" xfId="0" applyFont="1" applyAlignment="1">
      <alignment horizontal="right" vertical="center"/>
    </xf>
    <xf numFmtId="3" fontId="17" fillId="0" borderId="0" xfId="0" applyNumberFormat="1" applyFont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44" fontId="17" fillId="0" borderId="0" xfId="0" applyNumberFormat="1" applyFont="1" applyBorder="1" applyAlignment="1">
      <alignment vertical="center"/>
    </xf>
    <xf numFmtId="4" fontId="94" fillId="0" borderId="0" xfId="0" applyNumberFormat="1" applyFont="1" applyBorder="1" applyAlignment="1">
      <alignment horizontal="right" vertical="center"/>
    </xf>
    <xf numFmtId="4" fontId="17" fillId="0" borderId="0" xfId="0" applyNumberFormat="1" applyFont="1" applyBorder="1" applyAlignment="1">
      <alignment vertical="center"/>
    </xf>
    <xf numFmtId="0" fontId="94" fillId="0" borderId="0" xfId="0" applyFont="1" applyBorder="1" applyAlignment="1">
      <alignment vertical="center"/>
    </xf>
    <xf numFmtId="0" fontId="92" fillId="0" borderId="0" xfId="0" applyFont="1" applyBorder="1"/>
    <xf numFmtId="165" fontId="17" fillId="0" borderId="0" xfId="0" applyNumberFormat="1" applyFont="1" applyBorder="1" applyAlignment="1">
      <alignment vertical="center"/>
    </xf>
    <xf numFmtId="0" fontId="94" fillId="0" borderId="0" xfId="0" applyFont="1" applyAlignment="1">
      <alignment horizontal="center" vertical="center"/>
    </xf>
    <xf numFmtId="0" fontId="94" fillId="0" borderId="0" xfId="0" applyFont="1" applyBorder="1" applyAlignment="1">
      <alignment horizontal="center" vertical="center"/>
    </xf>
    <xf numFmtId="2" fontId="94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96" fontId="17" fillId="0" borderId="0" xfId="0" applyNumberFormat="1" applyFont="1" applyBorder="1" applyAlignment="1">
      <alignment horizontal="center" vertical="center"/>
    </xf>
    <xf numFmtId="165" fontId="37" fillId="25" borderId="14" xfId="2" applyNumberFormat="1" applyFont="1" applyFill="1" applyBorder="1" applyAlignment="1">
      <alignment vertical="center"/>
    </xf>
    <xf numFmtId="165" fontId="17" fillId="6" borderId="26" xfId="2" applyNumberFormat="1" applyFont="1" applyFill="1" applyBorder="1"/>
    <xf numFmtId="165" fontId="17" fillId="6" borderId="0" xfId="2" applyNumberFormat="1" applyFont="1" applyFill="1" applyBorder="1"/>
    <xf numFmtId="165" fontId="19" fillId="0" borderId="26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25" xfId="0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textRotation="90"/>
    </xf>
    <xf numFmtId="0" fontId="19" fillId="0" borderId="23" xfId="0" applyFont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19" fillId="0" borderId="23" xfId="0" applyFont="1" applyBorder="1" applyAlignment="1">
      <alignment horizontal="center" vertical="center" textRotation="90"/>
    </xf>
    <xf numFmtId="0" fontId="19" fillId="0" borderId="24" xfId="0" applyFont="1" applyBorder="1" applyAlignment="1">
      <alignment horizontal="center" vertical="center" textRotation="90"/>
    </xf>
    <xf numFmtId="0" fontId="26" fillId="3" borderId="5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 textRotation="90"/>
    </xf>
    <xf numFmtId="0" fontId="3" fillId="0" borderId="23" xfId="0" applyFont="1" applyBorder="1" applyAlignment="1">
      <alignment horizontal="center" vertical="center" textRotation="90"/>
    </xf>
    <xf numFmtId="0" fontId="3" fillId="0" borderId="24" xfId="0" applyFont="1" applyBorder="1" applyAlignment="1">
      <alignment horizontal="center" vertical="center" textRotation="90"/>
    </xf>
    <xf numFmtId="0" fontId="19" fillId="0" borderId="3" xfId="0" applyFont="1" applyBorder="1" applyAlignment="1">
      <alignment horizontal="center" vertical="center" textRotation="90"/>
    </xf>
    <xf numFmtId="0" fontId="19" fillId="0" borderId="15" xfId="0" applyFont="1" applyFill="1" applyBorder="1" applyAlignment="1">
      <alignment horizontal="center" vertical="center" wrapText="1"/>
    </xf>
    <xf numFmtId="0" fontId="19" fillId="0" borderId="39" xfId="0" applyFont="1" applyFill="1" applyBorder="1" applyAlignment="1">
      <alignment horizontal="center" vertical="center" wrapText="1"/>
    </xf>
    <xf numFmtId="0" fontId="17" fillId="0" borderId="39" xfId="0" applyFont="1" applyFill="1" applyBorder="1" applyAlignment="1">
      <alignment vertical="center"/>
    </xf>
    <xf numFmtId="0" fontId="19" fillId="4" borderId="43" xfId="0" applyFont="1" applyFill="1" applyBorder="1" applyAlignment="1">
      <alignment horizontal="center" vertical="center"/>
    </xf>
    <xf numFmtId="0" fontId="17" fillId="4" borderId="41" xfId="0" applyFont="1" applyFill="1" applyBorder="1" applyAlignment="1">
      <alignment vertical="center"/>
    </xf>
    <xf numFmtId="0" fontId="19" fillId="4" borderId="42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19" fillId="4" borderId="40" xfId="0" applyFont="1" applyFill="1" applyBorder="1" applyAlignment="1">
      <alignment horizontal="center" vertical="center" wrapText="1"/>
    </xf>
    <xf numFmtId="0" fontId="19" fillId="4" borderId="16" xfId="0" applyFont="1" applyFill="1" applyBorder="1" applyAlignment="1">
      <alignment horizontal="center" vertical="center" wrapText="1"/>
    </xf>
    <xf numFmtId="0" fontId="19" fillId="4" borderId="59" xfId="0" applyFont="1" applyFill="1" applyBorder="1" applyAlignment="1">
      <alignment horizontal="center" vertical="center" wrapText="1"/>
    </xf>
    <xf numFmtId="0" fontId="19" fillId="4" borderId="27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vertical="center"/>
    </xf>
    <xf numFmtId="0" fontId="19" fillId="0" borderId="35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vertical="center"/>
    </xf>
    <xf numFmtId="0" fontId="17" fillId="4" borderId="98" xfId="0" applyFont="1" applyFill="1" applyBorder="1" applyAlignment="1">
      <alignment vertical="center"/>
    </xf>
    <xf numFmtId="0" fontId="12" fillId="0" borderId="25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37" fillId="3" borderId="22" xfId="0" applyFont="1" applyFill="1" applyBorder="1" applyAlignment="1">
      <alignment horizontal="center" vertical="center" textRotation="90"/>
    </xf>
    <xf numFmtId="0" fontId="37" fillId="3" borderId="23" xfId="0" applyFont="1" applyFill="1" applyBorder="1" applyAlignment="1">
      <alignment vertical="center"/>
    </xf>
    <xf numFmtId="0" fontId="37" fillId="3" borderId="24" xfId="0" applyFont="1" applyFill="1" applyBorder="1" applyAlignment="1">
      <alignment vertical="center"/>
    </xf>
    <xf numFmtId="0" fontId="37" fillId="3" borderId="23" xfId="0" applyFont="1" applyFill="1" applyBorder="1" applyAlignment="1">
      <alignment horizontal="center" vertical="center" textRotation="90"/>
    </xf>
    <xf numFmtId="0" fontId="37" fillId="3" borderId="24" xfId="0" applyFont="1" applyFill="1" applyBorder="1" applyAlignment="1">
      <alignment horizontal="center" vertical="center" textRotation="90"/>
    </xf>
    <xf numFmtId="3" fontId="19" fillId="0" borderId="0" xfId="0" applyNumberFormat="1" applyFont="1" applyAlignment="1">
      <alignment vertical="center"/>
    </xf>
    <xf numFmtId="3" fontId="19" fillId="0" borderId="0" xfId="0" applyNumberFormat="1" applyFont="1" applyBorder="1" applyAlignment="1">
      <alignment vertical="center"/>
    </xf>
    <xf numFmtId="3" fontId="19" fillId="0" borderId="0" xfId="0" applyNumberFormat="1" applyFont="1" applyFill="1" applyBorder="1" applyAlignment="1">
      <alignment vertical="center"/>
    </xf>
    <xf numFmtId="3" fontId="17" fillId="0" borderId="0" xfId="0" applyNumberFormat="1" applyFont="1" applyFill="1" applyBorder="1" applyAlignment="1">
      <alignment vertical="center"/>
    </xf>
    <xf numFmtId="0" fontId="94" fillId="0" borderId="0" xfId="0" applyFont="1" applyBorder="1" applyAlignment="1">
      <alignment vertical="center"/>
    </xf>
    <xf numFmtId="168" fontId="10" fillId="0" borderId="0" xfId="3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16" borderId="0" xfId="0" applyFont="1" applyFill="1" applyBorder="1" applyAlignment="1">
      <alignment horizontal="center" vertical="center"/>
    </xf>
    <xf numFmtId="3" fontId="17" fillId="0" borderId="0" xfId="0" applyNumberFormat="1" applyFont="1" applyAlignment="1">
      <alignment vertical="center"/>
    </xf>
    <xf numFmtId="3" fontId="17" fillId="0" borderId="0" xfId="0" applyNumberFormat="1" applyFont="1" applyBorder="1" applyAlignment="1">
      <alignment vertical="center"/>
    </xf>
    <xf numFmtId="0" fontId="19" fillId="0" borderId="67" xfId="0" applyFont="1" applyFill="1" applyBorder="1" applyAlignment="1">
      <alignment horizontal="center" vertical="center"/>
    </xf>
    <xf numFmtId="0" fontId="19" fillId="0" borderId="68" xfId="0" applyFont="1" applyFill="1" applyBorder="1" applyAlignment="1">
      <alignment horizontal="center" vertical="center"/>
    </xf>
    <xf numFmtId="0" fontId="19" fillId="0" borderId="71" xfId="0" applyFont="1" applyFill="1" applyBorder="1" applyAlignment="1">
      <alignment horizontal="center" vertical="center"/>
    </xf>
    <xf numFmtId="0" fontId="19" fillId="0" borderId="108" xfId="0" applyFont="1" applyFill="1" applyBorder="1" applyAlignment="1">
      <alignment horizontal="center" vertical="center"/>
    </xf>
    <xf numFmtId="0" fontId="19" fillId="0" borderId="73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0" borderId="39" xfId="0" applyFont="1" applyFill="1" applyBorder="1" applyAlignment="1">
      <alignment horizontal="center" vertical="center" wrapText="1"/>
    </xf>
    <xf numFmtId="0" fontId="0" fillId="0" borderId="39" xfId="0" applyFill="1" applyBorder="1"/>
    <xf numFmtId="0" fontId="5" fillId="3" borderId="27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59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textRotation="90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5" fillId="3" borderId="36" xfId="0" applyFont="1" applyFill="1" applyBorder="1" applyAlignment="1">
      <alignment horizontal="center" vertical="center" textRotation="90" wrapText="1"/>
    </xf>
    <xf numFmtId="0" fontId="11" fillId="3" borderId="22" xfId="0" applyFont="1" applyFill="1" applyBorder="1" applyAlignment="1">
      <alignment horizontal="center" vertical="center" textRotation="90" wrapText="1"/>
    </xf>
    <xf numFmtId="0" fontId="5" fillId="3" borderId="23" xfId="0" applyFont="1" applyFill="1" applyBorder="1" applyAlignment="1">
      <alignment horizontal="center" vertical="center" textRotation="90" wrapText="1"/>
    </xf>
    <xf numFmtId="0" fontId="11" fillId="3" borderId="23" xfId="0" applyFont="1" applyFill="1" applyBorder="1" applyAlignment="1">
      <alignment horizontal="center" vertical="center" textRotation="90" wrapText="1"/>
    </xf>
    <xf numFmtId="0" fontId="5" fillId="3" borderId="27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21" borderId="22" xfId="0" applyFont="1" applyFill="1" applyBorder="1" applyAlignment="1">
      <alignment horizontal="center" vertical="center" textRotation="90"/>
    </xf>
    <xf numFmtId="0" fontId="5" fillId="21" borderId="23" xfId="0" applyFont="1" applyFill="1" applyBorder="1" applyAlignment="1">
      <alignment horizontal="center" vertical="center" textRotation="90"/>
    </xf>
    <xf numFmtId="0" fontId="5" fillId="21" borderId="24" xfId="0" applyFont="1" applyFill="1" applyBorder="1" applyAlignment="1">
      <alignment horizontal="center" vertical="center" textRotation="90"/>
    </xf>
    <xf numFmtId="0" fontId="5" fillId="21" borderId="27" xfId="0" applyFont="1" applyFill="1" applyBorder="1" applyAlignment="1">
      <alignment horizontal="center" vertical="center" wrapText="1"/>
    </xf>
    <xf numFmtId="0" fontId="5" fillId="21" borderId="12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5" fillId="21" borderId="27" xfId="0" applyFont="1" applyFill="1" applyBorder="1" applyAlignment="1">
      <alignment horizontal="center"/>
    </xf>
    <xf numFmtId="0" fontId="5" fillId="21" borderId="30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textRotation="90"/>
    </xf>
    <xf numFmtId="0" fontId="5" fillId="3" borderId="23" xfId="0" applyFont="1" applyFill="1" applyBorder="1" applyAlignment="1">
      <alignment horizontal="center" vertical="center" textRotation="90"/>
    </xf>
    <xf numFmtId="0" fontId="5" fillId="3" borderId="24" xfId="0" applyFont="1" applyFill="1" applyBorder="1" applyAlignment="1">
      <alignment horizontal="center" vertical="center" textRotation="90"/>
    </xf>
    <xf numFmtId="0" fontId="13" fillId="4" borderId="0" xfId="0" applyFont="1" applyFill="1" applyBorder="1" applyAlignment="1">
      <alignment horizontal="center" vertical="center" wrapText="1"/>
    </xf>
    <xf numFmtId="0" fontId="5" fillId="20" borderId="22" xfId="0" applyFont="1" applyFill="1" applyBorder="1" applyAlignment="1">
      <alignment horizontal="center" vertical="center" textRotation="90"/>
    </xf>
    <xf numFmtId="0" fontId="5" fillId="20" borderId="23" xfId="0" applyFont="1" applyFill="1" applyBorder="1" applyAlignment="1">
      <alignment horizontal="center" vertical="center" textRotation="90"/>
    </xf>
    <xf numFmtId="0" fontId="5" fillId="20" borderId="24" xfId="0" applyFont="1" applyFill="1" applyBorder="1" applyAlignment="1">
      <alignment horizontal="center" vertical="center" textRotation="90"/>
    </xf>
    <xf numFmtId="0" fontId="5" fillId="4" borderId="15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0" fillId="4" borderId="39" xfId="0" applyFill="1" applyBorder="1"/>
    <xf numFmtId="0" fontId="0" fillId="21" borderId="12" xfId="0" applyFill="1" applyBorder="1"/>
    <xf numFmtId="0" fontId="5" fillId="4" borderId="17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59" xfId="0" applyFont="1" applyFill="1" applyBorder="1" applyAlignment="1">
      <alignment horizontal="center" vertical="center" wrapText="1"/>
    </xf>
    <xf numFmtId="0" fontId="36" fillId="21" borderId="27" xfId="0" applyFont="1" applyFill="1" applyBorder="1" applyAlignment="1">
      <alignment horizontal="center" vertical="center" wrapText="1"/>
    </xf>
    <xf numFmtId="0" fontId="36" fillId="21" borderId="12" xfId="0" applyFont="1" applyFill="1" applyBorder="1" applyAlignment="1">
      <alignment horizontal="center" vertical="center" wrapText="1"/>
    </xf>
    <xf numFmtId="0" fontId="49" fillId="26" borderId="0" xfId="0" applyFont="1" applyFill="1" applyAlignment="1">
      <alignment horizontal="center"/>
    </xf>
    <xf numFmtId="0" fontId="19" fillId="0" borderId="27" xfId="0" applyFont="1" applyFill="1" applyBorder="1" applyAlignment="1">
      <alignment horizontal="center"/>
    </xf>
    <xf numFmtId="0" fontId="19" fillId="0" borderId="30" xfId="0" applyFont="1" applyFill="1" applyBorder="1" applyAlignment="1">
      <alignment horizontal="center"/>
    </xf>
    <xf numFmtId="0" fontId="19" fillId="0" borderId="17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0" fontId="19" fillId="0" borderId="59" xfId="0" applyFont="1" applyFill="1" applyBorder="1" applyAlignment="1">
      <alignment horizontal="center" vertical="center" wrapText="1"/>
    </xf>
    <xf numFmtId="0" fontId="19" fillId="22" borderId="22" xfId="0" applyFont="1" applyFill="1" applyBorder="1" applyAlignment="1">
      <alignment horizontal="center" vertical="center" textRotation="90"/>
    </xf>
    <xf numFmtId="0" fontId="19" fillId="22" borderId="23" xfId="0" applyFont="1" applyFill="1" applyBorder="1" applyAlignment="1">
      <alignment horizontal="center" vertical="center" textRotation="90"/>
    </xf>
    <xf numFmtId="0" fontId="19" fillId="22" borderId="24" xfId="0" applyFont="1" applyFill="1" applyBorder="1" applyAlignment="1">
      <alignment horizontal="center" vertical="center" textRotation="90"/>
    </xf>
    <xf numFmtId="0" fontId="19" fillId="2" borderId="15" xfId="0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center" vertical="center" wrapText="1"/>
    </xf>
    <xf numFmtId="0" fontId="17" fillId="0" borderId="39" xfId="0" applyFont="1" applyBorder="1"/>
    <xf numFmtId="0" fontId="19" fillId="2" borderId="27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19" fillId="2" borderId="59" xfId="0" applyFont="1" applyFill="1" applyBorder="1" applyAlignment="1">
      <alignment horizontal="center" vertical="center" wrapText="1"/>
    </xf>
    <xf numFmtId="0" fontId="19" fillId="5" borderId="27" xfId="0" applyFont="1" applyFill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26" fillId="4" borderId="25" xfId="0" applyFont="1" applyFill="1" applyBorder="1" applyAlignment="1">
      <alignment horizontal="center" vertical="center" wrapText="1"/>
    </xf>
    <xf numFmtId="0" fontId="19" fillId="5" borderId="15" xfId="0" applyFont="1" applyFill="1" applyBorder="1" applyAlignment="1">
      <alignment horizontal="center" vertical="center" wrapText="1"/>
    </xf>
    <xf numFmtId="0" fontId="19" fillId="5" borderId="39" xfId="0" applyFont="1" applyFill="1" applyBorder="1" applyAlignment="1">
      <alignment horizontal="center" vertical="center" wrapText="1"/>
    </xf>
    <xf numFmtId="0" fontId="19" fillId="5" borderId="27" xfId="0" applyFont="1" applyFill="1" applyBorder="1" applyAlignment="1">
      <alignment horizontal="center"/>
    </xf>
    <xf numFmtId="0" fontId="17" fillId="0" borderId="12" xfId="0" applyFont="1" applyBorder="1"/>
    <xf numFmtId="0" fontId="19" fillId="5" borderId="17" xfId="0" applyFont="1" applyFill="1" applyBorder="1" applyAlignment="1">
      <alignment horizontal="center" vertical="center" wrapText="1"/>
    </xf>
    <xf numFmtId="0" fontId="19" fillId="5" borderId="16" xfId="0" applyFont="1" applyFill="1" applyBorder="1" applyAlignment="1">
      <alignment horizontal="center" vertical="center" wrapText="1"/>
    </xf>
    <xf numFmtId="0" fontId="19" fillId="5" borderId="59" xfId="0" applyFont="1" applyFill="1" applyBorder="1" applyAlignment="1">
      <alignment horizontal="center" vertical="center" wrapText="1"/>
    </xf>
    <xf numFmtId="0" fontId="19" fillId="21" borderId="35" xfId="0" applyFont="1" applyFill="1" applyBorder="1" applyAlignment="1">
      <alignment horizontal="center" vertical="center" textRotation="90" wrapText="1"/>
    </xf>
    <xf numFmtId="0" fontId="19" fillId="21" borderId="3" xfId="0" applyFont="1" applyFill="1" applyBorder="1" applyAlignment="1">
      <alignment horizontal="center" vertical="center" textRotation="90" wrapText="1"/>
    </xf>
    <xf numFmtId="0" fontId="19" fillId="21" borderId="36" xfId="0" applyFont="1" applyFill="1" applyBorder="1" applyAlignment="1">
      <alignment horizontal="center" vertical="center" textRotation="90" wrapText="1"/>
    </xf>
    <xf numFmtId="0" fontId="19" fillId="21" borderId="22" xfId="0" applyFont="1" applyFill="1" applyBorder="1" applyAlignment="1">
      <alignment horizontal="center" vertical="center" textRotation="90" wrapText="1"/>
    </xf>
    <xf numFmtId="0" fontId="19" fillId="21" borderId="23" xfId="0" applyFont="1" applyFill="1" applyBorder="1" applyAlignment="1">
      <alignment horizontal="center" vertical="center" textRotation="90" wrapText="1"/>
    </xf>
    <xf numFmtId="1" fontId="10" fillId="22" borderId="27" xfId="0" applyNumberFormat="1" applyFont="1" applyFill="1" applyBorder="1" applyAlignment="1">
      <alignment vertical="center"/>
    </xf>
    <xf numFmtId="1" fontId="10" fillId="22" borderId="30" xfId="0" applyNumberFormat="1" applyFont="1" applyFill="1" applyBorder="1" applyAlignment="1">
      <alignment vertical="center"/>
    </xf>
    <xf numFmtId="1" fontId="10" fillId="22" borderId="12" xfId="0" applyNumberFormat="1" applyFont="1" applyFill="1" applyBorder="1" applyAlignment="1">
      <alignment vertical="center"/>
    </xf>
    <xf numFmtId="1" fontId="10" fillId="22" borderId="29" xfId="0" applyNumberFormat="1" applyFont="1" applyFill="1" applyBorder="1" applyAlignment="1">
      <alignment vertical="center"/>
    </xf>
    <xf numFmtId="0" fontId="19" fillId="3" borderId="27" xfId="0" applyFont="1" applyFill="1" applyBorder="1" applyAlignment="1">
      <alignment horizontal="center" vertical="center"/>
    </xf>
    <xf numFmtId="0" fontId="19" fillId="3" borderId="30" xfId="0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center" vertical="center" wrapText="1"/>
    </xf>
    <xf numFmtId="0" fontId="19" fillId="3" borderId="39" xfId="0" applyFont="1" applyFill="1" applyBorder="1" applyAlignment="1">
      <alignment horizontal="center" vertical="center" wrapText="1"/>
    </xf>
    <xf numFmtId="0" fontId="19" fillId="3" borderId="17" xfId="0" applyFont="1" applyFill="1" applyBorder="1" applyAlignment="1">
      <alignment horizontal="center" vertical="center" wrapText="1"/>
    </xf>
    <xf numFmtId="0" fontId="19" fillId="3" borderId="16" xfId="0" applyFont="1" applyFill="1" applyBorder="1" applyAlignment="1">
      <alignment horizontal="center" vertical="center" wrapText="1"/>
    </xf>
    <xf numFmtId="0" fontId="19" fillId="3" borderId="59" xfId="0" applyFont="1" applyFill="1" applyBorder="1" applyAlignment="1">
      <alignment horizontal="center" vertical="center" wrapText="1"/>
    </xf>
    <xf numFmtId="0" fontId="17" fillId="0" borderId="39" xfId="0" applyFont="1" applyBorder="1" applyAlignment="1">
      <alignment vertical="center"/>
    </xf>
    <xf numFmtId="0" fontId="19" fillId="4" borderId="15" xfId="0" applyFont="1" applyFill="1" applyBorder="1" applyAlignment="1">
      <alignment horizontal="center" vertical="center" wrapText="1"/>
    </xf>
    <xf numFmtId="0" fontId="19" fillId="4" borderId="39" xfId="0" applyFont="1" applyFill="1" applyBorder="1" applyAlignment="1">
      <alignment horizontal="center" vertical="center" wrapText="1"/>
    </xf>
    <xf numFmtId="0" fontId="17" fillId="4" borderId="39" xfId="0" applyFont="1" applyFill="1" applyBorder="1" applyAlignment="1">
      <alignment vertical="center"/>
    </xf>
    <xf numFmtId="0" fontId="37" fillId="4" borderId="27" xfId="0" applyFont="1" applyFill="1" applyBorder="1" applyAlignment="1">
      <alignment horizontal="center" vertical="center"/>
    </xf>
    <xf numFmtId="0" fontId="38" fillId="4" borderId="12" xfId="0" applyFont="1" applyFill="1" applyBorder="1" applyAlignment="1">
      <alignment vertical="center"/>
    </xf>
    <xf numFmtId="0" fontId="19" fillId="4" borderId="17" xfId="0" applyFont="1" applyFill="1" applyBorder="1" applyAlignment="1">
      <alignment horizontal="center" vertical="center" wrapText="1"/>
    </xf>
    <xf numFmtId="0" fontId="19" fillId="22" borderId="35" xfId="0" applyFont="1" applyFill="1" applyBorder="1" applyAlignment="1">
      <alignment horizontal="center" vertical="center" textRotation="90" wrapText="1"/>
    </xf>
    <xf numFmtId="0" fontId="19" fillId="22" borderId="3" xfId="0" applyFont="1" applyFill="1" applyBorder="1" applyAlignment="1">
      <alignment horizontal="center" vertical="center" textRotation="90" wrapText="1"/>
    </xf>
    <xf numFmtId="0" fontId="19" fillId="22" borderId="36" xfId="0" applyFont="1" applyFill="1" applyBorder="1" applyAlignment="1">
      <alignment horizontal="center" vertical="center" textRotation="90" wrapText="1"/>
    </xf>
    <xf numFmtId="0" fontId="19" fillId="22" borderId="22" xfId="0" applyFont="1" applyFill="1" applyBorder="1" applyAlignment="1">
      <alignment horizontal="center" vertical="center" textRotation="90" wrapText="1"/>
    </xf>
    <xf numFmtId="0" fontId="19" fillId="22" borderId="23" xfId="0" applyFont="1" applyFill="1" applyBorder="1" applyAlignment="1">
      <alignment horizontal="center" vertical="center" textRotation="90" wrapText="1"/>
    </xf>
    <xf numFmtId="0" fontId="19" fillId="0" borderId="22" xfId="0" applyFont="1" applyBorder="1" applyAlignment="1">
      <alignment horizontal="center" vertical="center" textRotation="90" wrapText="1"/>
    </xf>
    <xf numFmtId="0" fontId="19" fillId="0" borderId="23" xfId="0" applyFont="1" applyBorder="1" applyAlignment="1">
      <alignment horizontal="center" vertical="center" textRotation="90" wrapText="1"/>
    </xf>
    <xf numFmtId="1" fontId="10" fillId="3" borderId="27" xfId="0" applyNumberFormat="1" applyFont="1" applyFill="1" applyBorder="1" applyAlignment="1"/>
    <xf numFmtId="1" fontId="10" fillId="3" borderId="30" xfId="0" applyNumberFormat="1" applyFont="1" applyFill="1" applyBorder="1" applyAlignment="1"/>
    <xf numFmtId="1" fontId="10" fillId="3" borderId="12" xfId="0" applyNumberFormat="1" applyFont="1" applyFill="1" applyBorder="1" applyAlignment="1"/>
    <xf numFmtId="1" fontId="10" fillId="6" borderId="27" xfId="0" applyNumberFormat="1" applyFont="1" applyFill="1" applyBorder="1" applyAlignment="1"/>
    <xf numFmtId="1" fontId="10" fillId="6" borderId="30" xfId="0" applyNumberFormat="1" applyFont="1" applyFill="1" applyBorder="1" applyAlignment="1"/>
    <xf numFmtId="1" fontId="10" fillId="6" borderId="29" xfId="0" applyNumberFormat="1" applyFont="1" applyFill="1" applyBorder="1" applyAlignment="1"/>
    <xf numFmtId="0" fontId="19" fillId="0" borderId="22" xfId="0" applyFont="1" applyFill="1" applyBorder="1" applyAlignment="1">
      <alignment horizontal="center" vertical="center" textRotation="90"/>
    </xf>
    <xf numFmtId="0" fontId="19" fillId="0" borderId="23" xfId="0" applyFont="1" applyFill="1" applyBorder="1" applyAlignment="1">
      <alignment horizontal="center" vertical="center" textRotation="90"/>
    </xf>
    <xf numFmtId="0" fontId="19" fillId="0" borderId="24" xfId="0" applyFont="1" applyFill="1" applyBorder="1" applyAlignment="1">
      <alignment horizontal="center" vertical="center" textRotation="90"/>
    </xf>
    <xf numFmtId="0" fontId="17" fillId="0" borderId="39" xfId="0" applyFont="1" applyFill="1" applyBorder="1"/>
    <xf numFmtId="0" fontId="19" fillId="0" borderId="27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vertical="center"/>
    </xf>
    <xf numFmtId="0" fontId="10" fillId="4" borderId="3" xfId="0" applyFont="1" applyFill="1" applyBorder="1" applyAlignment="1">
      <alignment horizontal="center" wrapText="1"/>
    </xf>
    <xf numFmtId="0" fontId="10" fillId="4" borderId="0" xfId="0" applyFont="1" applyFill="1" applyBorder="1" applyAlignment="1">
      <alignment horizontal="center" wrapText="1"/>
    </xf>
    <xf numFmtId="0" fontId="19" fillId="3" borderId="22" xfId="0" applyFont="1" applyFill="1" applyBorder="1" applyAlignment="1">
      <alignment horizontal="center" vertical="center" textRotation="90"/>
    </xf>
    <xf numFmtId="0" fontId="19" fillId="3" borderId="23" xfId="0" applyFont="1" applyFill="1" applyBorder="1" applyAlignment="1">
      <alignment horizontal="center" vertical="center" textRotation="90"/>
    </xf>
    <xf numFmtId="0" fontId="19" fillId="3" borderId="24" xfId="0" applyFont="1" applyFill="1" applyBorder="1" applyAlignment="1">
      <alignment horizontal="center" vertical="center" textRotation="90"/>
    </xf>
    <xf numFmtId="0" fontId="19" fillId="8" borderId="35" xfId="0" applyFont="1" applyFill="1" applyBorder="1" applyAlignment="1">
      <alignment horizontal="center" vertical="center" textRotation="90" wrapText="1"/>
    </xf>
    <xf numFmtId="0" fontId="19" fillId="8" borderId="3" xfId="0" applyFont="1" applyFill="1" applyBorder="1" applyAlignment="1">
      <alignment horizontal="center" vertical="center" textRotation="90" wrapText="1"/>
    </xf>
    <xf numFmtId="0" fontId="19" fillId="8" borderId="36" xfId="0" applyFont="1" applyFill="1" applyBorder="1" applyAlignment="1">
      <alignment horizontal="center" vertical="center" textRotation="90" wrapText="1"/>
    </xf>
    <xf numFmtId="1" fontId="10" fillId="5" borderId="27" xfId="0" applyNumberFormat="1" applyFont="1" applyFill="1" applyBorder="1" applyAlignment="1"/>
    <xf numFmtId="1" fontId="10" fillId="5" borderId="30" xfId="0" applyNumberFormat="1" applyFont="1" applyFill="1" applyBorder="1" applyAlignment="1"/>
    <xf numFmtId="1" fontId="10" fillId="5" borderId="12" xfId="0" applyNumberFormat="1" applyFont="1" applyFill="1" applyBorder="1" applyAlignment="1"/>
    <xf numFmtId="0" fontId="19" fillId="22" borderId="27" xfId="0" applyFont="1" applyFill="1" applyBorder="1" applyAlignment="1">
      <alignment horizontal="center" vertical="center"/>
    </xf>
    <xf numFmtId="0" fontId="17" fillId="22" borderId="12" xfId="0" applyFont="1" applyFill="1" applyBorder="1" applyAlignment="1">
      <alignment vertical="center"/>
    </xf>
    <xf numFmtId="0" fontId="19" fillId="5" borderId="22" xfId="0" applyFont="1" applyFill="1" applyBorder="1" applyAlignment="1">
      <alignment horizontal="center" vertical="center" textRotation="90"/>
    </xf>
    <xf numFmtId="0" fontId="19" fillId="5" borderId="23" xfId="0" applyFont="1" applyFill="1" applyBorder="1" applyAlignment="1">
      <alignment horizontal="center" vertical="center" textRotation="90"/>
    </xf>
    <xf numFmtId="0" fontId="19" fillId="5" borderId="24" xfId="0" applyFont="1" applyFill="1" applyBorder="1" applyAlignment="1">
      <alignment horizontal="center" vertical="center" textRotation="90"/>
    </xf>
    <xf numFmtId="1" fontId="10" fillId="5" borderId="27" xfId="0" applyNumberFormat="1" applyFont="1" applyFill="1" applyBorder="1" applyAlignment="1">
      <alignment vertical="center"/>
    </xf>
    <xf numFmtId="1" fontId="10" fillId="5" borderId="30" xfId="0" applyNumberFormat="1" applyFont="1" applyFill="1" applyBorder="1" applyAlignment="1">
      <alignment vertical="center"/>
    </xf>
    <xf numFmtId="1" fontId="10" fillId="5" borderId="12" xfId="0" applyNumberFormat="1" applyFont="1" applyFill="1" applyBorder="1" applyAlignment="1">
      <alignment vertical="center"/>
    </xf>
    <xf numFmtId="1" fontId="10" fillId="6" borderId="27" xfId="0" applyNumberFormat="1" applyFont="1" applyFill="1" applyBorder="1" applyAlignment="1">
      <alignment vertical="center"/>
    </xf>
    <xf numFmtId="1" fontId="10" fillId="6" borderId="30" xfId="0" applyNumberFormat="1" applyFont="1" applyFill="1" applyBorder="1" applyAlignment="1">
      <alignment vertical="center"/>
    </xf>
    <xf numFmtId="1" fontId="10" fillId="6" borderId="29" xfId="0" applyNumberFormat="1" applyFont="1" applyFill="1" applyBorder="1" applyAlignment="1">
      <alignment vertical="center"/>
    </xf>
    <xf numFmtId="0" fontId="19" fillId="0" borderId="27" xfId="0" applyFont="1" applyFill="1" applyBorder="1" applyAlignment="1">
      <alignment horizontal="center" vertical="center"/>
    </xf>
    <xf numFmtId="0" fontId="19" fillId="0" borderId="30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1" fontId="10" fillId="24" borderId="27" xfId="0" applyNumberFormat="1" applyFont="1" applyFill="1" applyBorder="1" applyAlignment="1">
      <alignment vertical="center"/>
    </xf>
    <xf numFmtId="1" fontId="10" fillId="24" borderId="30" xfId="0" applyNumberFormat="1" applyFont="1" applyFill="1" applyBorder="1" applyAlignment="1">
      <alignment vertical="center"/>
    </xf>
    <xf numFmtId="1" fontId="10" fillId="24" borderId="12" xfId="0" applyNumberFormat="1" applyFont="1" applyFill="1" applyBorder="1" applyAlignment="1">
      <alignment vertical="center"/>
    </xf>
    <xf numFmtId="0" fontId="19" fillId="24" borderId="22" xfId="0" applyFont="1" applyFill="1" applyBorder="1" applyAlignment="1">
      <alignment horizontal="center" vertical="center" textRotation="90"/>
    </xf>
    <xf numFmtId="0" fontId="19" fillId="24" borderId="23" xfId="0" applyFont="1" applyFill="1" applyBorder="1" applyAlignment="1">
      <alignment horizontal="center" vertical="center" textRotation="90"/>
    </xf>
    <xf numFmtId="0" fontId="19" fillId="24" borderId="24" xfId="0" applyFont="1" applyFill="1" applyBorder="1" applyAlignment="1">
      <alignment horizontal="center" vertical="center" textRotation="90"/>
    </xf>
    <xf numFmtId="0" fontId="19" fillId="24" borderId="27" xfId="0" applyFont="1" applyFill="1" applyBorder="1" applyAlignment="1">
      <alignment horizontal="center" vertical="center"/>
    </xf>
    <xf numFmtId="0" fontId="17" fillId="24" borderId="12" xfId="0" applyFont="1" applyFill="1" applyBorder="1" applyAlignment="1">
      <alignment vertical="center"/>
    </xf>
    <xf numFmtId="0" fontId="13" fillId="4" borderId="2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vertical="center"/>
    </xf>
    <xf numFmtId="0" fontId="12" fillId="0" borderId="25" xfId="0" applyFont="1" applyFill="1" applyBorder="1" applyAlignment="1">
      <alignment horizontal="center"/>
    </xf>
    <xf numFmtId="0" fontId="12" fillId="0" borderId="49" xfId="0" applyFont="1" applyFill="1" applyBorder="1" applyAlignment="1">
      <alignment horizontal="center"/>
    </xf>
    <xf numFmtId="0" fontId="17" fillId="0" borderId="12" xfId="0" applyFont="1" applyFill="1" applyBorder="1"/>
    <xf numFmtId="1" fontId="10" fillId="3" borderId="27" xfId="0" applyNumberFormat="1" applyFont="1" applyFill="1" applyBorder="1" applyAlignment="1">
      <alignment vertical="center"/>
    </xf>
    <xf numFmtId="1" fontId="10" fillId="3" borderId="30" xfId="0" applyNumberFormat="1" applyFont="1" applyFill="1" applyBorder="1" applyAlignment="1">
      <alignment vertical="center"/>
    </xf>
    <xf numFmtId="1" fontId="10" fillId="3" borderId="12" xfId="0" applyNumberFormat="1" applyFont="1" applyFill="1" applyBorder="1" applyAlignment="1">
      <alignment vertical="center"/>
    </xf>
    <xf numFmtId="0" fontId="19" fillId="8" borderId="22" xfId="0" applyFont="1" applyFill="1" applyBorder="1" applyAlignment="1">
      <alignment horizontal="center" vertical="center" textRotation="90"/>
    </xf>
    <xf numFmtId="0" fontId="19" fillId="8" borderId="23" xfId="0" applyFont="1" applyFill="1" applyBorder="1" applyAlignment="1">
      <alignment horizontal="center" vertical="center" textRotation="90"/>
    </xf>
    <xf numFmtId="0" fontId="19" fillId="8" borderId="24" xfId="0" applyFont="1" applyFill="1" applyBorder="1" applyAlignment="1">
      <alignment horizontal="center" vertical="center" textRotation="90"/>
    </xf>
  </cellXfs>
  <cellStyles count="248">
    <cellStyle name="args.style" xfId="8"/>
    <cellStyle name="Body" xfId="9"/>
    <cellStyle name="Border Heavy" xfId="10"/>
    <cellStyle name="Border Thin" xfId="11"/>
    <cellStyle name="Calc Currency (0)" xfId="12"/>
    <cellStyle name="Comma" xfId="2" builtinId="3"/>
    <cellStyle name="Comma 2" xfId="4"/>
    <cellStyle name="Comma 2 2" xfId="13"/>
    <cellStyle name="Comma 3" xfId="7"/>
    <cellStyle name="Comma 4" xfId="14"/>
    <cellStyle name="Comma 5" xfId="15"/>
    <cellStyle name="Comma 6" xfId="16"/>
    <cellStyle name="Comma0" xfId="17"/>
    <cellStyle name="Copied" xfId="18"/>
    <cellStyle name="Currency" xfId="6" builtinId="4"/>
    <cellStyle name="Currency0" xfId="19"/>
    <cellStyle name="Custom - Style8" xfId="20"/>
    <cellStyle name="Data   - Style2" xfId="21"/>
    <cellStyle name="Date" xfId="22"/>
    <cellStyle name="Entered" xfId="23"/>
    <cellStyle name="Euro" xfId="24"/>
    <cellStyle name="Fixed" xfId="25"/>
    <cellStyle name="Grey" xfId="26"/>
    <cellStyle name="Header1" xfId="27"/>
    <cellStyle name="Header2" xfId="28"/>
    <cellStyle name="HspColumn" xfId="29"/>
    <cellStyle name="HspColumnBottom" xfId="30"/>
    <cellStyle name="HspCurrency" xfId="31"/>
    <cellStyle name="HSPGrid" xfId="32"/>
    <cellStyle name="HspNonCurrency" xfId="33"/>
    <cellStyle name="HspPage" xfId="34"/>
    <cellStyle name="HspPercentage" xfId="35"/>
    <cellStyle name="HspPlanType" xfId="36"/>
    <cellStyle name="HspPOV" xfId="37"/>
    <cellStyle name="HspRow" xfId="38"/>
    <cellStyle name="Hyperlink seguido" xfId="39"/>
    <cellStyle name="incotec" xfId="40"/>
    <cellStyle name="Indefinido" xfId="41"/>
    <cellStyle name="Input [yellow]" xfId="42"/>
    <cellStyle name="Instructions" xfId="43"/>
    <cellStyle name="Labels - Style3" xfId="44"/>
    <cellStyle name="lm" xfId="45"/>
    <cellStyle name="Migliaia_Foglio1" xfId="46"/>
    <cellStyle name="Millares [0]_results" xfId="47"/>
    <cellStyle name="Millares_results" xfId="48"/>
    <cellStyle name="Milliers [0]_!!!GO" xfId="49"/>
    <cellStyle name="Milliers_!!!GO" xfId="50"/>
    <cellStyle name="Moeda [0]_devol ytd 300903" xfId="51"/>
    <cellStyle name="Moeda_Accounts" xfId="52"/>
    <cellStyle name="Moneda [0]_results" xfId="53"/>
    <cellStyle name="Moneda_results" xfId="54"/>
    <cellStyle name="Monétaire [0]_!!!GO" xfId="55"/>
    <cellStyle name="Monétaire_!!!GO" xfId="56"/>
    <cellStyle name="Multiple" xfId="57"/>
    <cellStyle name="Non_definito" xfId="58"/>
    <cellStyle name="Normal" xfId="0" builtinId="0"/>
    <cellStyle name="Normal - Style1" xfId="59"/>
    <cellStyle name="Normal 2" xfId="60"/>
    <cellStyle name="Normal 2 2" xfId="3"/>
    <cellStyle name="Normal 3" xfId="5"/>
    <cellStyle name="Normal 4" xfId="61"/>
    <cellStyle name="Œ…‹æØ‚è [0.00]_Region Orders (2)" xfId="62"/>
    <cellStyle name="Œ…‹æØ‚è_Region Orders (2)" xfId="63"/>
    <cellStyle name="Page Heading Large" xfId="64"/>
    <cellStyle name="Page Heading Small" xfId="65"/>
    <cellStyle name="pcntcolor" xfId="66"/>
    <cellStyle name="per.style" xfId="67"/>
    <cellStyle name="Percent" xfId="1" builtinId="5"/>
    <cellStyle name="Percent [2]" xfId="68"/>
    <cellStyle name="Percent 2" xfId="69"/>
    <cellStyle name="Percent 3" xfId="70"/>
    <cellStyle name="Percent 4" xfId="71"/>
    <cellStyle name="Percent Hard" xfId="72"/>
    <cellStyle name="pricing" xfId="73"/>
    <cellStyle name="PSChar" xfId="74"/>
    <cellStyle name="PSDate" xfId="75"/>
    <cellStyle name="PSDec" xfId="76"/>
    <cellStyle name="PSHeading" xfId="77"/>
    <cellStyle name="PSInt" xfId="78"/>
    <cellStyle name="PSSpacer" xfId="79"/>
    <cellStyle name="r" xfId="80"/>
    <cellStyle name="r_04SE01CF" xfId="81"/>
    <cellStyle name="r_04SE01CF_COGS" xfId="82"/>
    <cellStyle name="r_04SE01CF_Prod-OVH Forecast" xfId="83"/>
    <cellStyle name="r_BOARD BUDGET FY2005 2006 2007 FOXPAINE4" xfId="84"/>
    <cellStyle name="r_BOARD BUDGET FY2005 2006 2007 FOXPAINE4_COGS" xfId="85"/>
    <cellStyle name="r_BOARD BUDGET FY2005 2006 2007 FOXPAINE4_Prod-OVH Forecast" xfId="86"/>
    <cellStyle name="r_BOARD BUDGET FY2005 2006 2007 MGTMeeting11804" xfId="87"/>
    <cellStyle name="r_BOARD BUDGET FY2005 2006 2007 MGTMeeting11804_COGS" xfId="88"/>
    <cellStyle name="r_BOARD BUDGET FY2005 2006 2007 MGTMeeting11804_Prod-OVH Forecast" xfId="89"/>
    <cellStyle name="r_BoardDec04report(linked)" xfId="90"/>
    <cellStyle name="r_BoardDec04report(linked)_COGS" xfId="91"/>
    <cellStyle name="r_BoardDec04report(linked)_Prod-OVH Forecast" xfId="92"/>
    <cellStyle name="r_Boardjun03report" xfId="93"/>
    <cellStyle name="r_Boardjun03report_COGS" xfId="94"/>
    <cellStyle name="r_Boardjun03report_FY02-11v19 Basic 090303 FoxP2QUARTERLY2004" xfId="95"/>
    <cellStyle name="r_Boardjun03report_FY02-11v19 Basic 090303 FoxP2QUARTERLY2004_COGS" xfId="96"/>
    <cellStyle name="r_Boardjun03report_FY02-11v19 Basic 090303 FoxP2QUARTERLY2004_Prod-OVH Forecast" xfId="97"/>
    <cellStyle name="r_Boardjun03report_Prod-OVH Forecast" xfId="98"/>
    <cellStyle name="r_Boardsep04report" xfId="99"/>
    <cellStyle name="r_Boardsep04report(linked)" xfId="100"/>
    <cellStyle name="r_Boardsep04report(linked)_COGS" xfId="101"/>
    <cellStyle name="r_Boardsep04report(linked)_Prod-OVH Forecast" xfId="102"/>
    <cellStyle name="r_Boardsep04report_COGS" xfId="103"/>
    <cellStyle name="r_Boardsep04report_Prod-OVH Forecast" xfId="104"/>
    <cellStyle name="r_Book1" xfId="105"/>
    <cellStyle name="r_Book1_COGS" xfId="106"/>
    <cellStyle name="r_Book1_Prod-OVH Forecast" xfId="107"/>
    <cellStyle name="r_Book2" xfId="108"/>
    <cellStyle name="r_Book2_COGS" xfId="109"/>
    <cellStyle name="r_Book2_Prod-OVH Forecast" xfId="110"/>
    <cellStyle name="r_COGS" xfId="111"/>
    <cellStyle name="r_FOX PAINE Projections" xfId="112"/>
    <cellStyle name="r_FOX PAINE Projections_COGS" xfId="113"/>
    <cellStyle name="r_FOX PAINE Projections_Prod-OVH Forecast" xfId="114"/>
    <cellStyle name="r_FY02-11 Est v15 Harris 110402a" xfId="115"/>
    <cellStyle name="r_FY02-11 Est v15 Harris 110402a_COGS" xfId="116"/>
    <cellStyle name="r_FY02-11 Est v15 Harris 110402a_Prod-OVH Forecast" xfId="117"/>
    <cellStyle name="r_FY02-11 Est v16 Harris 111102a 62%GM" xfId="118"/>
    <cellStyle name="r_FY02-11 Est v16 Harris 111102a 62%GM_COGS" xfId="119"/>
    <cellStyle name="r_FY02-11 Est v16 Harris 111102a 62%GM_Prod-OVH Forecast" xfId="120"/>
    <cellStyle name="r_FY02-11 v17 FY03 Actuals" xfId="121"/>
    <cellStyle name="r_FY02-11 v17 FY03 Actuals_COGS" xfId="122"/>
    <cellStyle name="r_FY02-11 v17 FY03 Actuals_Prod-OVH Forecast" xfId="123"/>
    <cellStyle name="r_FY02-11v16 Basic 012003 DebtRollOvr" xfId="124"/>
    <cellStyle name="r_FY02-11v16 Basic 012003 DebtRollOvr_COGS" xfId="125"/>
    <cellStyle name="r_FY02-11v16 Basic 012003 DebtRollOvr_Prod-OVH Forecast" xfId="126"/>
    <cellStyle name="r_FY02-11v16 Basic 012003 FoxP" xfId="127"/>
    <cellStyle name="r_FY02-11v16 Basic 012003 FoxP_COGS" xfId="128"/>
    <cellStyle name="r_FY02-11v16 Basic 012003 FoxP_Prod-OVH Forecast" xfId="129"/>
    <cellStyle name="r_FY02-11v16Harris120202a62%Bgt" xfId="130"/>
    <cellStyle name="r_FY02-11v16Harris120202a62%Bgt_COGS" xfId="131"/>
    <cellStyle name="r_FY02-11v16Harris120202a62%Bgt_Prod-OVH Forecast" xfId="132"/>
    <cellStyle name="r_FY02-11v17 Basic 020803 FoxP" xfId="133"/>
    <cellStyle name="r_FY02-11v17 Basic 020803 FoxP_COGS" xfId="134"/>
    <cellStyle name="r_FY02-11v17 Basic 020803 FoxP_Prod-OVH Forecast" xfId="135"/>
    <cellStyle name="r_FY02-11v17 Basic 022403 FoxP" xfId="136"/>
    <cellStyle name="r_FY02-11v17 Basic 022403 FoxP_COGS" xfId="137"/>
    <cellStyle name="r_FY02-11v17 Basic 022403 FoxP_Prod-OVH Forecast" xfId="138"/>
    <cellStyle name="r_FY02-11v19 Basic 050607 FoxP" xfId="139"/>
    <cellStyle name="r_FY02-11v19 Basic 050607 FoxP_COGS" xfId="140"/>
    <cellStyle name="r_FY02-11v19 Basic 050607 FoxP_Prod-OVH Forecast" xfId="141"/>
    <cellStyle name="r_FY02-11v19 Basic 072303 FoxP" xfId="142"/>
    <cellStyle name="r_FY02-11v19 Basic 072303 FoxP_COGS" xfId="143"/>
    <cellStyle name="r_FY02-11v19 Basic 072303 FoxP_Prod-OVH Forecast" xfId="144"/>
    <cellStyle name="r_FY02-11v19 Basic 080803 FoxP" xfId="145"/>
    <cellStyle name="r_FY02-11v19 Basic 080803 FoxP_COGS" xfId="146"/>
    <cellStyle name="r_FY02-11v19 Basic 080803 FoxP_Prod-OVH Forecast" xfId="147"/>
    <cellStyle name="r_FY02-11v19 Basic 090303 FoxP2QUARTERLY2004" xfId="148"/>
    <cellStyle name="r_FY02-11v19 Basic 090303 FoxP2QUARTERLY2004_COGS" xfId="149"/>
    <cellStyle name="r_FY02-11v19 Basic 090303 FoxP2QUARTERLY2004_Prod-OVH Forecast" xfId="150"/>
    <cellStyle name="r_FY02-11v21 Basic 120103 FoxPAdj PrePA" xfId="151"/>
    <cellStyle name="r_FY02-11v21 Basic 120103 FoxPAdj PrePA_COGS" xfId="152"/>
    <cellStyle name="r_FY02-11v21 Basic 120103 FoxPAdj PrePA_Prod-OVH Forecast" xfId="153"/>
    <cellStyle name="r_FY02-11v22 Basic 041204 FoxPAdj PrePA(kg)" xfId="154"/>
    <cellStyle name="r_FY02-11v22 Basic 041204 FoxPAdj PrePA(kg)_COGS" xfId="155"/>
    <cellStyle name="r_FY02-11v22 Basic 041204 FoxPAdj PrePA(kg)_Prod-OVH Forecast" xfId="156"/>
    <cellStyle name="r_FY03-08 Projections  072005 (2) (2) (2)" xfId="157"/>
    <cellStyle name="r_FY03-08 Projections  072005 (2) (2) (2)_COGS" xfId="158"/>
    <cellStyle name="r_FY03-08 Projections  072005 (2) (2) (2)_Prod-OVH Forecast" xfId="159"/>
    <cellStyle name="r_FY03ProjAct" xfId="160"/>
    <cellStyle name="r_FY03ProjAct_COGS" xfId="161"/>
    <cellStyle name="r_FY03ProjAct_Prod-OVH Forecast" xfId="162"/>
    <cellStyle name="r_FY04 Mar p6 OpexProdOH" xfId="163"/>
    <cellStyle name="r_FY04 Mar p6 OpexProdOH_COGS" xfId="164"/>
    <cellStyle name="r_FY04 Mar p6 OpexProdOH_Prod-OVH Forecast" xfId="165"/>
    <cellStyle name="r_FY04Actual" xfId="166"/>
    <cellStyle name="r_FY04Actual_COGS" xfId="167"/>
    <cellStyle name="r_FY04Actual_Prod-OVH Forecast" xfId="168"/>
    <cellStyle name="r_FY05 February p05 OpexProdOH" xfId="169"/>
    <cellStyle name="r_FY05 February p05 OpexProdOH_COGS" xfId="170"/>
    <cellStyle name="r_FY05 February p05 OpexProdOH_Prod-OVH Forecast" xfId="171"/>
    <cellStyle name="r_PLEstimate061305" xfId="172"/>
    <cellStyle name="r_PLEstimate061305_COGS" xfId="173"/>
    <cellStyle name="r_PLEstimate061305_Prod-OVH Forecast" xfId="174"/>
    <cellStyle name="r_Prod-OVH Forecast" xfId="175"/>
    <cellStyle name="r_PROJECTIONS FY040506BoardPresentation 110104" xfId="176"/>
    <cellStyle name="r_PROJECTIONS FY040506BoardPresentation 110104_COGS" xfId="177"/>
    <cellStyle name="r_PROJECTIONS FY040506BoardPresentation 110104_Prod-OVH Forecast" xfId="178"/>
    <cellStyle name="r_PROJECTIONS FY040506BoardPresentation101504" xfId="179"/>
    <cellStyle name="r_PROJECTIONS FY040506BoardPresentation101504_COGS" xfId="180"/>
    <cellStyle name="r_PROJECTIONS FY040506BoardPresentation101504_Prod-OVH Forecast" xfId="181"/>
    <cellStyle name="r_PROJECTIONS FY040506BoardPresentation1015046" xfId="182"/>
    <cellStyle name="r_PROJECTIONS FY040506BoardPresentation1015046_COGS" xfId="183"/>
    <cellStyle name="r_PROJECTIONS FY040506BoardPresentation1015046_Prod-OVH Forecast" xfId="184"/>
    <cellStyle name="Reset  - Style7" xfId="185"/>
    <cellStyle name="RevList" xfId="186"/>
    <cellStyle name="SAPBEXaggData" xfId="187"/>
    <cellStyle name="SAPBEXaggDataEmph" xfId="188"/>
    <cellStyle name="SAPBEXaggItem" xfId="189"/>
    <cellStyle name="SAPBEXaggItemX" xfId="190"/>
    <cellStyle name="SAPBEXchaText" xfId="191"/>
    <cellStyle name="SAPBEXexcBad7" xfId="192"/>
    <cellStyle name="SAPBEXexcBad8" xfId="193"/>
    <cellStyle name="SAPBEXexcBad9" xfId="194"/>
    <cellStyle name="SAPBEXexcCritical4" xfId="195"/>
    <cellStyle name="SAPBEXexcCritical5" xfId="196"/>
    <cellStyle name="SAPBEXexcCritical6" xfId="197"/>
    <cellStyle name="SAPBEXexcGood1" xfId="198"/>
    <cellStyle name="SAPBEXexcGood2" xfId="199"/>
    <cellStyle name="SAPBEXexcGood3" xfId="200"/>
    <cellStyle name="SAPBEXfilterDrill" xfId="201"/>
    <cellStyle name="SAPBEXfilterItem" xfId="202"/>
    <cellStyle name="SAPBEXfilterText" xfId="203"/>
    <cellStyle name="SAPBEXformats" xfId="204"/>
    <cellStyle name="SAPBEXheaderItem" xfId="205"/>
    <cellStyle name="SAPBEXheaderText" xfId="206"/>
    <cellStyle name="SAPBEXHLevel0" xfId="207"/>
    <cellStyle name="SAPBEXHLevel0X" xfId="208"/>
    <cellStyle name="SAPBEXHLevel1" xfId="209"/>
    <cellStyle name="SAPBEXHLevel1X" xfId="210"/>
    <cellStyle name="SAPBEXHLevel2" xfId="211"/>
    <cellStyle name="SAPBEXHLevel2X" xfId="212"/>
    <cellStyle name="SAPBEXHLevel3" xfId="213"/>
    <cellStyle name="SAPBEXHLevel3X" xfId="214"/>
    <cellStyle name="SAPBEXresData" xfId="215"/>
    <cellStyle name="SAPBEXresDataEmph" xfId="216"/>
    <cellStyle name="SAPBEXresItem" xfId="217"/>
    <cellStyle name="SAPBEXresItemX" xfId="218"/>
    <cellStyle name="SAPBEXstdData" xfId="219"/>
    <cellStyle name="SAPBEXstdDataEmph" xfId="220"/>
    <cellStyle name="SAPBEXstdItem" xfId="221"/>
    <cellStyle name="SAPBEXstdItemX" xfId="222"/>
    <cellStyle name="SAPBEXtitle" xfId="223"/>
    <cellStyle name="SAPBEXundefined" xfId="224"/>
    <cellStyle name="Shaded" xfId="225"/>
    <cellStyle name="Standaard_maandrs" xfId="226"/>
    <cellStyle name="Subtotal" xfId="227"/>
    <cellStyle name="Table  - Style6" xfId="228"/>
    <cellStyle name="Table Col Head" xfId="229"/>
    <cellStyle name="Table Sub Head" xfId="230"/>
    <cellStyle name="Table Title" xfId="231"/>
    <cellStyle name="Table Units" xfId="232"/>
    <cellStyle name="Thousands" xfId="233"/>
    <cellStyle name="Thousands[0]" xfId="234"/>
    <cellStyle name="Title  - Style1" xfId="235"/>
    <cellStyle name="TotCol - Style5" xfId="236"/>
    <cellStyle name="TotRow - Style4" xfId="237"/>
    <cellStyle name="Year" xfId="238"/>
    <cellStyle name="เครื่องหมายจุลภาค_Report1" xfId="239"/>
    <cellStyle name="ปกติ_Report1" xfId="240"/>
    <cellStyle name="뷭?_BOOKSHIP" xfId="241"/>
    <cellStyle name="쉼표_AP Total YTD Dec.actual(051227)" xfId="242"/>
    <cellStyle name="콤마 [0]_0N-HANDLING" xfId="243"/>
    <cellStyle name="콤마_0N-HANDLING" xfId="244"/>
    <cellStyle name="표준_AP Total YTD Dec.actual(051227)" xfId="245"/>
    <cellStyle name="一般_9900CN芽率電泳 Report" xfId="246"/>
    <cellStyle name="常规_Sheet2" xfId="247"/>
  </cellStyles>
  <dxfs count="0"/>
  <tableStyles count="0" defaultTableStyle="TableStyleMedium9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32</xdr:row>
      <xdr:rowOff>95250</xdr:rowOff>
    </xdr:from>
    <xdr:to>
      <xdr:col>24</xdr:col>
      <xdr:colOff>340683</xdr:colOff>
      <xdr:row>47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985A1E-CC26-4F1A-8BA1-A2BAB59D2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2250" y="7683500"/>
          <a:ext cx="5166683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rcasa1/Local%20Settings/Temporary%20Internet%20Files/Content.Outlook/1I22UOOF/Contabiliza&#231;&#227;o%20fidc%20mar&#231;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anceiro\Private\C&amp;C\Fechamento\REPORTING%20C&amp;C\1.%20FY'16\FECHAMENTO\2016%2008%20AGO\BASE%20DE%20DADOS\FUNNEL\Enviados\Conferidos\CC%20-%20Accrual%20Bad%20Debt%2031.08.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Content.Outlook/W6BNP42H/Simulador%20DKB_SOReTAN%20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iro/Private/Fin%20Controllership/Accounting/2009/4168_MOBRAS/11%20Novembro/PFAT%20YG%20Novembr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&#199;OS_%202018%2009%20Se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anceiro\Private\C&amp;C\Fechamento\REPORTING%20C&amp;C\1.%20FY'14\FECHAMENTO\Fev_14\BAD%20DEBT\Bad%20Debt_Fev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anceiro\Private\C&amp;C\Fechamento\REPORTING%20C&amp;C\1.%20FY'17\FECHAMENTO\2017%2005%20MAY\BAD%20DEBT\Bad%20Debt%20Maio'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atus_True_Up_Sep'1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Juros%20Sep'1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Garantias%20-%20Sep'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PT"/>
      <sheetName val="SPB74003"/>
      <sheetName val="Summary"/>
      <sheetName val="Fun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nel File"/>
      <sheetName val="Base Bad Debt Acrrual"/>
      <sheetName val="Base"/>
      <sheetName val="Sheet1"/>
      <sheetName val="CC - Accrual Bad Debt 31.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dor DKB_SOR_TAN"/>
      <sheetName val="Lista SOR_TAN"/>
      <sheetName val="Referencias"/>
    </sheetNames>
    <sheetDataSet>
      <sheetData sheetId="0" refreshError="1"/>
      <sheetData sheetId="1" refreshError="1"/>
      <sheetData sheetId="2" refreshError="1">
        <row r="3">
          <cell r="B3" t="str">
            <v>CERL</v>
          </cell>
          <cell r="D3">
            <v>39716</v>
          </cell>
          <cell r="F3" t="str">
            <v>Cash</v>
          </cell>
        </row>
        <row r="4">
          <cell r="B4" t="str">
            <v>CERO</v>
          </cell>
          <cell r="D4">
            <v>39746</v>
          </cell>
          <cell r="F4" t="str">
            <v>Barter R$</v>
          </cell>
        </row>
        <row r="5">
          <cell r="B5" t="str">
            <v>PRNA</v>
          </cell>
          <cell r="D5">
            <v>39777</v>
          </cell>
          <cell r="F5" t="str">
            <v>Barter US$</v>
          </cell>
        </row>
        <row r="6">
          <cell r="B6" t="str">
            <v>SENE</v>
          </cell>
          <cell r="D6">
            <v>39807</v>
          </cell>
          <cell r="F6" t="str">
            <v>Vendor</v>
          </cell>
        </row>
        <row r="7">
          <cell r="D7">
            <v>39838</v>
          </cell>
          <cell r="F7" t="str">
            <v>Terms</v>
          </cell>
        </row>
        <row r="8">
          <cell r="D8">
            <v>39869</v>
          </cell>
        </row>
        <row r="9">
          <cell r="D9">
            <v>39897</v>
          </cell>
        </row>
        <row r="10">
          <cell r="D10">
            <v>39928</v>
          </cell>
        </row>
        <row r="11">
          <cell r="D11">
            <v>39958</v>
          </cell>
        </row>
        <row r="12">
          <cell r="D12">
            <v>39989</v>
          </cell>
        </row>
        <row r="13">
          <cell r="D13">
            <v>40019</v>
          </cell>
        </row>
        <row r="14">
          <cell r="D14">
            <v>40050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Summary"/>
      <sheetName val="Funnel"/>
      <sheetName val="YG"/>
      <sheetName val="PFAT"/>
      <sheetName val="YG Long Term"/>
      <sheetName val="ICMS"/>
      <sheetName val="Pontualidade"/>
      <sheetName val="PFAT Pon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 FIDC"/>
      <sheetName val="BAL S&amp;T"/>
      <sheetName val="BAL CP"/>
      <sheetName val="BASE DE DADOS"/>
      <sheetName val="4168_9115"/>
      <sheetName val="4168_9130"/>
      <sheetName val="4168_9280"/>
      <sheetName val="4168_9282"/>
      <sheetName val="4168_9290"/>
      <sheetName val="4188_9117"/>
      <sheetName val="4188_9280"/>
      <sheetName val="4188_9282"/>
      <sheetName val="Sheet1"/>
    </sheetNames>
    <sheetDataSet>
      <sheetData sheetId="0"/>
      <sheetData sheetId="1">
        <row r="21">
          <cell r="D21">
            <v>0</v>
          </cell>
        </row>
      </sheetData>
      <sheetData sheetId="2"/>
      <sheetData sheetId="3"/>
      <sheetData sheetId="4">
        <row r="29">
          <cell r="G29">
            <v>345436931.74000001</v>
          </cell>
        </row>
        <row r="40">
          <cell r="G40">
            <v>-20585627.719999999</v>
          </cell>
        </row>
      </sheetData>
      <sheetData sheetId="5">
        <row r="14">
          <cell r="K14">
            <v>0</v>
          </cell>
        </row>
        <row r="29">
          <cell r="K29">
            <v>411517.96</v>
          </cell>
        </row>
        <row r="40">
          <cell r="K40">
            <v>-404.67</v>
          </cell>
        </row>
      </sheetData>
      <sheetData sheetId="6">
        <row r="29">
          <cell r="G29">
            <v>-162450231.61000001</v>
          </cell>
        </row>
        <row r="40">
          <cell r="G40">
            <v>-214734708.88734952</v>
          </cell>
        </row>
      </sheetData>
      <sheetData sheetId="7">
        <row r="29">
          <cell r="G29">
            <v>133682874.06</v>
          </cell>
        </row>
        <row r="40">
          <cell r="G40">
            <v>-35626127.210000001</v>
          </cell>
        </row>
      </sheetData>
      <sheetData sheetId="8">
        <row r="14">
          <cell r="G14">
            <v>0</v>
          </cell>
        </row>
        <row r="29">
          <cell r="G29">
            <v>245736</v>
          </cell>
        </row>
        <row r="41">
          <cell r="G41">
            <v>0</v>
          </cell>
        </row>
      </sheetData>
      <sheetData sheetId="9">
        <row r="29">
          <cell r="G29">
            <v>2328439.7999999998</v>
          </cell>
        </row>
        <row r="40">
          <cell r="G40">
            <v>-2351368.2837383938</v>
          </cell>
        </row>
      </sheetData>
      <sheetData sheetId="10">
        <row r="29">
          <cell r="G29">
            <v>17095912.260000002</v>
          </cell>
        </row>
        <row r="40">
          <cell r="G40">
            <v>-1056005.8541540001</v>
          </cell>
        </row>
      </sheetData>
      <sheetData sheetId="11">
        <row r="14">
          <cell r="G14">
            <v>0</v>
          </cell>
        </row>
        <row r="29">
          <cell r="G29">
            <v>527325.24</v>
          </cell>
        </row>
        <row r="40">
          <cell r="G40">
            <v>0</v>
          </cell>
        </row>
      </sheetData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NEL BAD DEBT"/>
      <sheetName val="FUNNEL CP LP"/>
      <sheetName val="SUMMARY USD"/>
      <sheetName val="SUMMARY BRL"/>
      <sheetName val="BAD DEBT All Business"/>
      <sheetName val="INPUT"/>
      <sheetName val="BAD DEBT 9115"/>
      <sheetName val="BAD DEBT 9130"/>
      <sheetName val="BAD DEBT 4168 9280"/>
      <sheetName val="BAD DEBT 4168 9282"/>
      <sheetName val="BAD DEBT 4168 9290"/>
      <sheetName val="BAD DEBT 4169 9117"/>
      <sheetName val="BAD DEBT 4169 9280"/>
      <sheetName val="BAD DEBT 4188 9280"/>
      <sheetName val="BAD DEBT 4188 9282"/>
      <sheetName val="Sheet1"/>
    </sheetNames>
    <sheetDataSet>
      <sheetData sheetId="0" refreshError="1"/>
      <sheetData sheetId="1" refreshError="1"/>
      <sheetData sheetId="2" refreshError="1"/>
      <sheetData sheetId="3" refreshError="1">
        <row r="21">
          <cell r="D21" t="str">
            <v>Critical</v>
          </cell>
          <cell r="E21" t="str">
            <v>Critical Current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USD"/>
      <sheetName val="SUMMARY USD  Q2"/>
      <sheetName val="SUMMARY BRL"/>
      <sheetName val="INPUT"/>
      <sheetName val="BAD DEBT All Business"/>
      <sheetName val="FUNNEL CP LP"/>
      <sheetName val="FUNNEL BAD DEBT"/>
      <sheetName val="BAD DEBT 4168 9280"/>
      <sheetName val="BAD DEBT 9115"/>
      <sheetName val="BAD DEBT 4168 9282"/>
      <sheetName val="BAD DEBT 4168 9290"/>
      <sheetName val="BAD DEBT 4169 9280"/>
      <sheetName val="BAD DEBT 4169 9117"/>
      <sheetName val="BAD DEBT 4188 9280"/>
      <sheetName val="BAD DEBT 4188 9282"/>
      <sheetName val="BAD DEBT 9130"/>
    </sheetNames>
    <sheetDataSet>
      <sheetData sheetId="0"/>
      <sheetData sheetId="1"/>
      <sheetData sheetId="2">
        <row r="6">
          <cell r="F6">
            <v>301238.31339000008</v>
          </cell>
          <cell r="G6">
            <v>-14928.825839999998</v>
          </cell>
          <cell r="H6">
            <v>0</v>
          </cell>
          <cell r="I6">
            <v>286309.48755000008</v>
          </cell>
          <cell r="K6">
            <v>0</v>
          </cell>
          <cell r="L6">
            <v>-286309.48755000008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K7">
            <v>0</v>
          </cell>
          <cell r="L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</row>
        <row r="9">
          <cell r="F9">
            <v>301238.31339000008</v>
          </cell>
          <cell r="G9">
            <v>-14928.825839999998</v>
          </cell>
          <cell r="H9">
            <v>0</v>
          </cell>
          <cell r="I9">
            <v>286309.48755000008</v>
          </cell>
          <cell r="K9">
            <v>0</v>
          </cell>
          <cell r="L9">
            <v>-286309.48755000008</v>
          </cell>
          <cell r="M9">
            <v>-292900.84782000002</v>
          </cell>
          <cell r="N9">
            <v>-6591.3602699999465</v>
          </cell>
        </row>
        <row r="10">
          <cell r="F10">
            <v>98423.039280000026</v>
          </cell>
          <cell r="G10">
            <v>-305.96587999999997</v>
          </cell>
          <cell r="H10">
            <v>-12077.615580000003</v>
          </cell>
          <cell r="I10">
            <v>86039.457820000025</v>
          </cell>
          <cell r="K10">
            <v>50795.371599000013</v>
          </cell>
          <cell r="L10">
            <v>-47321.701801000025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K11">
            <v>0</v>
          </cell>
          <cell r="L11">
            <v>0</v>
          </cell>
        </row>
        <row r="12">
          <cell r="F12">
            <v>0</v>
          </cell>
          <cell r="G12">
            <v>0</v>
          </cell>
          <cell r="H12">
            <v>59.275740000000006</v>
          </cell>
          <cell r="I12">
            <v>1.1000000000000001</v>
          </cell>
          <cell r="K12">
            <v>26.674083000000003</v>
          </cell>
          <cell r="L12">
            <v>-32.601657000000003</v>
          </cell>
        </row>
        <row r="13">
          <cell r="F13">
            <v>221183.89725999994</v>
          </cell>
          <cell r="G13">
            <v>0</v>
          </cell>
          <cell r="H13">
            <v>-80548.658990665688</v>
          </cell>
          <cell r="I13">
            <v>140635.23826933422</v>
          </cell>
          <cell r="K13">
            <v>216819.25640741389</v>
          </cell>
          <cell r="L13">
            <v>-4364.6525425860464</v>
          </cell>
        </row>
        <row r="14">
          <cell r="F14">
            <v>481725.78849000012</v>
          </cell>
          <cell r="G14">
            <v>-57175.999067892379</v>
          </cell>
          <cell r="H14">
            <v>-152152.65674679843</v>
          </cell>
          <cell r="I14">
            <v>272397.13267530932</v>
          </cell>
          <cell r="K14">
            <v>437920.51861026406</v>
          </cell>
          <cell r="L14">
            <v>-6728.3299059976562</v>
          </cell>
        </row>
        <row r="15">
          <cell r="F15">
            <v>801332.72503000009</v>
          </cell>
          <cell r="G15">
            <v>-57481.964947892382</v>
          </cell>
          <cell r="H15">
            <v>-244719.65557746412</v>
          </cell>
          <cell r="I15">
            <v>499072.92876464356</v>
          </cell>
          <cell r="K15">
            <v>705561.82069967804</v>
          </cell>
          <cell r="L15">
            <v>-58447.285906583726</v>
          </cell>
          <cell r="M15">
            <v>-69321.248710000014</v>
          </cell>
          <cell r="N15">
            <v>-10873.962803416289</v>
          </cell>
        </row>
        <row r="16">
          <cell r="F16">
            <v>1102571.0384200001</v>
          </cell>
          <cell r="G16">
            <v>-72410.790787892387</v>
          </cell>
          <cell r="H16">
            <v>-244719.65557746412</v>
          </cell>
          <cell r="I16">
            <v>785382.41631464357</v>
          </cell>
          <cell r="K16">
            <v>705561.82069967804</v>
          </cell>
          <cell r="L16">
            <v>-344756.77345658379</v>
          </cell>
          <cell r="M16">
            <v>-362222.09653000004</v>
          </cell>
          <cell r="N16">
            <v>-17465.323073416235</v>
          </cell>
        </row>
        <row r="19">
          <cell r="F19">
            <v>157989.08000000002</v>
          </cell>
          <cell r="G19">
            <v>0</v>
          </cell>
          <cell r="H19">
            <v>0</v>
          </cell>
          <cell r="I19">
            <v>157989.08000000002</v>
          </cell>
          <cell r="K19">
            <v>154355.33116</v>
          </cell>
          <cell r="L19">
            <v>-3633.7488400000002</v>
          </cell>
        </row>
        <row r="20">
          <cell r="F20">
            <v>35629.387999999999</v>
          </cell>
          <cell r="G20">
            <v>0</v>
          </cell>
          <cell r="H20">
            <v>0</v>
          </cell>
          <cell r="I20">
            <v>35629.387999999999</v>
          </cell>
          <cell r="K20">
            <v>34809.912076000001</v>
          </cell>
          <cell r="L20">
            <v>-819.47592400000008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</row>
        <row r="22">
          <cell r="F22">
            <v>193618.46800000002</v>
          </cell>
          <cell r="G22">
            <v>0</v>
          </cell>
          <cell r="H22">
            <v>0</v>
          </cell>
          <cell r="I22">
            <v>193618.46800000002</v>
          </cell>
          <cell r="J22">
            <v>0</v>
          </cell>
          <cell r="K22">
            <v>189165.24323600001</v>
          </cell>
          <cell r="L22">
            <v>-4453.2247640000005</v>
          </cell>
          <cell r="M22">
            <v>-9929.726265139876</v>
          </cell>
          <cell r="N22">
            <v>-5476.5015011398755</v>
          </cell>
        </row>
        <row r="24">
          <cell r="F24">
            <v>1296189.5064200002</v>
          </cell>
          <cell r="G24">
            <v>-72410.790787892387</v>
          </cell>
          <cell r="H24">
            <v>-244719.65557746412</v>
          </cell>
          <cell r="I24">
            <v>979000.88431464357</v>
          </cell>
          <cell r="J24">
            <v>0.35670039099612322</v>
          </cell>
          <cell r="K24">
            <v>894727.06393567799</v>
          </cell>
          <cell r="L24">
            <v>-349209.99822058377</v>
          </cell>
          <cell r="M24">
            <v>-372151.82279513992</v>
          </cell>
          <cell r="N24">
            <v>-22941.824574556143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 por cliente"/>
      <sheetName val="Talismã - Receita Diferida"/>
      <sheetName val="Resumo"/>
      <sheetName val="Intacta"/>
      <sheetName val="Status TrueUp"/>
      <sheetName val="Aging"/>
      <sheetName val="Credor"/>
      <sheetName val="Credor (2)"/>
      <sheetName val="Status aging"/>
      <sheetName val="CR CAMPO"/>
      <sheetName val="Check"/>
    </sheetNames>
    <sheetDataSet>
      <sheetData sheetId="0"/>
      <sheetData sheetId="1"/>
      <sheetData sheetId="2">
        <row r="7">
          <cell r="G7" t="str">
            <v>1 - 90 days Past Due</v>
          </cell>
          <cell r="H7">
            <v>105632066.35999979</v>
          </cell>
        </row>
        <row r="8">
          <cell r="G8" t="str">
            <v>Critical</v>
          </cell>
          <cell r="H8">
            <v>29778086.27999999</v>
          </cell>
        </row>
        <row r="9">
          <cell r="G9" t="str">
            <v>Current</v>
          </cell>
          <cell r="H9">
            <v>153729178.64999983</v>
          </cell>
        </row>
        <row r="10">
          <cell r="G10" t="str">
            <v>Legal + 365 days Past Due</v>
          </cell>
          <cell r="H10">
            <v>111200959.15000002</v>
          </cell>
        </row>
        <row r="12">
          <cell r="G12" t="str">
            <v>Legal + 365 days Past Due</v>
          </cell>
          <cell r="H12">
            <v>27717.239999999998</v>
          </cell>
        </row>
        <row r="14">
          <cell r="G14" t="str">
            <v>1 - 90 days Past Due</v>
          </cell>
          <cell r="H14">
            <v>45806778.900000013</v>
          </cell>
        </row>
        <row r="15">
          <cell r="G15" t="str">
            <v>Critical</v>
          </cell>
          <cell r="H15">
            <v>22705315.759999998</v>
          </cell>
        </row>
        <row r="16">
          <cell r="G16" t="str">
            <v>Current</v>
          </cell>
          <cell r="H16">
            <v>122813113.23999996</v>
          </cell>
        </row>
        <row r="17">
          <cell r="G17" t="str">
            <v>Legal + 365 days Past Due</v>
          </cell>
          <cell r="H17">
            <v>81553783.229999945</v>
          </cell>
        </row>
        <row r="18">
          <cell r="G18" t="str">
            <v>Legal 1 - 365 days Past Due</v>
          </cell>
          <cell r="H18">
            <v>3369331.2599999993</v>
          </cell>
        </row>
        <row r="20">
          <cell r="G20" t="str">
            <v>1 - 90 days Past Due</v>
          </cell>
          <cell r="H20">
            <v>10749522.73</v>
          </cell>
        </row>
        <row r="21">
          <cell r="G21" t="str">
            <v>Critical</v>
          </cell>
          <cell r="H21">
            <v>57973880.640000001</v>
          </cell>
        </row>
        <row r="22">
          <cell r="G22" t="str">
            <v>Current</v>
          </cell>
          <cell r="H22">
            <v>13515285.160000006</v>
          </cell>
        </row>
        <row r="23">
          <cell r="G23" t="str">
            <v>Legal + 365 days Past Due</v>
          </cell>
          <cell r="H23">
            <v>131844303.36000003</v>
          </cell>
        </row>
        <row r="24">
          <cell r="G24" t="str">
            <v>Legal 1 - 365 days Past Due</v>
          </cell>
          <cell r="H24">
            <v>1047485.32</v>
          </cell>
        </row>
        <row r="26">
          <cell r="G26" t="str">
            <v>1 - 90 days Past Due</v>
          </cell>
          <cell r="H26">
            <v>17762634.340000004</v>
          </cell>
        </row>
        <row r="27">
          <cell r="G27" t="str">
            <v>Critical</v>
          </cell>
          <cell r="H27">
            <v>2084625.05</v>
          </cell>
        </row>
        <row r="28">
          <cell r="G28" t="str">
            <v>Current</v>
          </cell>
          <cell r="H28">
            <v>29745606.86999999</v>
          </cell>
        </row>
        <row r="29">
          <cell r="G29" t="str">
            <v>Legal + 365 days Past Due</v>
          </cell>
          <cell r="H29">
            <v>2160066.9599999995</v>
          </cell>
        </row>
        <row r="31">
          <cell r="G31" t="str">
            <v>1 - 90 days Past Due</v>
          </cell>
          <cell r="H31">
            <v>212988.85</v>
          </cell>
        </row>
        <row r="32">
          <cell r="G32" t="str">
            <v>Critical</v>
          </cell>
          <cell r="H32">
            <v>631752.10000000009</v>
          </cell>
        </row>
        <row r="33">
          <cell r="G33" t="str">
            <v>Current</v>
          </cell>
          <cell r="H33">
            <v>15176.69</v>
          </cell>
        </row>
        <row r="34">
          <cell r="G34" t="str">
            <v>Legal + 365 days Past Due</v>
          </cell>
          <cell r="H34">
            <v>17704331.370000005</v>
          </cell>
        </row>
        <row r="36">
          <cell r="G36" t="str">
            <v>1 - 90 days Past Due</v>
          </cell>
          <cell r="H36">
            <v>59275.740000000005</v>
          </cell>
        </row>
        <row r="37">
          <cell r="G37" t="str">
            <v>Legal + 365 days Past Due</v>
          </cell>
          <cell r="H37">
            <v>234024.75</v>
          </cell>
        </row>
        <row r="39">
          <cell r="H39">
            <v>978699614.15999973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CR Fechamento 30_09"/>
      <sheetName val="Sheet2"/>
      <sheetName val="Sheet3"/>
      <sheetName val="Juros Sep'18"/>
    </sheetNames>
    <sheetDataSet>
      <sheetData sheetId="0">
        <row r="7">
          <cell r="A7" t="str">
            <v>Current</v>
          </cell>
          <cell r="B7">
            <v>-26494</v>
          </cell>
          <cell r="C7">
            <v>-26.494</v>
          </cell>
        </row>
        <row r="8">
          <cell r="A8" t="str">
            <v>Legal + 365 days Past Due</v>
          </cell>
          <cell r="B8">
            <v>-4438606.55</v>
          </cell>
          <cell r="C8">
            <v>-4438.6065499999995</v>
          </cell>
        </row>
        <row r="10">
          <cell r="A10" t="str">
            <v>Legal + 365 days Past Due</v>
          </cell>
          <cell r="B10">
            <v>-3472124.2000000007</v>
          </cell>
          <cell r="C10">
            <v>-3472.1242000000007</v>
          </cell>
        </row>
        <row r="11">
          <cell r="A11" t="str">
            <v>Critical</v>
          </cell>
          <cell r="B11">
            <v>-427908.79999999993</v>
          </cell>
          <cell r="C11">
            <v>-427.90879999999993</v>
          </cell>
        </row>
        <row r="13">
          <cell r="A13" t="str">
            <v>Legal + 365 days Past Due</v>
          </cell>
          <cell r="B13">
            <v>-9214978.0100000016</v>
          </cell>
          <cell r="C13">
            <v>-9214.9780100000025</v>
          </cell>
        </row>
        <row r="14">
          <cell r="A14" t="str">
            <v>Critical</v>
          </cell>
          <cell r="B14">
            <v>-1630159.8900000001</v>
          </cell>
          <cell r="C14">
            <v>-1630.1598900000001</v>
          </cell>
        </row>
        <row r="17">
          <cell r="A17" t="str">
            <v>Legal + 365 days Past Due</v>
          </cell>
          <cell r="B17">
            <v>-645539.62</v>
          </cell>
          <cell r="C17">
            <v>-645.53962000000001</v>
          </cell>
        </row>
        <row r="18">
          <cell r="C18">
            <v>-19855.811070000003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Garantias"/>
    </sheetNames>
    <sheetDataSet>
      <sheetData sheetId="0">
        <row r="4">
          <cell r="A4" t="str">
            <v>1 - 90 days Past Due</v>
          </cell>
          <cell r="B4">
            <v>-4197012.1613333859</v>
          </cell>
          <cell r="C4">
            <v>-4197.0121613333858</v>
          </cell>
          <cell r="E4" t="str">
            <v>1 - 90 days Past Due</v>
          </cell>
          <cell r="F4">
            <v>-324344.35731036065</v>
          </cell>
          <cell r="G4">
            <v>-324.34435731036064</v>
          </cell>
        </row>
        <row r="5">
          <cell r="A5" t="str">
            <v>Current</v>
          </cell>
          <cell r="B5">
            <v>-12994895.623386163</v>
          </cell>
          <cell r="C5">
            <v>-12994.895623386163</v>
          </cell>
          <cell r="E5" t="str">
            <v>Current</v>
          </cell>
          <cell r="F5">
            <v>-919560.42844399251</v>
          </cell>
          <cell r="G5">
            <v>-919.56042844399246</v>
          </cell>
        </row>
        <row r="6">
          <cell r="A6" t="str">
            <v>Legal + 365 days Past Due</v>
          </cell>
          <cell r="B6">
            <v>-10194386.105534498</v>
          </cell>
          <cell r="C6">
            <v>-10194.386105534497</v>
          </cell>
          <cell r="E6" t="str">
            <v>Legal + 365 days Past Due</v>
          </cell>
          <cell r="F6">
            <v>-672777.9728657587</v>
          </cell>
          <cell r="G6">
            <v>-672.77797286575867</v>
          </cell>
        </row>
        <row r="7">
          <cell r="A7" t="str">
            <v>Legal 1 - 365 days Past Due</v>
          </cell>
          <cell r="B7"/>
          <cell r="C7">
            <v>0</v>
          </cell>
          <cell r="E7" t="str">
            <v>Legal 1 - 365 days Past Due</v>
          </cell>
          <cell r="F7"/>
          <cell r="G7">
            <v>0</v>
          </cell>
        </row>
        <row r="8">
          <cell r="A8" t="str">
            <v>Critical</v>
          </cell>
          <cell r="B8">
            <v>-1537971.6685860683</v>
          </cell>
          <cell r="C8">
            <v>-1537.9716685860683</v>
          </cell>
          <cell r="E8" t="str">
            <v>Critical</v>
          </cell>
          <cell r="F8">
            <v>-273612.7576333856</v>
          </cell>
          <cell r="G8">
            <v>-273.61275763338557</v>
          </cell>
        </row>
        <row r="17">
          <cell r="A17" t="str">
            <v>1 - 90 days Past Due</v>
          </cell>
          <cell r="B17">
            <v>-3526873.3847004985</v>
          </cell>
          <cell r="C17">
            <v>-3526.8733847004987</v>
          </cell>
        </row>
        <row r="18">
          <cell r="A18" t="str">
            <v>Current</v>
          </cell>
          <cell r="B18">
            <v>-8504434.1934146117</v>
          </cell>
          <cell r="C18">
            <v>-8504.4341934146123</v>
          </cell>
        </row>
        <row r="19">
          <cell r="A19" t="str">
            <v>Legal + 365 days Past Due</v>
          </cell>
          <cell r="B19">
            <v>-7498450.4101947658</v>
          </cell>
          <cell r="C19">
            <v>-7498.4504101947659</v>
          </cell>
        </row>
        <row r="20">
          <cell r="A20" t="str">
            <v>Legal 1 - 365 days Past Due</v>
          </cell>
          <cell r="B20">
            <v>-334179.79719773238</v>
          </cell>
          <cell r="C20">
            <v>-334.1797971977324</v>
          </cell>
        </row>
        <row r="21">
          <cell r="A21" t="str">
            <v>Critical</v>
          </cell>
          <cell r="B21">
            <v>-2250112.1666119425</v>
          </cell>
          <cell r="C21">
            <v>-2250.1121666119425</v>
          </cell>
        </row>
        <row r="29">
          <cell r="A29" t="str">
            <v>1 - 90 days Past Due</v>
          </cell>
          <cell r="B29">
            <v>-49951.2974849522</v>
          </cell>
          <cell r="C29">
            <v>-49.9512974849522</v>
          </cell>
        </row>
        <row r="30">
          <cell r="A30" t="str">
            <v>Current</v>
          </cell>
          <cell r="B30">
            <v>-56093.817274775596</v>
          </cell>
          <cell r="C30">
            <v>-56.093817274775596</v>
          </cell>
        </row>
        <row r="31">
          <cell r="A31" t="str">
            <v>Legal + 365 days Past Due</v>
          </cell>
          <cell r="B31">
            <v>-1260775.426238006</v>
          </cell>
          <cell r="C31">
            <v>-1260.775426238006</v>
          </cell>
        </row>
        <row r="32">
          <cell r="A32" t="str">
            <v>Legal 1 - 365 days Past Due</v>
          </cell>
          <cell r="B32"/>
          <cell r="C32">
            <v>0</v>
          </cell>
        </row>
        <row r="33">
          <cell r="A33" t="str">
            <v>Critical</v>
          </cell>
          <cell r="B33">
            <v>-453467.02264351514</v>
          </cell>
          <cell r="C33">
            <v>-453.46702264351512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opLeftCell="A10" zoomScale="90" zoomScaleNormal="90" workbookViewId="0">
      <selection activeCell="M21" sqref="M21"/>
    </sheetView>
  </sheetViews>
  <sheetFormatPr defaultRowHeight="12.75"/>
  <cols>
    <col min="1" max="1" width="3.5703125" style="180" customWidth="1"/>
    <col min="2" max="2" width="6.42578125" style="180" bestFit="1" customWidth="1"/>
    <col min="3" max="3" width="8.85546875" style="180" hidden="1" customWidth="1"/>
    <col min="4" max="4" width="9.28515625" style="180" bestFit="1" customWidth="1"/>
    <col min="5" max="5" width="24.5703125" style="180" bestFit="1" customWidth="1"/>
    <col min="6" max="6" width="11" style="423" bestFit="1" customWidth="1"/>
    <col min="7" max="8" width="10.5703125" style="180" bestFit="1" customWidth="1"/>
    <col min="9" max="9" width="11" style="180" bestFit="1" customWidth="1"/>
    <col min="10" max="10" width="10.140625" style="180" bestFit="1" customWidth="1"/>
    <col min="11" max="11" width="10" style="180" bestFit="1" customWidth="1"/>
    <col min="12" max="13" width="10.5703125" style="180" bestFit="1" customWidth="1"/>
    <col min="14" max="14" width="12.42578125" style="180" bestFit="1" customWidth="1"/>
    <col min="15" max="15" width="13.5703125" style="191" bestFit="1" customWidth="1"/>
    <col min="16" max="16" width="10" style="191" bestFit="1" customWidth="1"/>
    <col min="17" max="17" width="9.28515625" style="180" bestFit="1" customWidth="1"/>
    <col min="18" max="16384" width="9.140625" style="180"/>
  </cols>
  <sheetData>
    <row r="1" spans="1:16">
      <c r="K1" s="1137" t="s">
        <v>45</v>
      </c>
      <c r="L1" s="1137">
        <f>INPUT!F5</f>
        <v>4.0038999999999998</v>
      </c>
    </row>
    <row r="2" spans="1:16">
      <c r="D2" s="1136"/>
      <c r="E2" s="1136"/>
    </row>
    <row r="3" spans="1:16">
      <c r="D3" s="1136"/>
      <c r="E3" s="1136"/>
    </row>
    <row r="4" spans="1:16">
      <c r="D4" s="1136"/>
      <c r="E4" s="1136"/>
    </row>
    <row r="5" spans="1:16" ht="21.75" thickBot="1">
      <c r="A5" s="1138"/>
      <c r="B5" s="1138"/>
      <c r="C5" s="1138"/>
      <c r="D5" s="1385" t="s">
        <v>212</v>
      </c>
      <c r="E5" s="1385"/>
      <c r="F5" s="1385"/>
      <c r="G5" s="1385"/>
      <c r="H5" s="1385"/>
      <c r="I5" s="1385"/>
      <c r="J5" s="1385"/>
      <c r="K5" s="1385"/>
      <c r="L5" s="1385"/>
      <c r="M5" s="1385"/>
      <c r="N5" s="1385"/>
      <c r="P5" s="180"/>
    </row>
    <row r="6" spans="1:16" ht="14.25" thickTop="1" thickBot="1">
      <c r="K6" s="424"/>
      <c r="L6" s="225"/>
      <c r="M6" s="225"/>
      <c r="N6" s="225"/>
      <c r="P6" s="180"/>
    </row>
    <row r="7" spans="1:16" ht="26.25" thickBot="1">
      <c r="B7" s="1378" t="s">
        <v>30</v>
      </c>
      <c r="C7" s="1379"/>
      <c r="D7" s="157" t="s">
        <v>21</v>
      </c>
      <c r="E7" s="157" t="s">
        <v>5</v>
      </c>
      <c r="F7" s="344" t="s">
        <v>12</v>
      </c>
      <c r="G7" s="158" t="s">
        <v>11</v>
      </c>
      <c r="H7" s="158" t="s">
        <v>3</v>
      </c>
      <c r="I7" s="158" t="s">
        <v>10</v>
      </c>
      <c r="J7" s="158" t="s">
        <v>0</v>
      </c>
      <c r="K7" s="159" t="s">
        <v>2</v>
      </c>
      <c r="L7" s="160" t="s">
        <v>14</v>
      </c>
      <c r="M7" s="160" t="s">
        <v>22</v>
      </c>
      <c r="N7" s="161" t="s">
        <v>47</v>
      </c>
      <c r="P7" s="180"/>
    </row>
    <row r="8" spans="1:16" ht="15.75" customHeight="1">
      <c r="B8" s="1386" t="s">
        <v>171</v>
      </c>
      <c r="C8" s="1380" t="s">
        <v>29</v>
      </c>
      <c r="D8" s="1390" t="s">
        <v>6</v>
      </c>
      <c r="E8" s="425" t="s">
        <v>37</v>
      </c>
      <c r="F8" s="426">
        <f>'SUMMARY BRL'!F6/'SUMMARY USD'!$L$1</f>
        <v>86097.351597192755</v>
      </c>
      <c r="G8" s="427">
        <f>'SUMMARY BRL'!G6/'SUMMARY USD'!$L$1</f>
        <v>-4380.0353730113156</v>
      </c>
      <c r="H8" s="428">
        <f>'SUMMARY BRL'!H6/'SUMMARY USD'!$L$1</f>
        <v>0</v>
      </c>
      <c r="I8" s="428">
        <f>'SUMMARY BRL'!I6/'SUMMARY USD'!$L$1</f>
        <v>81658.867024650972</v>
      </c>
      <c r="J8" s="1144">
        <v>1</v>
      </c>
      <c r="K8" s="429">
        <f>'SUMMARY BRL'!K6/'SUMMARY USD'!$L$1</f>
        <v>0</v>
      </c>
      <c r="L8" s="430">
        <f>'SUMMARY BRL'!L6/'SUMMARY USD'!$L$1</f>
        <v>-82041.244206898278</v>
      </c>
      <c r="M8" s="190"/>
      <c r="N8" s="190"/>
      <c r="P8" s="431"/>
    </row>
    <row r="9" spans="1:16" ht="15.75" customHeight="1">
      <c r="B9" s="1387"/>
      <c r="C9" s="1383"/>
      <c r="D9" s="1391"/>
      <c r="E9" s="432" t="s">
        <v>38</v>
      </c>
      <c r="F9" s="433">
        <f>'SUMMARY BRL'!F7/'SUMMARY USD'!$L$1</f>
        <v>1103.1285946202452</v>
      </c>
      <c r="G9" s="434">
        <f>'SUMMARY BRL'!G7/'SUMMARY USD'!$L$1</f>
        <v>0</v>
      </c>
      <c r="H9" s="435">
        <f>'SUMMARY BRL'!H7/'SUMMARY USD'!$L$1</f>
        <v>0</v>
      </c>
      <c r="I9" s="435">
        <f>'SUMMARY BRL'!I7/'SUMMARY USD'!$L$1</f>
        <v>1103.1285946202452</v>
      </c>
      <c r="J9" s="1145">
        <v>0.9</v>
      </c>
      <c r="K9" s="436">
        <f>'SUMMARY BRL'!K7/'SUMMARY USD'!$L$1</f>
        <v>110.31285946202449</v>
      </c>
      <c r="L9" s="437">
        <f>'SUMMARY BRL'!L7/'SUMMARY USD'!$L$1</f>
        <v>-992.81573515822072</v>
      </c>
      <c r="M9" s="200"/>
      <c r="N9" s="200"/>
      <c r="P9" s="431"/>
    </row>
    <row r="10" spans="1:16" ht="15.75" customHeight="1" thickBot="1">
      <c r="B10" s="1387"/>
      <c r="C10" s="1383"/>
      <c r="D10" s="1392"/>
      <c r="E10" s="432" t="s">
        <v>36</v>
      </c>
      <c r="F10" s="433">
        <f>'SUMMARY BRL'!F8/'SUMMARY USD'!$L$1</f>
        <v>0</v>
      </c>
      <c r="G10" s="434">
        <f>'SUMMARY BRL'!G8/'SUMMARY USD'!$L$1</f>
        <v>0</v>
      </c>
      <c r="H10" s="435">
        <f>'SUMMARY BRL'!H8/'SUMMARY USD'!$L$1</f>
        <v>0</v>
      </c>
      <c r="I10" s="435">
        <f>'SUMMARY BRL'!I8/'SUMMARY USD'!$L$1</f>
        <v>0</v>
      </c>
      <c r="J10" s="1145">
        <v>0.9</v>
      </c>
      <c r="K10" s="436">
        <f>'SUMMARY BRL'!K8/'SUMMARY USD'!$L$1</f>
        <v>0</v>
      </c>
      <c r="L10" s="437">
        <f>'SUMMARY BRL'!L8/'SUMMARY USD'!$L$1</f>
        <v>0</v>
      </c>
      <c r="M10" s="200"/>
      <c r="N10" s="200"/>
      <c r="P10" s="431"/>
    </row>
    <row r="11" spans="1:16" ht="15.75" customHeight="1" thickBot="1">
      <c r="B11" s="1387"/>
      <c r="C11" s="1389"/>
      <c r="D11" s="1393" t="s">
        <v>23</v>
      </c>
      <c r="E11" s="1394"/>
      <c r="F11" s="438">
        <f>'SUMMARY BRL'!F9/'SUMMARY USD'!$L$1</f>
        <v>87200.480191812996</v>
      </c>
      <c r="G11" s="439">
        <f>'SUMMARY BRL'!G9/'SUMMARY USD'!$L$1</f>
        <v>-4380.0353730113156</v>
      </c>
      <c r="H11" s="440">
        <f>'SUMMARY BRL'!H9/'SUMMARY USD'!$L$1</f>
        <v>0</v>
      </c>
      <c r="I11" s="440">
        <f>'SUMMARY BRL'!I9/'SUMMARY USD'!$L$1</f>
        <v>82761.995619271212</v>
      </c>
      <c r="J11" s="441">
        <f>IF(ISERROR(-L11/I11),0,IF(-L11/I11&lt;0,100%,IF(-L11/I11&gt;100%,100%,-L11/I11)))</f>
        <v>1</v>
      </c>
      <c r="K11" s="440">
        <f>'SUMMARY BRL'!K9/'SUMMARY USD'!$L$1</f>
        <v>110.31285946202449</v>
      </c>
      <c r="L11" s="442">
        <f>'SUMMARY BRL'!L9/'SUMMARY USD'!$L$1</f>
        <v>-83034.059942056498</v>
      </c>
      <c r="M11" s="443">
        <f>'SUMMARY BRL'!M9/'SUMMARY USD'!$L$1</f>
        <v>-83826.750008741481</v>
      </c>
      <c r="N11" s="444">
        <f>'SUMMARY BRL'!N9/'SUMMARY USD'!$L$1</f>
        <v>-792.69006668499048</v>
      </c>
      <c r="P11" s="431"/>
    </row>
    <row r="12" spans="1:16" ht="15.75" customHeight="1">
      <c r="B12" s="1387"/>
      <c r="C12" s="1389"/>
      <c r="D12" s="1395" t="s">
        <v>4</v>
      </c>
      <c r="E12" s="445" t="s">
        <v>39</v>
      </c>
      <c r="F12" s="433">
        <f>'SUMMARY BRL'!F10/'SUMMARY USD'!$L$1</f>
        <v>28265.855748145557</v>
      </c>
      <c r="G12" s="446">
        <f>'SUMMARY BRL'!G10/'SUMMARY USD'!$L$1</f>
        <v>-514.01600689327904</v>
      </c>
      <c r="H12" s="446">
        <f>'SUMMARY BRL'!H10/'SUMMARY USD'!$L$1</f>
        <v>-4515.1636154749112</v>
      </c>
      <c r="I12" s="447">
        <f>'SUMMARY BRL'!I10/'SUMMARY USD'!$L$1</f>
        <v>23236.676125777369</v>
      </c>
      <c r="J12" s="1146">
        <v>0.6</v>
      </c>
      <c r="K12" s="448">
        <f>'SUMMARY BRL'!K10/'SUMMARY USD'!$L$1</f>
        <v>9250.9640609972776</v>
      </c>
      <c r="L12" s="449">
        <f>'SUMMARY BRL'!L10/'SUMMARY USD'!$L$1</f>
        <v>-18500.875680254998</v>
      </c>
      <c r="M12" s="450"/>
      <c r="N12" s="450"/>
      <c r="P12" s="431"/>
    </row>
    <row r="13" spans="1:16" ht="15.75" customHeight="1">
      <c r="B13" s="1387"/>
      <c r="C13" s="1383"/>
      <c r="D13" s="1396"/>
      <c r="E13" s="445" t="s">
        <v>33</v>
      </c>
      <c r="F13" s="433">
        <f>'SUMMARY BRL'!F11/'SUMMARY USD'!$L$1</f>
        <v>14.804500611903396</v>
      </c>
      <c r="G13" s="446">
        <f>'SUMMARY BRL'!G11/'SUMMARY USD'!$L$1</f>
        <v>0</v>
      </c>
      <c r="H13" s="446">
        <f>'SUMMARY BRL'!H11/'SUMMARY USD'!$L$1</f>
        <v>0</v>
      </c>
      <c r="I13" s="446">
        <f>'SUMMARY BRL'!I11/'SUMMARY USD'!$L$1</f>
        <v>14.804500611903396</v>
      </c>
      <c r="J13" s="1146">
        <v>0.6</v>
      </c>
      <c r="K13" s="436">
        <f>'SUMMARY BRL'!K11/'SUMMARY USD'!$L$1</f>
        <v>5.9218002447613598</v>
      </c>
      <c r="L13" s="449">
        <f>'SUMMARY BRL'!L11/'SUMMARY USD'!$L$1</f>
        <v>-8.8827003671420375</v>
      </c>
      <c r="M13" s="200"/>
      <c r="N13" s="200"/>
      <c r="P13" s="431"/>
    </row>
    <row r="14" spans="1:16" ht="15.75" customHeight="1">
      <c r="B14" s="1387"/>
      <c r="C14" s="1383"/>
      <c r="D14" s="1397"/>
      <c r="E14" s="451" t="s">
        <v>1</v>
      </c>
      <c r="F14" s="452">
        <f>'SUMMARY BRL'!F12/'SUMMARY USD'!$L$1</f>
        <v>0</v>
      </c>
      <c r="G14" s="453">
        <f>'SUMMARY BRL'!G12/'SUMMARY USD'!$L$1</f>
        <v>0</v>
      </c>
      <c r="H14" s="453">
        <f>'SUMMARY BRL'!H12/'SUMMARY USD'!$L$1</f>
        <v>0</v>
      </c>
      <c r="I14" s="454">
        <f>'SUMMARY BRL'!I12/'SUMMARY USD'!$L$1</f>
        <v>0.29970778490971306</v>
      </c>
      <c r="J14" s="1147">
        <v>0.6</v>
      </c>
      <c r="K14" s="455">
        <f>'SUMMARY BRL'!K12/'SUMMARY USD'!$L$1</f>
        <v>0</v>
      </c>
      <c r="L14" s="456">
        <f>'SUMMARY BRL'!L12/'SUMMARY USD'!$L$1</f>
        <v>0</v>
      </c>
      <c r="M14" s="200"/>
      <c r="N14" s="200"/>
      <c r="P14" s="431"/>
    </row>
    <row r="15" spans="1:16" ht="15.75" customHeight="1">
      <c r="B15" s="1387"/>
      <c r="C15" s="1383"/>
      <c r="D15" s="1398" t="s">
        <v>40</v>
      </c>
      <c r="E15" s="457" t="s">
        <v>33</v>
      </c>
      <c r="F15" s="433">
        <f>'SUMMARY BRL'!F13/'SUMMARY USD'!$L$1</f>
        <v>44997.125597542341</v>
      </c>
      <c r="G15" s="448">
        <f>'SUMMARY BRL'!G13/'SUMMARY USD'!$L$1</f>
        <v>0</v>
      </c>
      <c r="H15" s="435">
        <f>'SUMMARY BRL'!H13/'SUMMARY USD'!$L$1</f>
        <v>-8098.1812008291981</v>
      </c>
      <c r="I15" s="435">
        <f>'SUMMARY BRL'!I13/'SUMMARY USD'!$L$1</f>
        <v>36898.944396713152</v>
      </c>
      <c r="J15" s="1312" t="s">
        <v>206</v>
      </c>
      <c r="K15" s="436">
        <f>'SUMMARY BRL'!K13/'SUMMARY USD'!$L$1</f>
        <v>44206.57984709592</v>
      </c>
      <c r="L15" s="458">
        <f>'SUMMARY BRL'!L13/'SUMMARY USD'!$L$1</f>
        <v>-790.54575044642979</v>
      </c>
      <c r="M15" s="200"/>
      <c r="N15" s="200"/>
      <c r="P15" s="431"/>
    </row>
    <row r="16" spans="1:16" ht="15.75" customHeight="1" thickBot="1">
      <c r="B16" s="1387"/>
      <c r="C16" s="1383"/>
      <c r="D16" s="1399"/>
      <c r="E16" s="457" t="s">
        <v>41</v>
      </c>
      <c r="F16" s="433">
        <f>'SUMMARY BRL'!F14/'SUMMARY USD'!$L$1</f>
        <v>79891.514860510957</v>
      </c>
      <c r="G16" s="459">
        <f>'SUMMARY BRL'!G14/'SUMMARY USD'!$L$1</f>
        <v>-68528.368996538862</v>
      </c>
      <c r="H16" s="435">
        <f>'SUMMARY BRL'!H14/'SUMMARY USD'!$L$1</f>
        <v>-22474.984062519543</v>
      </c>
      <c r="I16" s="435">
        <f>'SUMMARY BRL'!I14/'SUMMARY USD'!$L$1</f>
        <v>-11111.838198547441</v>
      </c>
      <c r="J16" s="1313" t="s">
        <v>206</v>
      </c>
      <c r="K16" s="436">
        <f>'SUMMARY BRL'!K14/'SUMMARY USD'!$L$1</f>
        <v>39588.477582241198</v>
      </c>
      <c r="L16" s="460">
        <f>'SUMMARY BRL'!L14/'SUMMARY USD'!$L$1</f>
        <v>-515.06427850993441</v>
      </c>
      <c r="M16" s="200"/>
      <c r="N16" s="200"/>
      <c r="P16" s="431"/>
    </row>
    <row r="17" spans="2:16" ht="15.75" customHeight="1" thickBot="1">
      <c r="B17" s="1387"/>
      <c r="C17" s="1383"/>
      <c r="D17" s="1400" t="s">
        <v>24</v>
      </c>
      <c r="E17" s="1401"/>
      <c r="F17" s="461">
        <f>'SUMMARY BRL'!F15/'SUMMARY USD'!$L$1</f>
        <v>153169.30070681075</v>
      </c>
      <c r="G17" s="462">
        <f>'SUMMARY BRL'!G15/'SUMMARY USD'!$L$1</f>
        <v>-69042.385003432137</v>
      </c>
      <c r="H17" s="462">
        <f>'SUMMARY BRL'!H15/'SUMMARY USD'!$L$1</f>
        <v>-35088.328878823653</v>
      </c>
      <c r="I17" s="462">
        <f>'SUMMARY BRL'!I15/'SUMMARY USD'!$L$1</f>
        <v>49038.886532339893</v>
      </c>
      <c r="J17" s="463">
        <f>IF(ISERROR(-L17/I17),0,IF(-L17/I17&lt;0,100%,IF(-L17/I17&gt;100%,100%,-L17/I17)))</f>
        <v>0.4040745989717931</v>
      </c>
      <c r="K17" s="462">
        <f>'SUMMARY BRL'!K15/'SUMMARY USD'!$L$1</f>
        <v>93051.943290579162</v>
      </c>
      <c r="L17" s="462">
        <f>'SUMMARY BRL'!L15/'SUMMARY USD'!$L$1</f>
        <v>-19815.368409578507</v>
      </c>
      <c r="M17" s="444">
        <f>'SUMMARY BRL'!M15/'SUMMARY USD'!$L$1</f>
        <v>-22809.883411963336</v>
      </c>
      <c r="N17" s="444">
        <f>'SUMMARY BRL'!N15/'SUMMARY USD'!$L$1</f>
        <v>-2994.51500238483</v>
      </c>
      <c r="P17" s="431"/>
    </row>
    <row r="18" spans="2:16" ht="15.75" customHeight="1" thickBot="1">
      <c r="B18" s="1388"/>
      <c r="C18" s="1384"/>
      <c r="D18" s="860" t="s">
        <v>9</v>
      </c>
      <c r="E18" s="861"/>
      <c r="F18" s="1115">
        <f>'SUMMARY BRL'!F16/'SUMMARY USD'!$L$1</f>
        <v>240369.78089862372</v>
      </c>
      <c r="G18" s="862">
        <f>'SUMMARY BRL'!G16/'SUMMARY USD'!$L$1</f>
        <v>-73422.42037644345</v>
      </c>
      <c r="H18" s="862">
        <f>'SUMMARY BRL'!H16/'SUMMARY USD'!$L$1</f>
        <v>-35088.328878823653</v>
      </c>
      <c r="I18" s="862">
        <f>'SUMMARY BRL'!I16/'SUMMARY USD'!$L$1</f>
        <v>131800.88215161109</v>
      </c>
      <c r="J18" s="1116">
        <f>IF(ISERROR(-L18/I18),0,IF(-L18/I18&lt;0,100%,IF(-L18/I18&gt;100%,100%,-L18/I18)))</f>
        <v>0.78033945351994594</v>
      </c>
      <c r="K18" s="862">
        <f>'SUMMARY BRL'!K16/'SUMMARY USD'!$L$1</f>
        <v>93162.256150041183</v>
      </c>
      <c r="L18" s="862">
        <f>'SUMMARY BRL'!L16/'SUMMARY USD'!$L$1</f>
        <v>-102849.428351635</v>
      </c>
      <c r="M18" s="866">
        <f>'SUMMARY BRL'!M16/'SUMMARY USD'!$L$1</f>
        <v>-106636.63342070482</v>
      </c>
      <c r="N18" s="866">
        <f>'SUMMARY BRL'!N16/'SUMMARY USD'!$L$1</f>
        <v>-3787.2050690698206</v>
      </c>
      <c r="P18" s="431"/>
    </row>
    <row r="19" spans="2:16" ht="13.5" thickBot="1">
      <c r="F19" s="482"/>
      <c r="G19" s="191"/>
      <c r="H19" s="191"/>
      <c r="I19" s="191"/>
      <c r="J19" s="191"/>
      <c r="K19" s="191"/>
      <c r="L19" s="191"/>
      <c r="M19" s="191"/>
      <c r="N19" s="191"/>
      <c r="P19" s="431"/>
    </row>
    <row r="20" spans="2:16" ht="26.25" thickBot="1">
      <c r="B20" s="1378" t="s">
        <v>30</v>
      </c>
      <c r="C20" s="1379"/>
      <c r="D20" s="157" t="s">
        <v>21</v>
      </c>
      <c r="E20" s="157" t="s">
        <v>5</v>
      </c>
      <c r="F20" s="344" t="s">
        <v>12</v>
      </c>
      <c r="G20" s="158" t="s">
        <v>11</v>
      </c>
      <c r="H20" s="158" t="s">
        <v>3</v>
      </c>
      <c r="I20" s="158" t="s">
        <v>10</v>
      </c>
      <c r="J20" s="158" t="s">
        <v>0</v>
      </c>
      <c r="K20" s="162" t="s">
        <v>2</v>
      </c>
      <c r="L20" s="160" t="s">
        <v>14</v>
      </c>
      <c r="M20" s="163" t="s">
        <v>22</v>
      </c>
      <c r="N20" s="160" t="s">
        <v>47</v>
      </c>
      <c r="P20" s="431"/>
    </row>
    <row r="21" spans="2:16" ht="18" customHeight="1">
      <c r="B21" s="1380" t="s">
        <v>200</v>
      </c>
      <c r="C21" s="1380" t="s">
        <v>29</v>
      </c>
      <c r="D21" s="465" t="s">
        <v>1</v>
      </c>
      <c r="E21" s="466" t="s">
        <v>1</v>
      </c>
      <c r="F21" s="467">
        <f>'SUMMARY BRL'!F19/'SUMMARY USD'!$L$1</f>
        <v>50992.72252803517</v>
      </c>
      <c r="G21" s="435">
        <f>'SUMMARY BRL'!G19/'SUMMARY USD'!$L$1</f>
        <v>0</v>
      </c>
      <c r="H21" s="435">
        <f>'SUMMARY BRL'!H19/'SUMMARY USD'!$L$1</f>
        <v>0</v>
      </c>
      <c r="I21" s="454">
        <f>'SUMMARY BRL'!I19/'SUMMARY USD'!$L$1</f>
        <v>50992.72252803517</v>
      </c>
      <c r="J21" s="1228">
        <v>1.9E-2</v>
      </c>
      <c r="K21" s="468">
        <f>'SUMMARY BRL'!K19/'SUMMARY USD'!$L$1</f>
        <v>50023.860800002505</v>
      </c>
      <c r="L21" s="469">
        <f>'SUMMARY BRL'!L19/'SUMMARY USD'!$L$1</f>
        <v>-968.86172803266822</v>
      </c>
      <c r="M21" s="298"/>
      <c r="N21" s="298"/>
      <c r="P21" s="431"/>
    </row>
    <row r="22" spans="2:16" ht="18" customHeight="1">
      <c r="B22" s="1381"/>
      <c r="C22" s="1383"/>
      <c r="D22" s="422" t="s">
        <v>7</v>
      </c>
      <c r="E22" s="470" t="s">
        <v>35</v>
      </c>
      <c r="F22" s="471">
        <f>'SUMMARY BRL'!F20/'SUMMARY USD'!$L$1</f>
        <v>4105.4692200104892</v>
      </c>
      <c r="G22" s="472">
        <f>'SUMMARY BRL'!G20/'SUMMARY USD'!$L$1</f>
        <v>0</v>
      </c>
      <c r="H22" s="472">
        <f>'SUMMARY BRL'!H20/'SUMMARY USD'!$L$1</f>
        <v>0</v>
      </c>
      <c r="I22" s="472">
        <f>'SUMMARY BRL'!I20/'SUMMARY USD'!$L$1</f>
        <v>4105.4692200104892</v>
      </c>
      <c r="J22" s="1229">
        <v>1.9E-2</v>
      </c>
      <c r="K22" s="474">
        <f>'SUMMARY BRL'!K20/'SUMMARY USD'!$L$1</f>
        <v>4027.4653048302898</v>
      </c>
      <c r="L22" s="475">
        <f>'SUMMARY BRL'!L20/'SUMMARY USD'!$L$1</f>
        <v>-78.0039151801993</v>
      </c>
      <c r="M22" s="297"/>
      <c r="N22" s="297"/>
      <c r="P22" s="431"/>
    </row>
    <row r="23" spans="2:16" ht="18" customHeight="1" thickBot="1">
      <c r="B23" s="1381"/>
      <c r="C23" s="1383"/>
      <c r="D23" s="1153">
        <f>'[4]BAL S&amp;T'!D21</f>
        <v>0</v>
      </c>
      <c r="E23" s="470" t="str">
        <f>'[5]SUMMARY BRL'!E21</f>
        <v>Critical Current</v>
      </c>
      <c r="F23" s="471">
        <f>'SUMMARY BRL'!F21/'SUMMARY USD'!$L$1</f>
        <v>0</v>
      </c>
      <c r="G23" s="471">
        <f>'SUMMARY BRL'!G21/'SUMMARY USD'!$L$1</f>
        <v>0</v>
      </c>
      <c r="H23" s="471">
        <f>'SUMMARY BRL'!H21/'SUMMARY USD'!$L$1</f>
        <v>0</v>
      </c>
      <c r="I23" s="471">
        <f>'SUMMARY BRL'!I21/'SUMMARY USD'!$L$1</f>
        <v>0</v>
      </c>
      <c r="J23" s="473">
        <v>0.6</v>
      </c>
      <c r="K23" s="474">
        <f>'SUMMARY BRL'!K21/'SUMMARY USD'!$L$1</f>
        <v>0</v>
      </c>
      <c r="L23" s="475">
        <f>'SUMMARY BRL'!L21/'SUMMARY USD'!$L$1</f>
        <v>0</v>
      </c>
      <c r="M23" s="297"/>
      <c r="N23" s="297"/>
      <c r="P23" s="431"/>
    </row>
    <row r="24" spans="2:16" ht="18" customHeight="1" thickBot="1">
      <c r="B24" s="1382"/>
      <c r="C24" s="1384"/>
      <c r="D24" s="860" t="s">
        <v>9</v>
      </c>
      <c r="E24" s="1114"/>
      <c r="F24" s="1115">
        <f>'SUMMARY BRL'!F22/'SUMMARY USD'!$L$1</f>
        <v>55098.191748045661</v>
      </c>
      <c r="G24" s="862">
        <f>'SUMMARY BRL'!G22/'SUMMARY USD'!$L$1</f>
        <v>0</v>
      </c>
      <c r="H24" s="862">
        <f>'SUMMARY BRL'!H22/'SUMMARY USD'!$L$1</f>
        <v>0</v>
      </c>
      <c r="I24" s="862">
        <f>'SUMMARY BRL'!I22/'SUMMARY USD'!$L$1</f>
        <v>55098.191748045661</v>
      </c>
      <c r="J24" s="1116">
        <f>'SUMMARY BRL'!J22</f>
        <v>0</v>
      </c>
      <c r="K24" s="1117">
        <f>'SUMMARY BRL'!K22/'SUMMARY USD'!$L$1</f>
        <v>54051.326104832791</v>
      </c>
      <c r="L24" s="1118">
        <f>'SUMMARY BRL'!L22/'SUMMARY USD'!$L$1</f>
        <v>-1046.8656432128673</v>
      </c>
      <c r="M24" s="866">
        <f>'SUMMARY BRL'!M22/'SUMMARY USD'!$L$1</f>
        <v>-2252.8782412148157</v>
      </c>
      <c r="N24" s="866">
        <f>'SUMMARY BRL'!N22/'SUMMARY USD'!$L$1</f>
        <v>-1206.0125980019482</v>
      </c>
      <c r="P24" s="431"/>
    </row>
    <row r="25" spans="2:16" s="298" customFormat="1" ht="13.5" thickBot="1">
      <c r="B25" s="294"/>
      <c r="C25" s="294"/>
      <c r="D25" s="345"/>
      <c r="E25" s="345"/>
      <c r="F25" s="476"/>
      <c r="G25" s="477"/>
      <c r="H25" s="477"/>
      <c r="I25" s="477"/>
      <c r="J25" s="478"/>
      <c r="K25" s="479"/>
      <c r="L25" s="479"/>
      <c r="M25" s="479"/>
      <c r="N25" s="479"/>
      <c r="O25" s="297"/>
      <c r="P25" s="431"/>
    </row>
    <row r="26" spans="2:16" s="298" customFormat="1" ht="15.75" customHeight="1" thickBot="1">
      <c r="B26" s="1139" t="s">
        <v>32</v>
      </c>
      <c r="C26" s="1139" t="s">
        <v>31</v>
      </c>
      <c r="D26" s="1119" t="s">
        <v>9</v>
      </c>
      <c r="E26" s="1140"/>
      <c r="F26" s="1121">
        <f>'SUMMARY BRL'!F24/'SUMMARY USD'!$L$1</f>
        <v>295467.97264666937</v>
      </c>
      <c r="G26" s="1121">
        <f>'SUMMARY BRL'!G24/'SUMMARY USD'!$L$1</f>
        <v>-73422.42037644345</v>
      </c>
      <c r="H26" s="1121">
        <f>'SUMMARY BRL'!H24/'SUMMARY USD'!$L$1</f>
        <v>-35088.328878823653</v>
      </c>
      <c r="I26" s="1121">
        <f>'SUMMARY BRL'!I24/'SUMMARY USD'!$L$1</f>
        <v>186899.07389965677</v>
      </c>
      <c r="J26" s="1122">
        <f>'SUMMARY BRL'!J24/'SUMMARY USD'!$L$1</f>
        <v>0.13883842708891631</v>
      </c>
      <c r="K26" s="1141">
        <f>'SUMMARY BRL'!K24/'SUMMARY USD'!$L$1</f>
        <v>147213.58225487397</v>
      </c>
      <c r="L26" s="1142">
        <f>'SUMMARY BRL'!L24/'SUMMARY USD'!$L$1</f>
        <v>-103896.29399484786</v>
      </c>
      <c r="M26" s="1123">
        <f>'SUMMARY BRL'!M24/'SUMMARY USD'!$L$1</f>
        <v>-108889.51166191963</v>
      </c>
      <c r="N26" s="1143">
        <f>'SUMMARY BRL'!N24/'SUMMARY USD'!$L$1</f>
        <v>-4993.217667071769</v>
      </c>
      <c r="O26" s="1272"/>
      <c r="P26" s="431"/>
    </row>
    <row r="27" spans="2:16" s="298" customFormat="1">
      <c r="B27" s="294"/>
      <c r="C27" s="345"/>
      <c r="D27" s="345"/>
      <c r="E27" s="345"/>
      <c r="F27" s="480"/>
      <c r="G27" s="480"/>
      <c r="H27" s="480"/>
      <c r="I27" s="477"/>
      <c r="J27" s="478"/>
      <c r="K27" s="479"/>
      <c r="L27" s="479"/>
      <c r="O27" s="297"/>
      <c r="P27" s="297"/>
    </row>
    <row r="28" spans="2:16">
      <c r="G28" s="481"/>
      <c r="N28" s="895"/>
      <c r="O28" s="895"/>
    </row>
    <row r="29" spans="2:16">
      <c r="N29" s="191"/>
    </row>
    <row r="30" spans="2:16">
      <c r="N30" s="191"/>
    </row>
    <row r="31" spans="2:16">
      <c r="N31" s="191"/>
    </row>
    <row r="32" spans="2:16">
      <c r="N32" s="1242"/>
    </row>
  </sheetData>
  <mergeCells count="12">
    <mergeCell ref="B20:C20"/>
    <mergeCell ref="B21:B24"/>
    <mergeCell ref="C21:C24"/>
    <mergeCell ref="D5:N5"/>
    <mergeCell ref="B7:C7"/>
    <mergeCell ref="B8:B18"/>
    <mergeCell ref="C8:C18"/>
    <mergeCell ref="D8:D10"/>
    <mergeCell ref="D11:E11"/>
    <mergeCell ref="D12:D14"/>
    <mergeCell ref="D15:D16"/>
    <mergeCell ref="D17:E17"/>
  </mergeCells>
  <pageMargins left="0" right="0" top="0.47244094488188981" bottom="0.35433070866141736" header="0.31496062992125984" footer="0.31496062992125984"/>
  <pageSetup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B1:T57"/>
  <sheetViews>
    <sheetView showGridLines="0" topLeftCell="F1" zoomScale="90" zoomScaleNormal="90" zoomScaleSheetLayoutView="100" workbookViewId="0">
      <selection activeCell="O30" sqref="O30"/>
    </sheetView>
  </sheetViews>
  <sheetFormatPr defaultRowHeight="12.75" outlineLevelCol="1"/>
  <cols>
    <col min="1" max="2" width="3" style="30" customWidth="1"/>
    <col min="3" max="3" width="5.42578125" style="30" customWidth="1"/>
    <col min="4" max="4" width="10.140625" style="30" bestFit="1" customWidth="1"/>
    <col min="5" max="5" width="25.140625" style="30" bestFit="1" customWidth="1" outlineLevel="1"/>
    <col min="6" max="6" width="10.140625" style="30" bestFit="1" customWidth="1" outlineLevel="1"/>
    <col min="7" max="7" width="12.7109375" style="30" bestFit="1" customWidth="1" outlineLevel="1"/>
    <col min="8" max="8" width="11.140625" style="30" bestFit="1" customWidth="1" outlineLevel="1"/>
    <col min="9" max="9" width="13.28515625" style="30" bestFit="1" customWidth="1" outlineLevel="1"/>
    <col min="10" max="10" width="16.5703125" style="30" bestFit="1" customWidth="1" outlineLevel="1"/>
    <col min="11" max="11" width="12.5703125" style="30" bestFit="1" customWidth="1" outlineLevel="1"/>
    <col min="12" max="12" width="16" style="30" bestFit="1" customWidth="1" outlineLevel="1"/>
    <col min="13" max="13" width="15.85546875" style="30" bestFit="1" customWidth="1"/>
    <col min="14" max="15" width="15.85546875" style="30" customWidth="1"/>
    <col min="16" max="16" width="13.140625" style="30" bestFit="1" customWidth="1"/>
    <col min="17" max="17" width="14" style="30" bestFit="1" customWidth="1"/>
    <col min="18" max="18" width="16.7109375" style="33" bestFit="1" customWidth="1"/>
    <col min="19" max="19" width="11.85546875" style="33" customWidth="1"/>
    <col min="20" max="20" width="9.5703125" style="33" customWidth="1"/>
    <col min="21" max="16384" width="9.140625" style="30"/>
  </cols>
  <sheetData>
    <row r="1" spans="2:18" ht="21.75" thickBot="1">
      <c r="C1" s="327"/>
      <c r="E1" s="1488" t="s">
        <v>148</v>
      </c>
      <c r="F1" s="1488"/>
      <c r="G1" s="1488"/>
      <c r="H1" s="1488"/>
      <c r="I1" s="1488"/>
      <c r="J1" s="1488"/>
      <c r="K1" s="1488"/>
      <c r="L1" s="1488"/>
      <c r="M1" s="32"/>
      <c r="N1" s="32"/>
      <c r="O1" s="32"/>
      <c r="P1" s="32"/>
      <c r="Q1" s="178"/>
    </row>
    <row r="2" spans="2:18" ht="15.75" thickBot="1">
      <c r="B2" s="1449" t="s">
        <v>108</v>
      </c>
      <c r="C2" s="1450"/>
      <c r="D2" s="157" t="s">
        <v>21</v>
      </c>
      <c r="E2" s="7" t="s">
        <v>5</v>
      </c>
      <c r="F2" s="157" t="s">
        <v>12</v>
      </c>
      <c r="G2" s="158" t="s">
        <v>11</v>
      </c>
      <c r="H2" s="158" t="s">
        <v>3</v>
      </c>
      <c r="I2" s="158" t="s">
        <v>10</v>
      </c>
      <c r="J2" s="158" t="s">
        <v>0</v>
      </c>
      <c r="K2" s="159" t="s">
        <v>2</v>
      </c>
      <c r="L2" s="160" t="s">
        <v>14</v>
      </c>
      <c r="M2" s="526" t="s">
        <v>155</v>
      </c>
      <c r="N2" s="526" t="s">
        <v>164</v>
      </c>
      <c r="O2" s="160" t="s">
        <v>22</v>
      </c>
      <c r="P2" s="161" t="s">
        <v>16</v>
      </c>
      <c r="Q2" s="1539"/>
      <c r="R2" s="1540"/>
    </row>
    <row r="3" spans="2:18" ht="13.5" hidden="1" thickBot="1">
      <c r="B3" s="1541" t="s">
        <v>20</v>
      </c>
      <c r="C3" s="1380" t="s">
        <v>8</v>
      </c>
      <c r="D3" s="1489" t="s">
        <v>6</v>
      </c>
      <c r="E3" s="34" t="s">
        <v>37</v>
      </c>
      <c r="F3" s="35"/>
      <c r="G3" s="165"/>
      <c r="H3" s="36">
        <v>0</v>
      </c>
      <c r="I3" s="37">
        <f t="shared" ref="I3:I11" si="0">F3+G3+H3</f>
        <v>0</v>
      </c>
      <c r="J3" s="173">
        <f>'SUMMARY BRL'!J6</f>
        <v>1</v>
      </c>
      <c r="K3" s="38">
        <f t="shared" ref="K3:K11" si="1">F3+G3+L3</f>
        <v>0</v>
      </c>
      <c r="L3" s="39">
        <f t="shared" ref="L3:L11" si="2">IF((-I3*J3)&gt;=0,0,(-I3*J3))</f>
        <v>0</v>
      </c>
      <c r="M3" s="40"/>
      <c r="N3" s="40"/>
      <c r="O3" s="40"/>
      <c r="P3" s="40"/>
      <c r="Q3" s="32"/>
    </row>
    <row r="4" spans="2:18" ht="13.5" hidden="1" thickBot="1">
      <c r="B4" s="1542"/>
      <c r="C4" s="1383"/>
      <c r="D4" s="1490"/>
      <c r="E4" s="42" t="s">
        <v>38</v>
      </c>
      <c r="F4" s="43"/>
      <c r="G4" s="166"/>
      <c r="H4" s="44">
        <v>0</v>
      </c>
      <c r="I4" s="45">
        <f t="shared" si="0"/>
        <v>0</v>
      </c>
      <c r="J4" s="59">
        <f>'SUMMARY BRL'!J7</f>
        <v>0.9</v>
      </c>
      <c r="K4" s="47">
        <f t="shared" si="1"/>
        <v>0</v>
      </c>
      <c r="L4" s="48">
        <f t="shared" si="2"/>
        <v>0</v>
      </c>
      <c r="M4" s="49"/>
      <c r="N4" s="49"/>
      <c r="O4" s="49"/>
      <c r="P4" s="49"/>
      <c r="Q4" s="32"/>
    </row>
    <row r="5" spans="2:18" ht="13.5" hidden="1" thickBot="1">
      <c r="B5" s="1542"/>
      <c r="C5" s="1383"/>
      <c r="D5" s="1480"/>
      <c r="E5" s="42" t="s">
        <v>36</v>
      </c>
      <c r="F5" s="50"/>
      <c r="G5" s="166"/>
      <c r="H5" s="44">
        <v>0</v>
      </c>
      <c r="I5" s="45">
        <f t="shared" si="0"/>
        <v>0</v>
      </c>
      <c r="J5" s="63">
        <f>'SUMMARY BRL'!J8</f>
        <v>0.9</v>
      </c>
      <c r="K5" s="47">
        <f t="shared" si="1"/>
        <v>0</v>
      </c>
      <c r="L5" s="48">
        <f t="shared" si="2"/>
        <v>0</v>
      </c>
      <c r="M5" s="49"/>
      <c r="N5" s="49"/>
      <c r="O5" s="49"/>
      <c r="P5" s="49"/>
    </row>
    <row r="6" spans="2:18" ht="13.5" hidden="1" thickBot="1">
      <c r="B6" s="1542"/>
      <c r="C6" s="1383"/>
      <c r="D6" s="1491" t="s">
        <v>23</v>
      </c>
      <c r="E6" s="1492"/>
      <c r="F6" s="167">
        <f>SUM(F3:F5)</f>
        <v>0</v>
      </c>
      <c r="G6" s="168">
        <f>SUM(G3:G5)</f>
        <v>0</v>
      </c>
      <c r="H6" s="169"/>
      <c r="I6" s="170">
        <f>SUM(I3:I5)</f>
        <v>0</v>
      </c>
      <c r="J6" s="53">
        <f>IF(ISERROR(-L6/I6),0,IF(-L6/I6&lt;0,100%,IF(-L6/I6&gt;100%,100%,-L6/I6)))</f>
        <v>0</v>
      </c>
      <c r="K6" s="52">
        <f>SUM(K3:K5)</f>
        <v>0</v>
      </c>
      <c r="L6" s="54">
        <f>SUM(L3:L5)</f>
        <v>0</v>
      </c>
      <c r="M6" s="144"/>
      <c r="N6" s="145"/>
      <c r="O6" s="145"/>
      <c r="P6" s="55">
        <f>-L6+M6</f>
        <v>0</v>
      </c>
    </row>
    <row r="7" spans="2:18" ht="13.5" hidden="1" thickBot="1">
      <c r="B7" s="1542"/>
      <c r="C7" s="1383"/>
      <c r="D7" s="1489" t="s">
        <v>4</v>
      </c>
      <c r="E7" s="171" t="s">
        <v>39</v>
      </c>
      <c r="F7" s="172"/>
      <c r="G7" s="172"/>
      <c r="H7" s="172"/>
      <c r="I7" s="172">
        <f>F7+G7+H7</f>
        <v>0</v>
      </c>
      <c r="J7" s="173">
        <f>'SUMMARY BRL'!J10</f>
        <v>0.6</v>
      </c>
      <c r="K7" s="38">
        <f t="shared" si="1"/>
        <v>0</v>
      </c>
      <c r="L7" s="39">
        <f t="shared" si="2"/>
        <v>0</v>
      </c>
      <c r="M7" s="49"/>
      <c r="N7" s="49"/>
      <c r="O7" s="49"/>
      <c r="P7" s="49"/>
    </row>
    <row r="8" spans="2:18" ht="13.5" hidden="1" thickBot="1">
      <c r="B8" s="1542"/>
      <c r="C8" s="1383"/>
      <c r="D8" s="1490"/>
      <c r="E8" s="56" t="s">
        <v>33</v>
      </c>
      <c r="F8" s="57"/>
      <c r="G8" s="57"/>
      <c r="H8" s="57"/>
      <c r="I8" s="57">
        <f>F8+G8+H8</f>
        <v>0</v>
      </c>
      <c r="J8" s="59">
        <f>'SUMMARY BRL'!J11</f>
        <v>0.6</v>
      </c>
      <c r="K8" s="47">
        <f t="shared" si="1"/>
        <v>0</v>
      </c>
      <c r="L8" s="48">
        <f t="shared" si="2"/>
        <v>0</v>
      </c>
      <c r="M8" s="49"/>
      <c r="N8" s="49"/>
      <c r="O8" s="49"/>
      <c r="P8" s="49"/>
    </row>
    <row r="9" spans="2:18" ht="13.5" hidden="1" thickBot="1">
      <c r="B9" s="1542"/>
      <c r="C9" s="1383"/>
      <c r="D9" s="1493"/>
      <c r="E9" s="60" t="s">
        <v>1</v>
      </c>
      <c r="F9" s="62"/>
      <c r="G9" s="62"/>
      <c r="H9" s="62"/>
      <c r="I9" s="62">
        <f t="shared" si="0"/>
        <v>0</v>
      </c>
      <c r="J9" s="63">
        <f>'SUMMARY BRL'!J12</f>
        <v>0.6</v>
      </c>
      <c r="K9" s="64">
        <f t="shared" si="1"/>
        <v>0</v>
      </c>
      <c r="L9" s="65">
        <f t="shared" si="2"/>
        <v>0</v>
      </c>
      <c r="M9" s="49"/>
      <c r="N9" s="49"/>
      <c r="O9" s="49"/>
      <c r="P9" s="49"/>
    </row>
    <row r="10" spans="2:18" ht="13.5" hidden="1" thickBot="1">
      <c r="B10" s="1542"/>
      <c r="C10" s="1383"/>
      <c r="D10" s="1494" t="s">
        <v>40</v>
      </c>
      <c r="E10" s="42" t="s">
        <v>33</v>
      </c>
      <c r="F10" s="172"/>
      <c r="G10" s="172"/>
      <c r="H10" s="174"/>
      <c r="I10" s="45">
        <f t="shared" si="0"/>
        <v>0</v>
      </c>
      <c r="J10" s="46" t="str">
        <f>'SUMMARY BRL'!J13</f>
        <v>1,9%/5,1%</v>
      </c>
      <c r="K10" s="47" t="e">
        <f t="shared" si="1"/>
        <v>#VALUE!</v>
      </c>
      <c r="L10" s="48" t="e">
        <f t="shared" si="2"/>
        <v>#VALUE!</v>
      </c>
      <c r="M10" s="49"/>
      <c r="N10" s="49"/>
      <c r="O10" s="49"/>
      <c r="P10" s="49"/>
    </row>
    <row r="11" spans="2:18" ht="13.5" hidden="1" thickBot="1">
      <c r="B11" s="1542"/>
      <c r="C11" s="1383"/>
      <c r="D11" s="1495"/>
      <c r="E11" s="42" t="s">
        <v>41</v>
      </c>
      <c r="F11" s="61"/>
      <c r="G11" s="61"/>
      <c r="H11" s="174"/>
      <c r="I11" s="45">
        <f t="shared" si="0"/>
        <v>0</v>
      </c>
      <c r="J11" s="66" t="str">
        <f>'SUMMARY BRL'!J14</f>
        <v>1,9%/5,1%</v>
      </c>
      <c r="K11" s="47" t="e">
        <f t="shared" si="1"/>
        <v>#VALUE!</v>
      </c>
      <c r="L11" s="48" t="e">
        <f t="shared" si="2"/>
        <v>#VALUE!</v>
      </c>
      <c r="M11" s="49"/>
      <c r="N11" s="49"/>
      <c r="O11" s="49"/>
      <c r="P11" s="49"/>
      <c r="R11" s="328"/>
    </row>
    <row r="12" spans="2:18" ht="13.5" hidden="1" thickBot="1">
      <c r="B12" s="1542"/>
      <c r="C12" s="1383"/>
      <c r="D12" s="1491" t="s">
        <v>24</v>
      </c>
      <c r="E12" s="1492"/>
      <c r="F12" s="176">
        <f>SUM(F7:F11)</f>
        <v>0</v>
      </c>
      <c r="G12" s="176">
        <f>SUM(G7:G11)</f>
        <v>0</v>
      </c>
      <c r="H12" s="51">
        <f>SUM(H7:H11)</f>
        <v>0</v>
      </c>
      <c r="I12" s="51">
        <f>SUM(I7:I11)</f>
        <v>0</v>
      </c>
      <c r="J12" s="53">
        <f>IF(ISERROR(-L12/I12),0,IF(-L12/I12&lt;0,100%,IF(-L12/I12&gt;100%,100%,-L12/I12)))</f>
        <v>0</v>
      </c>
      <c r="K12" s="51" t="e">
        <f>SUM(K7:K11)</f>
        <v>#VALUE!</v>
      </c>
      <c r="L12" s="51" t="e">
        <f>SUM(L7:L11)</f>
        <v>#VALUE!</v>
      </c>
      <c r="M12" s="144"/>
      <c r="N12" s="145"/>
      <c r="O12" s="145"/>
      <c r="P12" s="55" t="e">
        <f>-L12+M12</f>
        <v>#VALUE!</v>
      </c>
      <c r="R12" s="328"/>
    </row>
    <row r="13" spans="2:18" ht="13.5" hidden="1" thickBot="1">
      <c r="B13" s="1542"/>
      <c r="C13" s="1384"/>
      <c r="D13" s="67" t="s">
        <v>9</v>
      </c>
      <c r="E13" s="68"/>
      <c r="F13" s="69">
        <f>F12+F6</f>
        <v>0</v>
      </c>
      <c r="G13" s="69">
        <f>G12+G6</f>
        <v>0</v>
      </c>
      <c r="H13" s="69">
        <f>H12+H6</f>
        <v>0</v>
      </c>
      <c r="I13" s="69">
        <f>I12+I6</f>
        <v>0</v>
      </c>
      <c r="J13" s="70">
        <f>IF(ISERROR(-L13/I13),0,IF(-L13/I13&lt;0,100%,IF(-L13/I13&gt;100%,100%,-L13/I13)))</f>
        <v>0</v>
      </c>
      <c r="K13" s="69" t="e">
        <f>K12+K6</f>
        <v>#VALUE!</v>
      </c>
      <c r="L13" s="69" t="e">
        <f>L12+L6</f>
        <v>#VALUE!</v>
      </c>
      <c r="M13" s="71">
        <f>SUM(M12,M6)</f>
        <v>0</v>
      </c>
      <c r="N13" s="71"/>
      <c r="O13" s="71"/>
      <c r="P13" s="71" t="e">
        <f>SUM(P12,P6)</f>
        <v>#VALUE!</v>
      </c>
      <c r="Q13" s="31"/>
    </row>
    <row r="14" spans="2:18">
      <c r="B14" s="1542"/>
      <c r="C14" s="1541" t="s">
        <v>13</v>
      </c>
      <c r="D14" s="1390" t="s">
        <v>6</v>
      </c>
      <c r="E14" s="676" t="s">
        <v>37</v>
      </c>
      <c r="F14" s="677">
        <f>INPUT!B41</f>
        <v>131844.30336000002</v>
      </c>
      <c r="G14" s="678">
        <f>INPUT!D41</f>
        <v>-9214.9780100000025</v>
      </c>
      <c r="H14" s="679">
        <v>0</v>
      </c>
      <c r="I14" s="680">
        <f>F14+G14+H14</f>
        <v>122629.32535000001</v>
      </c>
      <c r="J14" s="681">
        <f>'SUMMARY BRL'!J6</f>
        <v>1</v>
      </c>
      <c r="K14" s="682">
        <f>IF((F14+G14+L14)&lt;0,0,(F14+G14+L14))</f>
        <v>0</v>
      </c>
      <c r="L14" s="683">
        <f>IF((-I14*J14)&gt;=0,0,(-I14*J14))-1531</f>
        <v>-124160.32535000001</v>
      </c>
      <c r="M14" s="684"/>
      <c r="N14" s="684"/>
      <c r="O14" s="684"/>
      <c r="P14" s="684"/>
    </row>
    <row r="15" spans="2:18">
      <c r="B15" s="1542"/>
      <c r="C15" s="1542"/>
      <c r="D15" s="1391"/>
      <c r="E15" s="685" t="s">
        <v>38</v>
      </c>
      <c r="F15" s="686">
        <f>INPUT!B42</f>
        <v>1047.48532</v>
      </c>
      <c r="G15" s="687">
        <f>INPUT!D42</f>
        <v>0</v>
      </c>
      <c r="H15" s="688">
        <v>0</v>
      </c>
      <c r="I15" s="689">
        <f>F15+G15+H15</f>
        <v>1047.48532</v>
      </c>
      <c r="J15" s="690">
        <v>0.9</v>
      </c>
      <c r="K15" s="691">
        <f t="shared" ref="K15:K22" si="3">IF((F15+G15+L15)&lt;0,0,(F15+G15+L15))</f>
        <v>104.74853199999995</v>
      </c>
      <c r="L15" s="692">
        <f>IF((-I15*J15)&gt;=0,0,(-I15*J15))</f>
        <v>-942.73678800000005</v>
      </c>
      <c r="M15" s="693"/>
      <c r="N15" s="693"/>
      <c r="O15" s="693"/>
      <c r="P15" s="693"/>
    </row>
    <row r="16" spans="2:18" ht="13.5" thickBot="1">
      <c r="B16" s="1542"/>
      <c r="C16" s="1542"/>
      <c r="D16" s="1474"/>
      <c r="E16" s="685" t="s">
        <v>36</v>
      </c>
      <c r="F16" s="686">
        <f>INPUT!B43+INPUT!B44</f>
        <v>0</v>
      </c>
      <c r="G16" s="687">
        <f>INPUT!D44+INPUT!D43</f>
        <v>0</v>
      </c>
      <c r="H16" s="688">
        <v>0</v>
      </c>
      <c r="I16" s="695">
        <f>F16+G16+H16</f>
        <v>0</v>
      </c>
      <c r="J16" s="696">
        <v>0.9</v>
      </c>
      <c r="K16" s="693">
        <f t="shared" si="3"/>
        <v>0</v>
      </c>
      <c r="L16" s="692">
        <f>IF((-I16*J16)&gt;=0,0,(-I16*J16))</f>
        <v>0</v>
      </c>
      <c r="M16" s="697"/>
      <c r="N16" s="697"/>
      <c r="O16" s="697"/>
      <c r="P16" s="693"/>
    </row>
    <row r="17" spans="2:18" ht="13.5" thickBot="1">
      <c r="B17" s="1542"/>
      <c r="C17" s="1542"/>
      <c r="D17" s="1470" t="s">
        <v>23</v>
      </c>
      <c r="E17" s="1471"/>
      <c r="F17" s="698">
        <f>SUM(F14:F16)</f>
        <v>132891.78868000003</v>
      </c>
      <c r="G17" s="699">
        <f>SUM(G14:G16)</f>
        <v>-9214.9780100000025</v>
      </c>
      <c r="H17" s="700"/>
      <c r="I17" s="827">
        <f>SUM(I14:I16)</f>
        <v>123676.81067000002</v>
      </c>
      <c r="J17" s="702">
        <f>IF(ISERROR(-L17/I17),0,IF(-L17/I17&lt;0,100%,IF(-L17/I17&gt;100%,100%,-L17/I17)))</f>
        <v>1</v>
      </c>
      <c r="K17" s="701">
        <f>SUM(K14:K16)</f>
        <v>104.74853199999995</v>
      </c>
      <c r="L17" s="703">
        <f>SUM(L14:L16)</f>
        <v>-125103.06213800001</v>
      </c>
      <c r="M17" s="704">
        <f>INPUT!N10/1000</f>
        <v>-127213.23587</v>
      </c>
      <c r="N17" s="704">
        <v>0</v>
      </c>
      <c r="O17" s="704">
        <f>M17+N17</f>
        <v>-127213.23587</v>
      </c>
      <c r="P17" s="774">
        <f>-L17+O17</f>
        <v>-2110.1737319999957</v>
      </c>
      <c r="Q17" s="179"/>
    </row>
    <row r="18" spans="2:18" ht="13.5" thickBot="1">
      <c r="B18" s="1542"/>
      <c r="C18" s="1542"/>
      <c r="D18" s="1390" t="s">
        <v>4</v>
      </c>
      <c r="E18" s="705" t="s">
        <v>39</v>
      </c>
      <c r="F18" s="775">
        <f>INPUT!B45+INPUT!B46+INPUT!B47</f>
        <v>57973.880640000003</v>
      </c>
      <c r="G18" s="679">
        <f>INPUT!D45+INPUT!D46+INPUT!D47</f>
        <v>-1630.1598900000001</v>
      </c>
      <c r="H18" s="679">
        <f>INPUT!F45+INPUT!F46+INPUT!F47</f>
        <v>-1815.6366119623701</v>
      </c>
      <c r="I18" s="679">
        <f>F18+G18+H18</f>
        <v>54528.08413803763</v>
      </c>
      <c r="J18" s="706">
        <f>INPUT!T6</f>
        <v>0.6</v>
      </c>
      <c r="K18" s="707">
        <f t="shared" si="3"/>
        <v>5651.8702671774226</v>
      </c>
      <c r="L18" s="683">
        <f>IF((-I18*J18)&gt;=0,0,(-I18*J18))-17975</f>
        <v>-50691.850482822578</v>
      </c>
      <c r="M18" s="708"/>
      <c r="N18" s="708"/>
      <c r="O18" s="708"/>
      <c r="P18" s="693"/>
    </row>
    <row r="19" spans="2:18" ht="13.5" thickBot="1">
      <c r="B19" s="1542"/>
      <c r="C19" s="1542"/>
      <c r="D19" s="1391"/>
      <c r="E19" s="709" t="s">
        <v>33</v>
      </c>
      <c r="F19" s="776">
        <f>INPUT!B48</f>
        <v>0</v>
      </c>
      <c r="G19" s="688">
        <f>INPUT!D48</f>
        <v>0</v>
      </c>
      <c r="H19" s="688">
        <f>INPUT!F48</f>
        <v>0</v>
      </c>
      <c r="I19" s="688">
        <f>F19+G19+H19</f>
        <v>0</v>
      </c>
      <c r="J19" s="706">
        <f>INPUT!T6</f>
        <v>0.6</v>
      </c>
      <c r="K19" s="711">
        <f t="shared" si="3"/>
        <v>0</v>
      </c>
      <c r="L19" s="692">
        <f>IF((-I19*J19)&gt;=0,0,(-I19*J19))</f>
        <v>0</v>
      </c>
      <c r="M19" s="708"/>
      <c r="N19" s="1207"/>
      <c r="O19" s="708"/>
      <c r="P19" s="1206"/>
    </row>
    <row r="20" spans="2:18" ht="13.5" thickBot="1">
      <c r="B20" s="1542"/>
      <c r="C20" s="1542"/>
      <c r="D20" s="1472"/>
      <c r="E20" s="712" t="s">
        <v>1</v>
      </c>
      <c r="F20" s="777">
        <f>INPUT!B49</f>
        <v>0</v>
      </c>
      <c r="G20" s="713">
        <f>INPUT!D49</f>
        <v>0</v>
      </c>
      <c r="H20" s="713">
        <f>INPUT!F49</f>
        <v>0</v>
      </c>
      <c r="I20" s="713">
        <f>F20+G20+H20</f>
        <v>0</v>
      </c>
      <c r="J20" s="706">
        <f>INPUT!T6</f>
        <v>0.6</v>
      </c>
      <c r="K20" s="715">
        <f t="shared" si="3"/>
        <v>0</v>
      </c>
      <c r="L20" s="716">
        <f>IF((-I20*J20)&gt;=0,0,(-I20*J20))</f>
        <v>0</v>
      </c>
      <c r="M20" s="708"/>
      <c r="N20" s="708"/>
      <c r="O20" s="708"/>
      <c r="P20" s="693"/>
    </row>
    <row r="21" spans="2:18" ht="13.5" thickBot="1">
      <c r="B21" s="1542"/>
      <c r="C21" s="1542"/>
      <c r="D21" s="1473" t="s">
        <v>40</v>
      </c>
      <c r="E21" s="685" t="s">
        <v>33</v>
      </c>
      <c r="F21" s="686">
        <f>INPUT!B50</f>
        <v>10749.522730000001</v>
      </c>
      <c r="G21" s="688">
        <f>INPUT!D50</f>
        <v>0</v>
      </c>
      <c r="H21" s="688">
        <f>INPUT!F50</f>
        <v>-200.00000000000011</v>
      </c>
      <c r="I21" s="688">
        <f>F21+G21+H21</f>
        <v>10549.522730000001</v>
      </c>
      <c r="J21" s="1283">
        <f>INPUT!T7</f>
        <v>5.0999999999999997E-2</v>
      </c>
      <c r="K21" s="711">
        <f t="shared" si="3"/>
        <v>10211.497070770001</v>
      </c>
      <c r="L21" s="692">
        <f>IF((-I21*J21)&gt;=0,0,(-I21*J21))</f>
        <v>-538.02565922999997</v>
      </c>
      <c r="M21" s="697"/>
      <c r="N21" s="697"/>
      <c r="O21" s="697"/>
      <c r="P21" s="693"/>
    </row>
    <row r="22" spans="2:18" ht="13.5" thickBot="1">
      <c r="B22" s="1542"/>
      <c r="C22" s="1542"/>
      <c r="D22" s="1474"/>
      <c r="E22" s="685" t="s">
        <v>41</v>
      </c>
      <c r="F22" s="686">
        <f>INPUT!B51</f>
        <v>13515.285160000005</v>
      </c>
      <c r="G22" s="686">
        <f>INPUT!L10+INPUT!D51</f>
        <v>-35626.127209999999</v>
      </c>
      <c r="H22" s="686">
        <f>INPUT!F51</f>
        <v>-224.59403498647399</v>
      </c>
      <c r="I22" s="688">
        <f>F22+G22+H22</f>
        <v>-22335.436084986464</v>
      </c>
      <c r="J22" s="1283">
        <f>INPUT!T7</f>
        <v>5.0999999999999997E-2</v>
      </c>
      <c r="K22" s="711">
        <f t="shared" si="3"/>
        <v>0</v>
      </c>
      <c r="L22" s="692">
        <f>IF((-I22*J22)&gt;=0,0,(-I22*J22))</f>
        <v>0</v>
      </c>
      <c r="M22" s="1008"/>
      <c r="N22" s="697"/>
      <c r="O22" s="697"/>
      <c r="P22" s="693"/>
    </row>
    <row r="23" spans="2:18" ht="13.5" thickBot="1">
      <c r="B23" s="1542"/>
      <c r="C23" s="1542"/>
      <c r="D23" s="1470" t="s">
        <v>24</v>
      </c>
      <c r="E23" s="1471"/>
      <c r="F23" s="698">
        <f>SUM(F18:F22)</f>
        <v>82238.688529999999</v>
      </c>
      <c r="G23" s="698">
        <f>SUM(G18:G22)</f>
        <v>-37256.287100000001</v>
      </c>
      <c r="H23" s="698">
        <f>SUM(H18:H22)</f>
        <v>-2240.2306469488444</v>
      </c>
      <c r="I23" s="698">
        <f>SUM(I18:I22)</f>
        <v>42742.170783051173</v>
      </c>
      <c r="J23" s="702">
        <f>IF(ISERROR(-L23/I23),0,IF(-L23/I23&lt;0,100%,IF(-L23/I23&gt;100%,100%,-L23/I23)))</f>
        <v>1</v>
      </c>
      <c r="K23" s="698">
        <f>SUM(K18:K22)</f>
        <v>15863.367337947424</v>
      </c>
      <c r="L23" s="719">
        <f>SUM(L18:L22)</f>
        <v>-51229.876142052577</v>
      </c>
      <c r="M23" s="704">
        <f>INPUT!O10/1000</f>
        <v>-67658.537049999999</v>
      </c>
      <c r="N23" s="704">
        <f>INPUT!P10/1000</f>
        <v>-571.75055315999998</v>
      </c>
      <c r="O23" s="704">
        <f>M23+N23</f>
        <v>-68230.287603160003</v>
      </c>
      <c r="P23" s="774">
        <f>O23-L23</f>
        <v>-17000.411461107426</v>
      </c>
      <c r="Q23" s="179"/>
      <c r="R23" s="1164"/>
    </row>
    <row r="24" spans="2:18" ht="13.5" thickBot="1">
      <c r="B24" s="1542"/>
      <c r="C24" s="1543"/>
      <c r="D24" s="749" t="s">
        <v>9</v>
      </c>
      <c r="E24" s="750"/>
      <c r="F24" s="751">
        <f>F17+F23</f>
        <v>215130.47721000004</v>
      </c>
      <c r="G24" s="751">
        <f>G17+G23</f>
        <v>-46471.265110000008</v>
      </c>
      <c r="H24" s="751">
        <f>H17+H23</f>
        <v>-2240.2306469488444</v>
      </c>
      <c r="I24" s="751">
        <f>I17+I23</f>
        <v>166418.98145305121</v>
      </c>
      <c r="J24" s="752">
        <f>IF(ISERROR(-L24/I24),0,IF(-L24/I24&lt;0,100%,IF(-L24/I24&gt;100%,100%,-L24/I24)))</f>
        <v>1</v>
      </c>
      <c r="K24" s="751">
        <f>K17+K23</f>
        <v>15968.115869947424</v>
      </c>
      <c r="L24" s="751">
        <f>L17+L23</f>
        <v>-176332.93828005259</v>
      </c>
      <c r="M24" s="753">
        <f>SUM(M17,M23)</f>
        <v>-194871.77292000002</v>
      </c>
      <c r="N24" s="753">
        <f>N23+N17</f>
        <v>-571.75055315999998</v>
      </c>
      <c r="O24" s="753">
        <f>O23+O17</f>
        <v>-195443.52347315999</v>
      </c>
      <c r="P24" s="753">
        <f>SUM(P17,P23)</f>
        <v>-19110.585193107421</v>
      </c>
      <c r="Q24" s="31"/>
    </row>
    <row r="25" spans="2:18">
      <c r="B25" s="1542"/>
      <c r="C25" s="1532" t="s">
        <v>15</v>
      </c>
      <c r="D25" s="1390" t="s">
        <v>6</v>
      </c>
      <c r="E25" s="676" t="s">
        <v>37</v>
      </c>
      <c r="F25" s="778"/>
      <c r="G25" s="779">
        <v>0</v>
      </c>
      <c r="H25" s="679"/>
      <c r="I25" s="679">
        <f>F25+G25+H25</f>
        <v>0</v>
      </c>
      <c r="J25" s="780">
        <f>'SUMMARY BRL'!J6</f>
        <v>1</v>
      </c>
      <c r="K25" s="707">
        <f>F25+G25+L25</f>
        <v>0</v>
      </c>
      <c r="L25" s="683">
        <f>IF((-I25*J25)&gt;=0,0,(-I25*J25))</f>
        <v>0</v>
      </c>
      <c r="M25" s="684"/>
      <c r="N25" s="684" t="s">
        <v>215</v>
      </c>
      <c r="O25" s="1374">
        <v>-27130308</v>
      </c>
      <c r="P25" s="1376" t="s">
        <v>220</v>
      </c>
      <c r="Q25" s="1377" t="s">
        <v>221</v>
      </c>
    </row>
    <row r="26" spans="2:18">
      <c r="B26" s="1542"/>
      <c r="C26" s="1533"/>
      <c r="D26" s="1391"/>
      <c r="E26" s="685" t="s">
        <v>38</v>
      </c>
      <c r="F26" s="781">
        <v>0</v>
      </c>
      <c r="G26" s="782">
        <v>0</v>
      </c>
      <c r="H26" s="688"/>
      <c r="I26" s="688">
        <f>F26+G26+H26</f>
        <v>0</v>
      </c>
      <c r="J26" s="717">
        <v>0.9</v>
      </c>
      <c r="K26" s="711">
        <f>F26+G26+L26</f>
        <v>0</v>
      </c>
      <c r="L26" s="692">
        <f>IF((-I26*J26)&gt;=0,0,(-I26*J26))</f>
        <v>0</v>
      </c>
      <c r="M26" s="693">
        <f>O23+17000</f>
        <v>-51230.287603160003</v>
      </c>
      <c r="N26" s="693" t="s">
        <v>216</v>
      </c>
      <c r="O26" s="1375">
        <v>19206697</v>
      </c>
      <c r="P26" s="693">
        <v>17676094</v>
      </c>
      <c r="Q26" s="31">
        <v>1530603</v>
      </c>
    </row>
    <row r="27" spans="2:18" ht="13.5" thickBot="1">
      <c r="B27" s="1542"/>
      <c r="C27" s="1533"/>
      <c r="D27" s="1535"/>
      <c r="E27" s="685" t="s">
        <v>36</v>
      </c>
      <c r="F27" s="781">
        <v>0</v>
      </c>
      <c r="G27" s="782">
        <v>0</v>
      </c>
      <c r="H27" s="688"/>
      <c r="I27" s="688">
        <f>F27+G27+H27</f>
        <v>0</v>
      </c>
      <c r="J27" s="717">
        <v>0.9</v>
      </c>
      <c r="K27" s="711">
        <f>F27+G27+L27</f>
        <v>0</v>
      </c>
      <c r="L27" s="692">
        <f>IF((-I27*J27)&gt;=0,0,(-I27*J27))</f>
        <v>0</v>
      </c>
      <c r="M27" s="693">
        <f>M26-L23</f>
        <v>-0.4114611074255663</v>
      </c>
      <c r="N27" s="693">
        <f>O26+R32</f>
        <v>11661372.916892581</v>
      </c>
      <c r="O27" s="693">
        <f>O25/INPUT!F5</f>
        <v>-6775970.4288318893</v>
      </c>
      <c r="P27" s="693">
        <f>O26/INPUT!F5</f>
        <v>4796997.177751692</v>
      </c>
    </row>
    <row r="28" spans="2:18" ht="13.5" thickBot="1">
      <c r="B28" s="1542"/>
      <c r="C28" s="1533"/>
      <c r="D28" s="1536" t="s">
        <v>23</v>
      </c>
      <c r="E28" s="1537"/>
      <c r="F28" s="698">
        <f>SUM(F25:F27)</f>
        <v>0</v>
      </c>
      <c r="G28" s="699">
        <f>SUM(G25:G27)</f>
        <v>0</v>
      </c>
      <c r="H28" s="700"/>
      <c r="I28" s="701">
        <f>SUM(I25:I27)</f>
        <v>0</v>
      </c>
      <c r="J28" s="702">
        <f>IF(ISERROR(-L28/I28),0,IF(-L28/I28&lt;0,100%,IF(-L28/I28&gt;100%,100%,-L28/I28)))</f>
        <v>0</v>
      </c>
      <c r="K28" s="701">
        <f>SUM(K25:K27)</f>
        <v>0</v>
      </c>
      <c r="L28" s="703">
        <f>SUM(L25:L27)</f>
        <v>0</v>
      </c>
      <c r="M28" s="774"/>
      <c r="N28" s="774"/>
      <c r="O28" s="774"/>
      <c r="P28" s="774">
        <f>-L28+M28</f>
        <v>0</v>
      </c>
    </row>
    <row r="29" spans="2:18">
      <c r="B29" s="1542"/>
      <c r="C29" s="1533"/>
      <c r="D29" s="1390" t="s">
        <v>4</v>
      </c>
      <c r="E29" s="705" t="s">
        <v>39</v>
      </c>
      <c r="F29" s="778"/>
      <c r="G29" s="783"/>
      <c r="H29" s="679"/>
      <c r="I29" s="679">
        <f>F29+G29+H29</f>
        <v>0</v>
      </c>
      <c r="J29" s="706">
        <f>'SUMMARY BRL'!J10</f>
        <v>0.6</v>
      </c>
      <c r="K29" s="707">
        <f>F29+G29+L29</f>
        <v>0</v>
      </c>
      <c r="L29" s="683">
        <f>IF((-I29*J29)&gt;=0,0,(-I29*J29))</f>
        <v>0</v>
      </c>
      <c r="M29" s="693"/>
      <c r="N29" s="693">
        <f>N27/INPUT!F5</f>
        <v>2912503.5382733289</v>
      </c>
      <c r="O29" s="693">
        <v>4900000</v>
      </c>
      <c r="P29" s="693"/>
    </row>
    <row r="30" spans="2:18">
      <c r="B30" s="1542"/>
      <c r="C30" s="1533"/>
      <c r="D30" s="1391"/>
      <c r="E30" s="709" t="s">
        <v>33</v>
      </c>
      <c r="F30" s="781"/>
      <c r="G30" s="784"/>
      <c r="H30" s="688"/>
      <c r="I30" s="688">
        <f>F30+G30+H30</f>
        <v>0</v>
      </c>
      <c r="J30" s="710">
        <f>'SUMMARY BRL'!J11</f>
        <v>0.6</v>
      </c>
      <c r="K30" s="711">
        <f>F30+G30+L30</f>
        <v>0</v>
      </c>
      <c r="L30" s="692">
        <f>IF((-I30*J30)&gt;=0,0,(-I30*J30))</f>
        <v>0</v>
      </c>
      <c r="M30" s="693"/>
      <c r="N30" s="693"/>
      <c r="O30" s="693">
        <f>O27+O29</f>
        <v>-1875970.4288318893</v>
      </c>
      <c r="P30" s="693"/>
      <c r="Q30" s="30" t="s">
        <v>217</v>
      </c>
      <c r="R30" s="33">
        <v>-31071261.109999999</v>
      </c>
    </row>
    <row r="31" spans="2:18">
      <c r="B31" s="1542"/>
      <c r="C31" s="1533"/>
      <c r="D31" s="1472"/>
      <c r="E31" s="712" t="s">
        <v>1</v>
      </c>
      <c r="F31" s="785"/>
      <c r="G31" s="786"/>
      <c r="H31" s="713"/>
      <c r="I31" s="713">
        <f>F31+G31+H31</f>
        <v>0</v>
      </c>
      <c r="J31" s="714">
        <f>'SUMMARY BRL'!J12</f>
        <v>0.6</v>
      </c>
      <c r="K31" s="715">
        <f>F31+G31+L31</f>
        <v>0</v>
      </c>
      <c r="L31" s="716">
        <f>IF((-I31*J31)&gt;=0,0,(-I31*J31))</f>
        <v>0</v>
      </c>
      <c r="M31" s="693"/>
      <c r="N31" s="693"/>
      <c r="O31" s="693"/>
      <c r="P31" s="693"/>
      <c r="Q31" s="30" t="s">
        <v>218</v>
      </c>
      <c r="R31" s="33">
        <v>-38616585.193107419</v>
      </c>
    </row>
    <row r="32" spans="2:18">
      <c r="B32" s="1542"/>
      <c r="C32" s="1533"/>
      <c r="D32" s="1473" t="s">
        <v>40</v>
      </c>
      <c r="E32" s="685" t="s">
        <v>33</v>
      </c>
      <c r="F32" s="781"/>
      <c r="G32" s="784"/>
      <c r="H32" s="688"/>
      <c r="I32" s="688">
        <f>F32+G32+H32</f>
        <v>0</v>
      </c>
      <c r="J32" s="1218">
        <v>2.1999999999999999E-2</v>
      </c>
      <c r="K32" s="711">
        <f>F32+G32+L32</f>
        <v>0</v>
      </c>
      <c r="L32" s="692">
        <f>IF((-I32*J32)&gt;=0,0,(-I32*J32))</f>
        <v>0</v>
      </c>
      <c r="M32" s="693"/>
      <c r="N32" s="693"/>
      <c r="O32" s="693"/>
      <c r="P32" s="693"/>
      <c r="Q32" s="30" t="s">
        <v>219</v>
      </c>
      <c r="R32" s="1375">
        <v>-7545324.0831074193</v>
      </c>
    </row>
    <row r="33" spans="2:20" ht="13.5" thickBot="1">
      <c r="B33" s="1542"/>
      <c r="C33" s="1533"/>
      <c r="D33" s="1474"/>
      <c r="E33" s="685" t="s">
        <v>41</v>
      </c>
      <c r="F33" s="781"/>
      <c r="G33" s="784"/>
      <c r="H33" s="688"/>
      <c r="I33" s="688">
        <f>F33+G33+H33</f>
        <v>0</v>
      </c>
      <c r="J33" s="1219">
        <v>2.1999999999999999E-2</v>
      </c>
      <c r="K33" s="711">
        <f>F33+G33+L33</f>
        <v>0</v>
      </c>
      <c r="L33" s="692">
        <f>IF((-I33*J33)&gt;=0,0,(-I33*J33))</f>
        <v>0</v>
      </c>
      <c r="M33" s="693"/>
      <c r="N33" s="693"/>
      <c r="O33" s="693"/>
      <c r="P33" s="693"/>
    </row>
    <row r="34" spans="2:20" ht="13.5" thickBot="1">
      <c r="B34" s="1542"/>
      <c r="C34" s="1533"/>
      <c r="D34" s="1536" t="s">
        <v>24</v>
      </c>
      <c r="E34" s="1537"/>
      <c r="F34" s="698">
        <f>SUM(F29:F33)</f>
        <v>0</v>
      </c>
      <c r="G34" s="698">
        <f>SUM(G29:G33)</f>
        <v>0</v>
      </c>
      <c r="H34" s="698">
        <f>SUM(H29:H33)</f>
        <v>0</v>
      </c>
      <c r="I34" s="698">
        <f>SUM(I29:I33)</f>
        <v>0</v>
      </c>
      <c r="J34" s="702">
        <f>IF(ISERROR(-L34/I34),0,IF(-L34/I34&lt;0,100%,IF(-L34/I34&gt;100%,100%,-L34/I34)))</f>
        <v>0</v>
      </c>
      <c r="K34" s="698">
        <f>SUM(K29:K33)</f>
        <v>0</v>
      </c>
      <c r="L34" s="719">
        <f>SUM(L29:L33)</f>
        <v>0</v>
      </c>
      <c r="M34" s="774"/>
      <c r="N34" s="774"/>
      <c r="O34" s="774"/>
      <c r="P34" s="774">
        <f>-L34+M34</f>
        <v>0</v>
      </c>
    </row>
    <row r="35" spans="2:20" ht="13.5" thickBot="1">
      <c r="B35" s="1542"/>
      <c r="C35" s="1534"/>
      <c r="D35" s="720" t="s">
        <v>9</v>
      </c>
      <c r="E35" s="721"/>
      <c r="F35" s="722">
        <f>F28+F34</f>
        <v>0</v>
      </c>
      <c r="G35" s="722">
        <f>G28+G34</f>
        <v>0</v>
      </c>
      <c r="H35" s="722">
        <f>H28+H34</f>
        <v>0</v>
      </c>
      <c r="I35" s="722">
        <f>I28+I34</f>
        <v>0</v>
      </c>
      <c r="J35" s="723">
        <f>IF(ISERROR(-L35/I35),0,IF(-L35/I35&lt;0,100%,IF(-L35/I35&gt;100%,100%,-L35/I35)))</f>
        <v>0</v>
      </c>
      <c r="K35" s="722">
        <f>K28+K34</f>
        <v>0</v>
      </c>
      <c r="L35" s="722">
        <f>L28+L34</f>
        <v>0</v>
      </c>
      <c r="M35" s="724">
        <f>SUM(M28,M34)</f>
        <v>0</v>
      </c>
      <c r="N35" s="724"/>
      <c r="O35" s="724"/>
      <c r="P35" s="724">
        <f>SUM(P28,P34)</f>
        <v>0</v>
      </c>
      <c r="Q35" s="31"/>
    </row>
    <row r="36" spans="2:20" ht="13.5" thickBot="1">
      <c r="B36" s="1543"/>
      <c r="C36" s="1526" t="s">
        <v>17</v>
      </c>
      <c r="D36" s="1527"/>
      <c r="E36" s="1528"/>
      <c r="F36" s="804">
        <f>F13+F24+F35</f>
        <v>215130.47721000004</v>
      </c>
      <c r="G36" s="805">
        <f>G35+G24+G13</f>
        <v>-46471.265110000008</v>
      </c>
      <c r="H36" s="806">
        <f>H35+H24+H13</f>
        <v>-2240.2306469488444</v>
      </c>
      <c r="I36" s="806">
        <f>I35+I24+I13</f>
        <v>166418.98145305121</v>
      </c>
      <c r="J36" s="544">
        <f>IF(ISERROR(-L36/I36),0,IF(-L36/I36&lt;0,100%,IF(-L36/I36&gt;100%,100%,-L36/I36)))</f>
        <v>0</v>
      </c>
      <c r="K36" s="807" t="e">
        <f>K35+K24+K13</f>
        <v>#VALUE!</v>
      </c>
      <c r="L36" s="807" t="e">
        <f>L35+L24+L13</f>
        <v>#VALUE!</v>
      </c>
      <c r="M36" s="808">
        <f>M35+M24+M13</f>
        <v>-194871.77292000002</v>
      </c>
      <c r="N36" s="808">
        <f>N24</f>
        <v>-571.75055315999998</v>
      </c>
      <c r="O36" s="808">
        <f>O24</f>
        <v>-195443.52347315999</v>
      </c>
      <c r="P36" s="807" t="e">
        <f>P35+P24+P13</f>
        <v>#VALUE!</v>
      </c>
      <c r="Q36" s="31"/>
    </row>
    <row r="37" spans="2:20" s="129" customFormat="1">
      <c r="B37" s="127"/>
      <c r="C37" s="787"/>
      <c r="D37" s="788"/>
      <c r="E37" s="789"/>
      <c r="F37" s="790" t="s">
        <v>132</v>
      </c>
      <c r="G37" s="790" t="s">
        <v>132</v>
      </c>
      <c r="H37" s="790" t="s">
        <v>132</v>
      </c>
      <c r="I37" s="789"/>
      <c r="J37" s="809"/>
      <c r="K37" s="810"/>
      <c r="L37" s="810"/>
      <c r="M37" s="810"/>
      <c r="N37" s="810"/>
      <c r="O37" s="810"/>
      <c r="P37" s="811"/>
      <c r="Q37" s="177"/>
      <c r="R37" s="33"/>
      <c r="S37" s="33"/>
      <c r="T37" s="33"/>
    </row>
    <row r="38" spans="2:20" s="129" customFormat="1">
      <c r="B38" s="127"/>
      <c r="C38" s="787"/>
      <c r="D38" s="788"/>
      <c r="E38" s="789"/>
      <c r="F38" s="789"/>
      <c r="G38" s="789"/>
      <c r="H38" s="789"/>
      <c r="I38" s="789"/>
      <c r="J38" s="812" t="s">
        <v>25</v>
      </c>
      <c r="K38" s="813"/>
      <c r="L38" s="552" t="s">
        <v>14</v>
      </c>
      <c r="M38" s="552" t="s">
        <v>158</v>
      </c>
      <c r="N38" s="552" t="s">
        <v>159</v>
      </c>
      <c r="O38" s="552" t="s">
        <v>22</v>
      </c>
      <c r="P38" s="553" t="s">
        <v>16</v>
      </c>
      <c r="Q38" s="177"/>
      <c r="R38" s="49"/>
      <c r="S38" s="49"/>
      <c r="T38" s="49"/>
    </row>
    <row r="39" spans="2:20" s="129" customFormat="1">
      <c r="B39" s="127"/>
      <c r="C39" s="787"/>
      <c r="D39" s="788"/>
      <c r="E39" s="789"/>
      <c r="F39" s="789">
        <f>F36+'BAD DEBT 4188 9280'!F36</f>
        <v>233694.72622000004</v>
      </c>
      <c r="G39" s="789">
        <f>G36+'BAD DEBT 4188 9280'!G36</f>
        <v>-48172.810584154009</v>
      </c>
      <c r="H39" s="789">
        <f>H36+'BAD DEBT 4188 9280'!H36</f>
        <v>-8316.219138919012</v>
      </c>
      <c r="I39" s="789">
        <f>I36+'BAD DEBT 4188 9280'!I36</f>
        <v>177205.69649692703</v>
      </c>
      <c r="J39" s="814" t="s">
        <v>26</v>
      </c>
      <c r="K39" s="815"/>
      <c r="L39" s="816">
        <f>+L6+L17+L28</f>
        <v>-125103.06213800001</v>
      </c>
      <c r="M39" s="816">
        <f>+M6+M17+M28</f>
        <v>-127213.23587</v>
      </c>
      <c r="N39" s="816">
        <f>+N6+N17+N28</f>
        <v>0</v>
      </c>
      <c r="O39" s="816">
        <f>+O6+O17+O28</f>
        <v>-127213.23587</v>
      </c>
      <c r="P39" s="817">
        <f>+P6+P17+P28</f>
        <v>-2110.1737319999957</v>
      </c>
      <c r="Q39" s="177"/>
      <c r="R39" s="49"/>
      <c r="S39" s="49"/>
      <c r="T39" s="49"/>
    </row>
    <row r="40" spans="2:20" s="129" customFormat="1" ht="15">
      <c r="B40" s="127"/>
      <c r="C40" s="787"/>
      <c r="D40" s="788"/>
      <c r="E40" s="789"/>
      <c r="F40" s="789"/>
      <c r="G40" s="789"/>
      <c r="H40" s="789"/>
      <c r="I40" s="789"/>
      <c r="J40" s="814" t="s">
        <v>27</v>
      </c>
      <c r="K40" s="815"/>
      <c r="L40" s="818" t="e">
        <f>+L12+L23+L34</f>
        <v>#VALUE!</v>
      </c>
      <c r="M40" s="818">
        <f>+M12+M23+M34</f>
        <v>-67658.537049999999</v>
      </c>
      <c r="N40" s="818">
        <f>+N12+N23+N34</f>
        <v>-571.75055315999998</v>
      </c>
      <c r="O40" s="818">
        <f>+O12+O23+O34</f>
        <v>-68230.287603160003</v>
      </c>
      <c r="P40" s="819" t="e">
        <f>+P12+P23+P34</f>
        <v>#VALUE!</v>
      </c>
      <c r="Q40" s="177"/>
      <c r="R40" s="49"/>
      <c r="S40" s="49"/>
      <c r="T40" s="49"/>
    </row>
    <row r="41" spans="2:20" s="129" customFormat="1" ht="13.5" thickBot="1">
      <c r="B41" s="127"/>
      <c r="C41" s="787"/>
      <c r="D41" s="788"/>
      <c r="E41" s="789"/>
      <c r="F41" s="789"/>
      <c r="G41" s="789"/>
      <c r="H41" s="789"/>
      <c r="I41" s="789"/>
      <c r="J41" s="814" t="s">
        <v>28</v>
      </c>
      <c r="K41" s="820"/>
      <c r="L41" s="821" t="e">
        <f>SUM(L39:L40)</f>
        <v>#VALUE!</v>
      </c>
      <c r="M41" s="821">
        <f>SUM(M39:M40)</f>
        <v>-194871.77292000002</v>
      </c>
      <c r="N41" s="821">
        <f>SUM(N39:N40)</f>
        <v>-571.75055315999998</v>
      </c>
      <c r="O41" s="821">
        <f>SUM(O39:O40)</f>
        <v>-195443.52347315999</v>
      </c>
      <c r="P41" s="822" t="e">
        <f>SUM(P39:P40)</f>
        <v>#VALUE!</v>
      </c>
      <c r="Q41" s="177"/>
      <c r="R41" s="49"/>
      <c r="S41" s="49"/>
      <c r="T41" s="49"/>
    </row>
    <row r="42" spans="2:20" s="129" customFormat="1" ht="14.25" thickTop="1" thickBot="1">
      <c r="B42" s="127"/>
      <c r="C42" s="787"/>
      <c r="D42" s="788"/>
      <c r="E42" s="789"/>
      <c r="F42" s="789"/>
      <c r="G42" s="789"/>
      <c r="H42" s="789"/>
      <c r="I42" s="789"/>
      <c r="J42" s="823"/>
      <c r="K42" s="824"/>
      <c r="L42" s="825"/>
      <c r="M42" s="825"/>
      <c r="N42" s="825"/>
      <c r="O42" s="825"/>
      <c r="P42" s="826"/>
      <c r="Q42" s="177"/>
      <c r="R42" s="49"/>
      <c r="S42" s="49"/>
      <c r="T42" s="49"/>
    </row>
    <row r="43" spans="2:20" ht="12.75" hidden="1" customHeight="1">
      <c r="D43" s="30" t="s">
        <v>42</v>
      </c>
      <c r="R43" s="49"/>
      <c r="S43" s="49"/>
      <c r="T43" s="49"/>
    </row>
    <row r="44" spans="2:20" ht="13.5" hidden="1" thickBot="1">
      <c r="D44" s="157" t="s">
        <v>21</v>
      </c>
      <c r="E44" s="157" t="s">
        <v>5</v>
      </c>
      <c r="F44" s="158" t="s">
        <v>12</v>
      </c>
      <c r="G44" s="158" t="s">
        <v>11</v>
      </c>
      <c r="H44" s="158" t="s">
        <v>3</v>
      </c>
      <c r="I44" s="158" t="s">
        <v>10</v>
      </c>
      <c r="J44" s="158" t="s">
        <v>0</v>
      </c>
      <c r="K44" s="162" t="s">
        <v>2</v>
      </c>
      <c r="L44" s="160" t="s">
        <v>14</v>
      </c>
      <c r="M44" s="163" t="s">
        <v>22</v>
      </c>
      <c r="N44" s="163"/>
      <c r="O44" s="163"/>
      <c r="P44" s="160" t="s">
        <v>16</v>
      </c>
    </row>
    <row r="45" spans="2:20" hidden="1">
      <c r="B45" s="1544" t="s">
        <v>19</v>
      </c>
      <c r="C45" s="1524" t="s">
        <v>8</v>
      </c>
      <c r="D45" s="131" t="s">
        <v>1</v>
      </c>
      <c r="E45" s="132" t="s">
        <v>1</v>
      </c>
      <c r="F45" s="45"/>
      <c r="G45" s="45">
        <v>0</v>
      </c>
      <c r="H45" s="45">
        <v>0</v>
      </c>
      <c r="I45" s="133">
        <f>+F45</f>
        <v>0</v>
      </c>
      <c r="J45" s="197">
        <f>'SUMMARY BRL'!J19</f>
        <v>2.3E-2</v>
      </c>
      <c r="K45" s="134">
        <f>F45+G45+L45</f>
        <v>0</v>
      </c>
      <c r="L45" s="135">
        <f>IF((-I45*J45)&gt;=0,0,(-I45*J45))</f>
        <v>0</v>
      </c>
    </row>
    <row r="46" spans="2:20" hidden="1">
      <c r="B46" s="1545"/>
      <c r="C46" s="1525"/>
      <c r="D46" s="136" t="s">
        <v>7</v>
      </c>
      <c r="E46" s="137" t="s">
        <v>34</v>
      </c>
      <c r="F46" s="138">
        <v>0</v>
      </c>
      <c r="G46" s="138">
        <v>0</v>
      </c>
      <c r="H46" s="138">
        <v>0</v>
      </c>
      <c r="I46" s="138">
        <f>+F46</f>
        <v>0</v>
      </c>
      <c r="J46" s="306">
        <f>'SUMMARY BRL'!J20</f>
        <v>2.3E-2</v>
      </c>
      <c r="K46" s="139">
        <f>F46+G46+L46</f>
        <v>0</v>
      </c>
      <c r="L46" s="140">
        <f>IF((-I46*J46)&gt;=0,0,(-I46*J46))</f>
        <v>0</v>
      </c>
      <c r="M46" s="41"/>
      <c r="N46" s="41"/>
      <c r="O46" s="41"/>
      <c r="P46" s="41"/>
    </row>
    <row r="47" spans="2:20" ht="13.5" hidden="1" thickBot="1">
      <c r="B47" s="1545"/>
      <c r="C47" s="1525"/>
      <c r="D47" s="141" t="s">
        <v>9</v>
      </c>
      <c r="E47" s="142"/>
      <c r="F47" s="51">
        <f>SUM(F45:F46)</f>
        <v>0</v>
      </c>
      <c r="G47" s="51">
        <f>SUM(G45:G46)</f>
        <v>0</v>
      </c>
      <c r="H47" s="51">
        <f>SUM(H45:H46)</f>
        <v>0</v>
      </c>
      <c r="I47" s="51">
        <f>SUM(I45:I46)</f>
        <v>0</v>
      </c>
      <c r="J47" s="309">
        <v>0.01</v>
      </c>
      <c r="K47" s="143">
        <f>SUM(K45:K46)</f>
        <v>0</v>
      </c>
      <c r="L47" s="144">
        <f>SUM(L45:L46)</f>
        <v>0</v>
      </c>
      <c r="M47" s="145">
        <f>L47</f>
        <v>0</v>
      </c>
      <c r="N47" s="145"/>
      <c r="O47" s="145"/>
      <c r="P47" s="55">
        <f>+M47-L47</f>
        <v>0</v>
      </c>
      <c r="Q47" s="31"/>
    </row>
    <row r="48" spans="2:20" hidden="1">
      <c r="B48" s="1545"/>
      <c r="C48" s="1524" t="s">
        <v>13</v>
      </c>
      <c r="D48" s="146" t="s">
        <v>1</v>
      </c>
      <c r="E48" s="147" t="s">
        <v>1</v>
      </c>
      <c r="F48" s="148">
        <v>0</v>
      </c>
      <c r="G48" s="148">
        <v>0</v>
      </c>
      <c r="H48" s="148">
        <v>0</v>
      </c>
      <c r="I48" s="148">
        <v>0</v>
      </c>
      <c r="J48" s="314">
        <f>'SUMMARY BRL'!J19</f>
        <v>2.3E-2</v>
      </c>
      <c r="K48" s="149">
        <v>0</v>
      </c>
      <c r="L48" s="150">
        <v>0</v>
      </c>
      <c r="M48" s="41"/>
      <c r="N48" s="41"/>
      <c r="O48" s="41"/>
      <c r="P48" s="41"/>
    </row>
    <row r="49" spans="2:17" hidden="1">
      <c r="B49" s="1545"/>
      <c r="C49" s="1525"/>
      <c r="D49" s="151" t="s">
        <v>7</v>
      </c>
      <c r="E49" s="147" t="s">
        <v>34</v>
      </c>
      <c r="F49" s="148">
        <v>0</v>
      </c>
      <c r="G49" s="148">
        <v>0</v>
      </c>
      <c r="H49" s="148">
        <v>0</v>
      </c>
      <c r="I49" s="148">
        <v>0</v>
      </c>
      <c r="J49" s="314">
        <f>'SUMMARY BRL'!J20</f>
        <v>2.3E-2</v>
      </c>
      <c r="K49" s="149">
        <v>0</v>
      </c>
      <c r="L49" s="150">
        <v>0</v>
      </c>
      <c r="M49" s="41"/>
      <c r="N49" s="41"/>
      <c r="O49" s="41"/>
      <c r="P49" s="41"/>
    </row>
    <row r="50" spans="2:17" ht="13.5" hidden="1" thickBot="1">
      <c r="B50" s="1545"/>
      <c r="C50" s="1525"/>
      <c r="D50" s="152" t="s">
        <v>9</v>
      </c>
      <c r="E50" s="153"/>
      <c r="F50" s="75">
        <v>0</v>
      </c>
      <c r="G50" s="75">
        <v>0</v>
      </c>
      <c r="H50" s="75">
        <v>0</v>
      </c>
      <c r="I50" s="75">
        <v>0</v>
      </c>
      <c r="J50" s="154">
        <v>0.01</v>
      </c>
      <c r="K50" s="82">
        <v>0</v>
      </c>
      <c r="L50" s="155">
        <v>0</v>
      </c>
      <c r="M50" s="156">
        <f>L50</f>
        <v>0</v>
      </c>
      <c r="N50" s="156"/>
      <c r="O50" s="156"/>
      <c r="P50" s="156">
        <v>0</v>
      </c>
      <c r="Q50" s="31"/>
    </row>
    <row r="51" spans="2:17" ht="13.5" hidden="1" thickBot="1">
      <c r="B51" s="1546"/>
      <c r="C51" s="1529" t="s">
        <v>18</v>
      </c>
      <c r="D51" s="1530"/>
      <c r="E51" s="1531"/>
      <c r="F51" s="15">
        <f>+F50+F47</f>
        <v>0</v>
      </c>
      <c r="G51" s="15">
        <f>+G50+G47</f>
        <v>0</v>
      </c>
      <c r="H51" s="15">
        <f>+H50+H47</f>
        <v>0</v>
      </c>
      <c r="I51" s="15">
        <f>+I50+I47</f>
        <v>0</v>
      </c>
      <c r="J51" s="126">
        <f>IF(ISERROR(-L51/I51),0,IF(-L51/I51&lt;0,100%,IF(-L51/I51&gt;100%,100%,-L51/I51)))</f>
        <v>0</v>
      </c>
      <c r="K51" s="15">
        <f>F51+G51+L51</f>
        <v>0</v>
      </c>
      <c r="L51" s="20">
        <f>SUM(L50,L47)</f>
        <v>0</v>
      </c>
      <c r="M51" s="20">
        <f>SUM(M50,M47)</f>
        <v>0</v>
      </c>
      <c r="N51" s="14"/>
      <c r="O51" s="14"/>
      <c r="P51" s="11">
        <f>SUM(P50,P47)</f>
        <v>0</v>
      </c>
      <c r="Q51" s="31"/>
    </row>
    <row r="52" spans="2:17">
      <c r="L52" s="31"/>
      <c r="M52" s="31"/>
      <c r="O52" s="31"/>
      <c r="P52" s="31" t="e">
        <f>P41+'BAD DEBT 4188 9280'!P41</f>
        <v>#VALUE!</v>
      </c>
      <c r="Q52" s="41"/>
    </row>
    <row r="53" spans="2:17" ht="13.5" thickBot="1">
      <c r="D53" s="180"/>
      <c r="E53" s="180"/>
      <c r="F53" s="180"/>
      <c r="H53" s="180"/>
      <c r="P53" s="31"/>
    </row>
    <row r="54" spans="2:17" ht="13.5" thickBot="1">
      <c r="D54" s="1505" t="s">
        <v>23</v>
      </c>
      <c r="E54" s="1538"/>
      <c r="F54" s="803">
        <f>F6+F17+F28+G6+G17+G28</f>
        <v>123676.81067000002</v>
      </c>
      <c r="G54" s="238">
        <f>INPUT!Q10/1000</f>
        <v>133682.87406</v>
      </c>
      <c r="H54" s="238">
        <f>(F54-G54)*1000</f>
        <v>-10006063.389999982</v>
      </c>
      <c r="K54" s="1208"/>
      <c r="P54" s="31"/>
    </row>
    <row r="55" spans="2:17">
      <c r="F55" s="30" t="s">
        <v>132</v>
      </c>
      <c r="G55" s="30" t="s">
        <v>132</v>
      </c>
      <c r="H55" s="30" t="s">
        <v>132</v>
      </c>
      <c r="K55" s="31"/>
      <c r="P55" s="31"/>
    </row>
    <row r="56" spans="2:17">
      <c r="K56" s="1208"/>
      <c r="P56" s="31"/>
    </row>
    <row r="57" spans="2:17">
      <c r="H57" s="31"/>
    </row>
  </sheetData>
  <mergeCells count="28">
    <mergeCell ref="D54:E54"/>
    <mergeCell ref="E1:L1"/>
    <mergeCell ref="Q2:R2"/>
    <mergeCell ref="B3:B36"/>
    <mergeCell ref="C3:C13"/>
    <mergeCell ref="D3:D5"/>
    <mergeCell ref="D6:E6"/>
    <mergeCell ref="D7:D9"/>
    <mergeCell ref="D10:D11"/>
    <mergeCell ref="D12:E12"/>
    <mergeCell ref="C14:C24"/>
    <mergeCell ref="D34:E34"/>
    <mergeCell ref="B2:C2"/>
    <mergeCell ref="B45:B51"/>
    <mergeCell ref="C45:C47"/>
    <mergeCell ref="C48:C50"/>
    <mergeCell ref="D14:D16"/>
    <mergeCell ref="D17:E17"/>
    <mergeCell ref="D18:D20"/>
    <mergeCell ref="D21:D22"/>
    <mergeCell ref="D23:E23"/>
    <mergeCell ref="C36:E36"/>
    <mergeCell ref="C51:E51"/>
    <mergeCell ref="C25:C35"/>
    <mergeCell ref="D25:D27"/>
    <mergeCell ref="D28:E28"/>
    <mergeCell ref="D29:D31"/>
    <mergeCell ref="D32:D33"/>
  </mergeCells>
  <pageMargins left="0.2" right="0.23622047244094491" top="0.48" bottom="0.36" header="0.31496062992125984" footer="0.31496062992125984"/>
  <pageSetup scale="82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T54"/>
  <sheetViews>
    <sheetView showGridLines="0" zoomScale="90" zoomScaleNormal="90" zoomScaleSheetLayoutView="110" workbookViewId="0">
      <selection activeCell="N54" sqref="N54"/>
    </sheetView>
  </sheetViews>
  <sheetFormatPr defaultRowHeight="12.75" outlineLevelCol="1"/>
  <cols>
    <col min="1" max="1" width="3" style="30" customWidth="1"/>
    <col min="2" max="2" width="4.5703125" style="30" customWidth="1"/>
    <col min="3" max="3" width="4.85546875" style="30" customWidth="1"/>
    <col min="4" max="4" width="10.140625" style="30" bestFit="1" customWidth="1"/>
    <col min="5" max="5" width="25.140625" style="30" bestFit="1" customWidth="1" outlineLevel="1"/>
    <col min="6" max="6" width="9.42578125" style="30" bestFit="1" customWidth="1" outlineLevel="1"/>
    <col min="7" max="7" width="8.7109375" style="30" bestFit="1" customWidth="1" outlineLevel="1"/>
    <col min="8" max="8" width="11.5703125" style="30" bestFit="1" customWidth="1" outlineLevel="1"/>
    <col min="9" max="9" width="13.28515625" style="30" bestFit="1" customWidth="1" outlineLevel="1"/>
    <col min="10" max="10" width="16.5703125" style="30" bestFit="1" customWidth="1" outlineLevel="1"/>
    <col min="11" max="11" width="8" style="30" bestFit="1" customWidth="1" outlineLevel="1"/>
    <col min="12" max="12" width="16" style="30" bestFit="1" customWidth="1" outlineLevel="1"/>
    <col min="13" max="13" width="15.85546875" style="30" bestFit="1" customWidth="1"/>
    <col min="14" max="15" width="15.85546875" style="30" customWidth="1"/>
    <col min="16" max="16" width="13.28515625" style="30" bestFit="1" customWidth="1"/>
    <col min="17" max="17" width="3.5703125" style="30" bestFit="1" customWidth="1"/>
    <col min="18" max="18" width="16.7109375" style="33" bestFit="1" customWidth="1"/>
    <col min="19" max="19" width="11.85546875" style="33" customWidth="1"/>
    <col min="20" max="20" width="9.5703125" style="33" customWidth="1"/>
    <col min="21" max="16384" width="9.140625" style="30"/>
  </cols>
  <sheetData>
    <row r="1" spans="2:18" ht="21.75" thickBot="1">
      <c r="C1" s="327"/>
      <c r="E1" s="1488" t="s">
        <v>149</v>
      </c>
      <c r="F1" s="1488"/>
      <c r="G1" s="1488"/>
      <c r="H1" s="1488"/>
      <c r="I1" s="1488"/>
      <c r="J1" s="1488"/>
      <c r="K1" s="1488"/>
      <c r="L1" s="1488"/>
      <c r="M1" s="32"/>
      <c r="N1" s="32"/>
      <c r="O1" s="32"/>
      <c r="P1" s="32"/>
      <c r="Q1" s="178"/>
    </row>
    <row r="2" spans="2:18" ht="15.75" thickBot="1">
      <c r="B2" s="1449" t="s">
        <v>108</v>
      </c>
      <c r="C2" s="1450"/>
      <c r="D2" s="157" t="s">
        <v>21</v>
      </c>
      <c r="E2" s="7" t="s">
        <v>5</v>
      </c>
      <c r="F2" s="157" t="s">
        <v>12</v>
      </c>
      <c r="G2" s="158" t="s">
        <v>11</v>
      </c>
      <c r="H2" s="158" t="s">
        <v>3</v>
      </c>
      <c r="I2" s="158" t="s">
        <v>10</v>
      </c>
      <c r="J2" s="158" t="s">
        <v>0</v>
      </c>
      <c r="K2" s="159" t="s">
        <v>2</v>
      </c>
      <c r="L2" s="160" t="s">
        <v>14</v>
      </c>
      <c r="M2" s="526" t="s">
        <v>155</v>
      </c>
      <c r="N2" s="526" t="s">
        <v>164</v>
      </c>
      <c r="O2" s="160" t="s">
        <v>22</v>
      </c>
      <c r="P2" s="161" t="s">
        <v>16</v>
      </c>
      <c r="Q2" s="1539"/>
      <c r="R2" s="1540"/>
    </row>
    <row r="3" spans="2:18" ht="13.5" hidden="1" thickBot="1">
      <c r="B3" s="1552" t="s">
        <v>20</v>
      </c>
      <c r="C3" s="1380" t="s">
        <v>8</v>
      </c>
      <c r="D3" s="1489" t="s">
        <v>6</v>
      </c>
      <c r="E3" s="34" t="s">
        <v>37</v>
      </c>
      <c r="F3" s="35"/>
      <c r="G3" s="165"/>
      <c r="H3" s="36">
        <v>0</v>
      </c>
      <c r="I3" s="37">
        <f t="shared" ref="I3:I11" si="0">F3+G3+H3</f>
        <v>0</v>
      </c>
      <c r="J3" s="173">
        <f>'SUMMARY BRL'!J6</f>
        <v>1</v>
      </c>
      <c r="K3" s="38">
        <f t="shared" ref="K3:K11" si="1">F3+G3+L3</f>
        <v>0</v>
      </c>
      <c r="L3" s="39">
        <f t="shared" ref="L3:L11" si="2">IF((-I3*J3)&gt;=0,0,(-I3*J3))</f>
        <v>0</v>
      </c>
      <c r="M3" s="40"/>
      <c r="N3" s="40"/>
      <c r="O3" s="40"/>
      <c r="P3" s="40"/>
      <c r="Q3" s="32"/>
    </row>
    <row r="4" spans="2:18" ht="13.5" hidden="1" thickBot="1">
      <c r="B4" s="1553"/>
      <c r="C4" s="1383"/>
      <c r="D4" s="1490"/>
      <c r="E4" s="42" t="s">
        <v>38</v>
      </c>
      <c r="F4" s="43"/>
      <c r="G4" s="166"/>
      <c r="H4" s="44">
        <v>0</v>
      </c>
      <c r="I4" s="45">
        <f t="shared" si="0"/>
        <v>0</v>
      </c>
      <c r="J4" s="59">
        <f>'SUMMARY BRL'!J7</f>
        <v>0.9</v>
      </c>
      <c r="K4" s="47">
        <f t="shared" si="1"/>
        <v>0</v>
      </c>
      <c r="L4" s="48">
        <f t="shared" si="2"/>
        <v>0</v>
      </c>
      <c r="M4" s="49"/>
      <c r="N4" s="49"/>
      <c r="O4" s="49"/>
      <c r="P4" s="49"/>
      <c r="Q4" s="32"/>
    </row>
    <row r="5" spans="2:18" ht="13.5" hidden="1" thickBot="1">
      <c r="B5" s="1553"/>
      <c r="C5" s="1383"/>
      <c r="D5" s="1480"/>
      <c r="E5" s="42" t="s">
        <v>36</v>
      </c>
      <c r="F5" s="50"/>
      <c r="G5" s="166"/>
      <c r="H5" s="44">
        <v>0</v>
      </c>
      <c r="I5" s="45">
        <f t="shared" si="0"/>
        <v>0</v>
      </c>
      <c r="J5" s="63">
        <f>'SUMMARY BRL'!J8</f>
        <v>0.9</v>
      </c>
      <c r="K5" s="47">
        <f t="shared" si="1"/>
        <v>0</v>
      </c>
      <c r="L5" s="48">
        <f t="shared" si="2"/>
        <v>0</v>
      </c>
      <c r="M5" s="49"/>
      <c r="N5" s="49"/>
      <c r="O5" s="49"/>
      <c r="P5" s="49"/>
    </row>
    <row r="6" spans="2:18" ht="13.5" hidden="1" thickBot="1">
      <c r="B6" s="1553"/>
      <c r="C6" s="1383"/>
      <c r="D6" s="1491" t="s">
        <v>23</v>
      </c>
      <c r="E6" s="1492"/>
      <c r="F6" s="167">
        <f>SUM(F3:F5)</f>
        <v>0</v>
      </c>
      <c r="G6" s="168">
        <f>SUM(G3:G5)</f>
        <v>0</v>
      </c>
      <c r="H6" s="169"/>
      <c r="I6" s="170">
        <f>SUM(I3:I5)</f>
        <v>0</v>
      </c>
      <c r="J6" s="53">
        <f>IF(ISERROR(-L6/I6),0,IF(-L6/I6&lt;0,100%,IF(-L6/I6&gt;100%,100%,-L6/I6)))</f>
        <v>0</v>
      </c>
      <c r="K6" s="52">
        <f>SUM(K3:K5)</f>
        <v>0</v>
      </c>
      <c r="L6" s="54">
        <f>SUM(L3:L5)</f>
        <v>0</v>
      </c>
      <c r="M6" s="144"/>
      <c r="N6" s="145"/>
      <c r="O6" s="145"/>
      <c r="P6" s="55">
        <f>-L6+M6</f>
        <v>0</v>
      </c>
    </row>
    <row r="7" spans="2:18" ht="13.5" hidden="1" thickBot="1">
      <c r="B7" s="1553"/>
      <c r="C7" s="1383"/>
      <c r="D7" s="1489" t="s">
        <v>4</v>
      </c>
      <c r="E7" s="171" t="s">
        <v>39</v>
      </c>
      <c r="F7" s="172"/>
      <c r="G7" s="172"/>
      <c r="H7" s="172"/>
      <c r="I7" s="172">
        <f>F7+G7+H7</f>
        <v>0</v>
      </c>
      <c r="J7" s="173">
        <f>'SUMMARY BRL'!J10</f>
        <v>0.6</v>
      </c>
      <c r="K7" s="38">
        <f t="shared" si="1"/>
        <v>0</v>
      </c>
      <c r="L7" s="39">
        <f t="shared" si="2"/>
        <v>0</v>
      </c>
      <c r="M7" s="49"/>
      <c r="N7" s="49"/>
      <c r="O7" s="49"/>
      <c r="P7" s="49"/>
    </row>
    <row r="8" spans="2:18" ht="13.5" hidden="1" thickBot="1">
      <c r="B8" s="1553"/>
      <c r="C8" s="1383"/>
      <c r="D8" s="1490"/>
      <c r="E8" s="56" t="s">
        <v>33</v>
      </c>
      <c r="F8" s="57"/>
      <c r="G8" s="57"/>
      <c r="H8" s="57"/>
      <c r="I8" s="57">
        <f>F8+G8+H8</f>
        <v>0</v>
      </c>
      <c r="J8" s="59">
        <f>'SUMMARY BRL'!J11</f>
        <v>0.6</v>
      </c>
      <c r="K8" s="47">
        <f t="shared" si="1"/>
        <v>0</v>
      </c>
      <c r="L8" s="48">
        <f t="shared" si="2"/>
        <v>0</v>
      </c>
      <c r="M8" s="49"/>
      <c r="N8" s="49"/>
      <c r="O8" s="49"/>
      <c r="P8" s="49"/>
    </row>
    <row r="9" spans="2:18" ht="13.5" hidden="1" thickBot="1">
      <c r="B9" s="1553"/>
      <c r="C9" s="1383"/>
      <c r="D9" s="1493"/>
      <c r="E9" s="60" t="s">
        <v>1</v>
      </c>
      <c r="F9" s="62"/>
      <c r="G9" s="62"/>
      <c r="H9" s="62"/>
      <c r="I9" s="62">
        <f t="shared" si="0"/>
        <v>0</v>
      </c>
      <c r="J9" s="63">
        <f>'SUMMARY BRL'!J12</f>
        <v>0.6</v>
      </c>
      <c r="K9" s="64">
        <f t="shared" si="1"/>
        <v>0</v>
      </c>
      <c r="L9" s="65">
        <f t="shared" si="2"/>
        <v>0</v>
      </c>
      <c r="M9" s="49"/>
      <c r="N9" s="49"/>
      <c r="O9" s="49"/>
      <c r="P9" s="49"/>
    </row>
    <row r="10" spans="2:18" ht="13.5" hidden="1" thickBot="1">
      <c r="B10" s="1553"/>
      <c r="C10" s="1383"/>
      <c r="D10" s="1494" t="s">
        <v>40</v>
      </c>
      <c r="E10" s="42" t="s">
        <v>33</v>
      </c>
      <c r="F10" s="172"/>
      <c r="G10" s="172"/>
      <c r="H10" s="174"/>
      <c r="I10" s="45">
        <f t="shared" si="0"/>
        <v>0</v>
      </c>
      <c r="J10" s="46" t="str">
        <f>'SUMMARY BRL'!J13</f>
        <v>1,9%/5,1%</v>
      </c>
      <c r="K10" s="47" t="e">
        <f t="shared" si="1"/>
        <v>#VALUE!</v>
      </c>
      <c r="L10" s="48" t="e">
        <f t="shared" si="2"/>
        <v>#VALUE!</v>
      </c>
      <c r="M10" s="49"/>
      <c r="N10" s="49"/>
      <c r="O10" s="49"/>
      <c r="P10" s="49"/>
    </row>
    <row r="11" spans="2:18" ht="13.5" hidden="1" thickBot="1">
      <c r="B11" s="1553"/>
      <c r="C11" s="1383"/>
      <c r="D11" s="1495"/>
      <c r="E11" s="42" t="s">
        <v>41</v>
      </c>
      <c r="F11" s="61"/>
      <c r="G11" s="61"/>
      <c r="H11" s="174"/>
      <c r="I11" s="45">
        <f t="shared" si="0"/>
        <v>0</v>
      </c>
      <c r="J11" s="66" t="str">
        <f>'SUMMARY BRL'!J14</f>
        <v>1,9%/5,1%</v>
      </c>
      <c r="K11" s="47" t="e">
        <f t="shared" si="1"/>
        <v>#VALUE!</v>
      </c>
      <c r="L11" s="48" t="e">
        <f t="shared" si="2"/>
        <v>#VALUE!</v>
      </c>
      <c r="M11" s="49"/>
      <c r="N11" s="49"/>
      <c r="O11" s="49"/>
      <c r="P11" s="49"/>
      <c r="R11" s="328"/>
    </row>
    <row r="12" spans="2:18" ht="13.5" hidden="1" thickBot="1">
      <c r="B12" s="1553"/>
      <c r="C12" s="1383"/>
      <c r="D12" s="1491" t="s">
        <v>24</v>
      </c>
      <c r="E12" s="1492"/>
      <c r="F12" s="176">
        <f>SUM(F7:F11)</f>
        <v>0</v>
      </c>
      <c r="G12" s="176">
        <f>SUM(G7:G11)</f>
        <v>0</v>
      </c>
      <c r="H12" s="51">
        <f>SUM(H7:H11)</f>
        <v>0</v>
      </c>
      <c r="I12" s="51">
        <f>SUM(I7:I11)</f>
        <v>0</v>
      </c>
      <c r="J12" s="53">
        <f>IF(ISERROR(-L12/I12),0,IF(-L12/I12&lt;0,100%,IF(-L12/I12&gt;100%,100%,-L12/I12)))</f>
        <v>0</v>
      </c>
      <c r="K12" s="51" t="e">
        <f>SUM(K7:K11)</f>
        <v>#VALUE!</v>
      </c>
      <c r="L12" s="51" t="e">
        <f>SUM(L7:L11)</f>
        <v>#VALUE!</v>
      </c>
      <c r="M12" s="144"/>
      <c r="N12" s="145"/>
      <c r="O12" s="145"/>
      <c r="P12" s="55" t="e">
        <f>-L12+M12</f>
        <v>#VALUE!</v>
      </c>
      <c r="R12" s="328"/>
    </row>
    <row r="13" spans="2:18" ht="13.5" hidden="1" thickBot="1">
      <c r="B13" s="1553"/>
      <c r="C13" s="1384"/>
      <c r="D13" s="67" t="s">
        <v>9</v>
      </c>
      <c r="E13" s="68"/>
      <c r="F13" s="69">
        <f>F12+F6</f>
        <v>0</v>
      </c>
      <c r="G13" s="69">
        <f>G12+G6</f>
        <v>0</v>
      </c>
      <c r="H13" s="69">
        <f>H12+H6</f>
        <v>0</v>
      </c>
      <c r="I13" s="69">
        <f>I12+I6</f>
        <v>0</v>
      </c>
      <c r="J13" s="70">
        <f>IF(ISERROR(-L13/I13),0,IF(-L13/I13&lt;0,100%,IF(-L13/I13&gt;100%,100%,-L13/I13)))</f>
        <v>0</v>
      </c>
      <c r="K13" s="69" t="e">
        <f>K12+K6</f>
        <v>#VALUE!</v>
      </c>
      <c r="L13" s="69" t="e">
        <f>L12+L6</f>
        <v>#VALUE!</v>
      </c>
      <c r="M13" s="71">
        <f>SUM(M12,M6)</f>
        <v>0</v>
      </c>
      <c r="N13" s="71"/>
      <c r="O13" s="71"/>
      <c r="P13" s="71" t="e">
        <f>SUM(P12,P6)</f>
        <v>#VALUE!</v>
      </c>
      <c r="Q13" s="31"/>
    </row>
    <row r="14" spans="2:18">
      <c r="B14" s="1553"/>
      <c r="C14" s="1552" t="s">
        <v>13</v>
      </c>
      <c r="D14" s="1390" t="s">
        <v>6</v>
      </c>
      <c r="E14" s="676" t="s">
        <v>37</v>
      </c>
      <c r="F14" s="677">
        <f>INPUT!B53</f>
        <v>0</v>
      </c>
      <c r="G14" s="678">
        <f>INPUT!D53</f>
        <v>0</v>
      </c>
      <c r="H14" s="679">
        <v>0</v>
      </c>
      <c r="I14" s="680">
        <f>F14+G14+H14</f>
        <v>0</v>
      </c>
      <c r="J14" s="681">
        <f>'SUMMARY BRL'!J6</f>
        <v>1</v>
      </c>
      <c r="K14" s="682">
        <f>IF((F14+G14+L14)&lt;0,0,(F14+G14+L14))</f>
        <v>0</v>
      </c>
      <c r="L14" s="683">
        <f>IF((-I14*J14)&gt;=0,0,(-I14*J14))</f>
        <v>0</v>
      </c>
      <c r="M14" s="40"/>
      <c r="N14" s="684"/>
      <c r="O14" s="684"/>
      <c r="P14" s="40"/>
    </row>
    <row r="15" spans="2:18">
      <c r="B15" s="1553"/>
      <c r="C15" s="1553"/>
      <c r="D15" s="1391"/>
      <c r="E15" s="685" t="s">
        <v>38</v>
      </c>
      <c r="F15" s="686">
        <f>INPUT!B54</f>
        <v>0</v>
      </c>
      <c r="G15" s="687">
        <f>INPUT!D54</f>
        <v>0</v>
      </c>
      <c r="H15" s="688">
        <v>0</v>
      </c>
      <c r="I15" s="689">
        <f>F15+G15+H15</f>
        <v>0</v>
      </c>
      <c r="J15" s="690">
        <v>0.9</v>
      </c>
      <c r="K15" s="691">
        <f>IF((F15+G15+L15)&lt;0,0,(F15+G15+L15))</f>
        <v>0</v>
      </c>
      <c r="L15" s="692">
        <f>IF((-I15*J15)&gt;=0,0,(-I15*J15))</f>
        <v>0</v>
      </c>
      <c r="M15" s="49"/>
      <c r="N15" s="693"/>
      <c r="O15" s="693"/>
      <c r="P15" s="49"/>
    </row>
    <row r="16" spans="2:18" ht="13.5" thickBot="1">
      <c r="B16" s="1553"/>
      <c r="C16" s="1553"/>
      <c r="D16" s="1474"/>
      <c r="E16" s="685" t="s">
        <v>36</v>
      </c>
      <c r="F16" s="686">
        <f>INPUT!B55</f>
        <v>0</v>
      </c>
      <c r="G16" s="687">
        <f>INPUT!D55</f>
        <v>0</v>
      </c>
      <c r="H16" s="688">
        <v>0</v>
      </c>
      <c r="I16" s="695">
        <f>F16+G16+H16</f>
        <v>0</v>
      </c>
      <c r="J16" s="696">
        <v>0.9</v>
      </c>
      <c r="K16" s="693">
        <f>IF((F16+G16+L16)&lt;0,0,(F16+G16+L16))</f>
        <v>0</v>
      </c>
      <c r="L16" s="692">
        <f>IF((-I16*J16)&gt;=0,0,(-I16*J16))</f>
        <v>0</v>
      </c>
      <c r="N16" s="697"/>
      <c r="O16" s="697"/>
      <c r="P16" s="49"/>
    </row>
    <row r="17" spans="2:18" ht="13.5" thickBot="1">
      <c r="B17" s="1553"/>
      <c r="C17" s="1553"/>
      <c r="D17" s="1470" t="s">
        <v>23</v>
      </c>
      <c r="E17" s="1471"/>
      <c r="F17" s="698">
        <f>SUM(F14:F16)</f>
        <v>0</v>
      </c>
      <c r="G17" s="699">
        <f>SUM(G14:G16)</f>
        <v>0</v>
      </c>
      <c r="H17" s="700"/>
      <c r="I17" s="701">
        <f>SUM(I14:I16)</f>
        <v>0</v>
      </c>
      <c r="J17" s="702">
        <f>IF(ISERROR(-L17/I17),0,IF(-L17/I17&lt;0,100%,IF(-L17/I17&gt;100%,100%,-L17/I17)))</f>
        <v>0</v>
      </c>
      <c r="K17" s="701">
        <f>SUM(K14:K16)</f>
        <v>0</v>
      </c>
      <c r="L17" s="703">
        <f>SUM(L14:L16)</f>
        <v>0</v>
      </c>
      <c r="M17" s="704">
        <f>INPUT!N11/1000</f>
        <v>0</v>
      </c>
      <c r="N17" s="704">
        <v>0</v>
      </c>
      <c r="O17" s="704">
        <f>N17+M17</f>
        <v>0</v>
      </c>
      <c r="P17" s="774">
        <f>M17-L17</f>
        <v>0</v>
      </c>
      <c r="Q17" s="179"/>
    </row>
    <row r="18" spans="2:18">
      <c r="B18" s="1553"/>
      <c r="C18" s="1553"/>
      <c r="D18" s="1390" t="s">
        <v>4</v>
      </c>
      <c r="E18" s="705" t="s">
        <v>39</v>
      </c>
      <c r="F18" s="677">
        <f>INPUT!B56+INPUT!B57+INPUT!B58</f>
        <v>0</v>
      </c>
      <c r="G18" s="679">
        <f>INPUT!D56+INPUT!D57+INPUT!D58</f>
        <v>0</v>
      </c>
      <c r="H18" s="679">
        <f>INPUT!F56+INPUT!F57+INPUT!F58</f>
        <v>0</v>
      </c>
      <c r="I18" s="679">
        <f>F18+G18+H18</f>
        <v>0</v>
      </c>
      <c r="J18" s="706">
        <v>0.55000000000000004</v>
      </c>
      <c r="K18" s="707">
        <f>IF((F18+G18+L18)&lt;0,0,(F18+G18+L18))</f>
        <v>0</v>
      </c>
      <c r="L18" s="683">
        <f>IF((-I18*J18)&gt;=0,0,(-I18*J18))</f>
        <v>0</v>
      </c>
      <c r="M18" s="58"/>
      <c r="N18" s="708"/>
      <c r="O18" s="708"/>
      <c r="P18" s="49"/>
    </row>
    <row r="19" spans="2:18">
      <c r="B19" s="1553"/>
      <c r="C19" s="1553"/>
      <c r="D19" s="1391"/>
      <c r="E19" s="709" t="s">
        <v>33</v>
      </c>
      <c r="F19" s="686">
        <f>INPUT!B59</f>
        <v>0</v>
      </c>
      <c r="G19" s="688">
        <f>INPUT!D59</f>
        <v>0</v>
      </c>
      <c r="H19" s="688">
        <f>INPUT!F59</f>
        <v>0</v>
      </c>
      <c r="I19" s="688">
        <f>F19+G19+H19</f>
        <v>0</v>
      </c>
      <c r="J19" s="710">
        <v>0.55000000000000004</v>
      </c>
      <c r="K19" s="711">
        <f>IF((F19+G19+L19)&lt;0,0,(F19+G19+L19))</f>
        <v>0</v>
      </c>
      <c r="L19" s="692">
        <f>IF((-I19*J19)&gt;=0,0,(-I19*J19))</f>
        <v>0</v>
      </c>
      <c r="M19" s="329"/>
      <c r="N19" s="708"/>
      <c r="O19" s="708"/>
      <c r="P19" s="49"/>
    </row>
    <row r="20" spans="2:18">
      <c r="B20" s="1553"/>
      <c r="C20" s="1553"/>
      <c r="D20" s="1472"/>
      <c r="E20" s="712" t="s">
        <v>1</v>
      </c>
      <c r="F20" s="694">
        <f>INPUT!B60</f>
        <v>0</v>
      </c>
      <c r="G20" s="713">
        <f>INPUT!D60</f>
        <v>0</v>
      </c>
      <c r="H20" s="713">
        <f>INPUT!F60</f>
        <v>0</v>
      </c>
      <c r="I20" s="713">
        <f>F20+G20+H20</f>
        <v>0</v>
      </c>
      <c r="J20" s="714">
        <v>0.55000000000000004</v>
      </c>
      <c r="K20" s="715">
        <f>IF((F20+G20+L20)&lt;0,0,(F20+G20+L20))</f>
        <v>0</v>
      </c>
      <c r="L20" s="716">
        <f>IF((-I20*J20)&gt;=0,0,(-I20*J20))</f>
        <v>0</v>
      </c>
      <c r="M20" s="329"/>
      <c r="N20" s="708"/>
      <c r="O20" s="708"/>
      <c r="P20" s="49"/>
    </row>
    <row r="21" spans="2:18">
      <c r="B21" s="1553"/>
      <c r="C21" s="1553"/>
      <c r="D21" s="1473" t="s">
        <v>40</v>
      </c>
      <c r="E21" s="685" t="s">
        <v>33</v>
      </c>
      <c r="F21" s="686">
        <f>INPUT!B61</f>
        <v>0</v>
      </c>
      <c r="G21" s="688">
        <f>INPUT!D61</f>
        <v>0</v>
      </c>
      <c r="H21" s="688">
        <f>INPUT!F61</f>
        <v>0</v>
      </c>
      <c r="I21" s="688">
        <f>F21+G21+H21</f>
        <v>0</v>
      </c>
      <c r="J21" s="1218">
        <v>2.3E-2</v>
      </c>
      <c r="K21" s="711">
        <f>IF((F21+G21+L21)&lt;0,0,(F21+G21+L21))</f>
        <v>0</v>
      </c>
      <c r="L21" s="692">
        <f>IF((-I21*J21)&gt;=0,0,(-I21*J21))</f>
        <v>0</v>
      </c>
      <c r="N21" s="697"/>
      <c r="O21" s="697"/>
      <c r="P21" s="49"/>
    </row>
    <row r="22" spans="2:18" ht="13.5" thickBot="1">
      <c r="B22" s="1553"/>
      <c r="C22" s="1553"/>
      <c r="D22" s="1474"/>
      <c r="E22" s="685" t="s">
        <v>41</v>
      </c>
      <c r="F22" s="686">
        <f>INPUT!B62</f>
        <v>0</v>
      </c>
      <c r="G22" s="688">
        <f>INPUT!L11+INPUT!D62</f>
        <v>0</v>
      </c>
      <c r="H22" s="688">
        <f>INPUT!D62</f>
        <v>0</v>
      </c>
      <c r="I22" s="688">
        <f>F22+G22+H22</f>
        <v>0</v>
      </c>
      <c r="J22" s="1219">
        <v>2.3E-2</v>
      </c>
      <c r="K22" s="711">
        <f>IF((F22+G22+L22)&lt;0,0,(F22+G22+L22))</f>
        <v>0</v>
      </c>
      <c r="L22" s="692">
        <f>IF((-I22*J22)&gt;=0,0,(-I22*J22))</f>
        <v>0</v>
      </c>
      <c r="M22" s="41"/>
      <c r="N22" s="697"/>
      <c r="O22" s="697"/>
      <c r="P22" s="49" t="e">
        <f>P24-'[10]Funnel File'!$P$24</f>
        <v>#REF!</v>
      </c>
    </row>
    <row r="23" spans="2:18" ht="13.5" thickBot="1">
      <c r="B23" s="1553"/>
      <c r="C23" s="1553"/>
      <c r="D23" s="1470" t="s">
        <v>24</v>
      </c>
      <c r="E23" s="1471"/>
      <c r="F23" s="698">
        <f>SUM(F18:F22)</f>
        <v>0</v>
      </c>
      <c r="G23" s="698">
        <f>SUM(G18:G22)</f>
        <v>0</v>
      </c>
      <c r="H23" s="698">
        <f>SUM(H18:H22)</f>
        <v>0</v>
      </c>
      <c r="I23" s="698">
        <f>SUM(I18:I22)</f>
        <v>0</v>
      </c>
      <c r="J23" s="702">
        <f>IF(ISERROR(-L23/I23),0,IF(-L23/I23&lt;0,100%,IF(-L23/I23&gt;100%,100%,-L23/I23)))</f>
        <v>0</v>
      </c>
      <c r="K23" s="698">
        <f>SUM(K18:K22)</f>
        <v>0</v>
      </c>
      <c r="L23" s="719">
        <f>SUM(L18:L22)</f>
        <v>0</v>
      </c>
      <c r="M23" s="1220">
        <f>INPUT!O11/1000</f>
        <v>0</v>
      </c>
      <c r="N23" s="704">
        <f>INPUT!P11</f>
        <v>0</v>
      </c>
      <c r="O23" s="704">
        <f>M23+N23</f>
        <v>0</v>
      </c>
      <c r="P23" s="774">
        <f>-L23+M23</f>
        <v>0</v>
      </c>
      <c r="Q23" s="179"/>
      <c r="R23" s="1165" t="s">
        <v>170</v>
      </c>
    </row>
    <row r="24" spans="2:18" ht="13.5" thickBot="1">
      <c r="B24" s="1553"/>
      <c r="C24" s="1554"/>
      <c r="D24" s="720" t="s">
        <v>9</v>
      </c>
      <c r="E24" s="721"/>
      <c r="F24" s="722">
        <f>F17+F23</f>
        <v>0</v>
      </c>
      <c r="G24" s="722">
        <f>G17+G23</f>
        <v>0</v>
      </c>
      <c r="H24" s="722">
        <f>H17+H23</f>
        <v>0</v>
      </c>
      <c r="I24" s="722">
        <f>I17+I23</f>
        <v>0</v>
      </c>
      <c r="J24" s="723">
        <f>IF(ISERROR(-L24/I24),0,IF(-L24/I24&lt;0,100%,IF(-L24/I24&gt;100%,100%,-L24/I24)))</f>
        <v>0</v>
      </c>
      <c r="K24" s="722">
        <f>K17+K23</f>
        <v>0</v>
      </c>
      <c r="L24" s="722">
        <f>L17+L23</f>
        <v>0</v>
      </c>
      <c r="M24" s="724">
        <f>SUM(M17,M23)</f>
        <v>0</v>
      </c>
      <c r="N24" s="753">
        <f>N23+N17</f>
        <v>0</v>
      </c>
      <c r="O24" s="753">
        <f>O23+O17</f>
        <v>0</v>
      </c>
      <c r="P24" s="724">
        <f>SUM(P17,P23)</f>
        <v>0</v>
      </c>
      <c r="Q24" s="31"/>
    </row>
    <row r="25" spans="2:18" ht="13.5" hidden="1" thickBot="1">
      <c r="B25" s="1553"/>
      <c r="C25" s="1532" t="s">
        <v>15</v>
      </c>
      <c r="D25" s="1390" t="s">
        <v>6</v>
      </c>
      <c r="E25" s="676" t="s">
        <v>37</v>
      </c>
      <c r="F25" s="778"/>
      <c r="G25" s="779">
        <v>0</v>
      </c>
      <c r="H25" s="679"/>
      <c r="I25" s="679">
        <f>F25+G25+H25</f>
        <v>0</v>
      </c>
      <c r="J25" s="780">
        <f>'SUMMARY BRL'!J6</f>
        <v>1</v>
      </c>
      <c r="K25" s="707">
        <f>F25+G25+L25</f>
        <v>0</v>
      </c>
      <c r="L25" s="683">
        <f>IF((-I25*J25)&gt;=0,0,(-I25*J25))</f>
        <v>0</v>
      </c>
      <c r="M25" s="684"/>
      <c r="N25" s="684"/>
      <c r="O25" s="684"/>
      <c r="P25" s="684"/>
    </row>
    <row r="26" spans="2:18" ht="13.5" hidden="1" thickBot="1">
      <c r="B26" s="1553"/>
      <c r="C26" s="1533"/>
      <c r="D26" s="1391"/>
      <c r="E26" s="685" t="s">
        <v>38</v>
      </c>
      <c r="F26" s="781">
        <v>0</v>
      </c>
      <c r="G26" s="782">
        <v>0</v>
      </c>
      <c r="H26" s="688"/>
      <c r="I26" s="688">
        <f>F26+G26+H26</f>
        <v>0</v>
      </c>
      <c r="J26" s="717">
        <f>'SUMMARY BRL'!J7</f>
        <v>0.9</v>
      </c>
      <c r="K26" s="711">
        <f>F26+G26+L26</f>
        <v>0</v>
      </c>
      <c r="L26" s="692">
        <f>IF((-I26*J26)&gt;=0,0,(-I26*J26))</f>
        <v>0</v>
      </c>
      <c r="M26" s="693"/>
      <c r="N26" s="693"/>
      <c r="O26" s="693"/>
      <c r="P26" s="693"/>
    </row>
    <row r="27" spans="2:18" ht="13.5" hidden="1" thickBot="1">
      <c r="B27" s="1553"/>
      <c r="C27" s="1533"/>
      <c r="D27" s="1535"/>
      <c r="E27" s="685" t="s">
        <v>36</v>
      </c>
      <c r="F27" s="781">
        <v>0</v>
      </c>
      <c r="G27" s="782">
        <v>0</v>
      </c>
      <c r="H27" s="688"/>
      <c r="I27" s="688">
        <f>F27+G27+H27</f>
        <v>0</v>
      </c>
      <c r="J27" s="717">
        <f>'SUMMARY BRL'!J8</f>
        <v>0.9</v>
      </c>
      <c r="K27" s="711">
        <f>F27+G27+L27</f>
        <v>0</v>
      </c>
      <c r="L27" s="692">
        <f>IF((-I27*J27)&gt;=0,0,(-I27*J27))</f>
        <v>0</v>
      </c>
      <c r="M27" s="693"/>
      <c r="N27" s="693"/>
      <c r="O27" s="693"/>
      <c r="P27" s="693"/>
    </row>
    <row r="28" spans="2:18" ht="13.5" hidden="1" thickBot="1">
      <c r="B28" s="1553"/>
      <c r="C28" s="1533"/>
      <c r="D28" s="1536" t="s">
        <v>23</v>
      </c>
      <c r="E28" s="1537"/>
      <c r="F28" s="698">
        <f>SUM(F25:F27)</f>
        <v>0</v>
      </c>
      <c r="G28" s="699">
        <f>SUM(G25:G27)</f>
        <v>0</v>
      </c>
      <c r="H28" s="700"/>
      <c r="I28" s="701">
        <f>SUM(I25:I27)</f>
        <v>0</v>
      </c>
      <c r="J28" s="702">
        <f>IF(ISERROR(-L28/I28),0,IF(-L28/I28&lt;0,100%,IF(-L28/I28&gt;100%,100%,-L28/I28)))</f>
        <v>0</v>
      </c>
      <c r="K28" s="701">
        <f>SUM(K25:K27)</f>
        <v>0</v>
      </c>
      <c r="L28" s="703">
        <f>SUM(L25:L27)</f>
        <v>0</v>
      </c>
      <c r="M28" s="774"/>
      <c r="N28" s="774"/>
      <c r="O28" s="774"/>
      <c r="P28" s="774">
        <f>-L28+M28</f>
        <v>0</v>
      </c>
    </row>
    <row r="29" spans="2:18" ht="13.5" hidden="1" thickBot="1">
      <c r="B29" s="1553"/>
      <c r="C29" s="1533"/>
      <c r="D29" s="1390" t="s">
        <v>4</v>
      </c>
      <c r="E29" s="705" t="s">
        <v>39</v>
      </c>
      <c r="F29" s="778"/>
      <c r="G29" s="783"/>
      <c r="H29" s="679"/>
      <c r="I29" s="679">
        <f>F29+G29+H29</f>
        <v>0</v>
      </c>
      <c r="J29" s="706">
        <f>'SUMMARY BRL'!J10</f>
        <v>0.6</v>
      </c>
      <c r="K29" s="707">
        <f>F29+G29+L29</f>
        <v>0</v>
      </c>
      <c r="L29" s="683">
        <f>IF((-I29*J29)&gt;=0,0,(-I29*J29))</f>
        <v>0</v>
      </c>
      <c r="M29" s="693"/>
      <c r="N29" s="693"/>
      <c r="O29" s="693"/>
      <c r="P29" s="693"/>
    </row>
    <row r="30" spans="2:18" ht="13.5" hidden="1" thickBot="1">
      <c r="B30" s="1553"/>
      <c r="C30" s="1533"/>
      <c r="D30" s="1391"/>
      <c r="E30" s="709" t="s">
        <v>33</v>
      </c>
      <c r="F30" s="781"/>
      <c r="G30" s="784"/>
      <c r="H30" s="688"/>
      <c r="I30" s="688">
        <f>F30+G30+H30</f>
        <v>0</v>
      </c>
      <c r="J30" s="710">
        <f>'SUMMARY BRL'!J11</f>
        <v>0.6</v>
      </c>
      <c r="K30" s="711">
        <f>F30+G30+L30</f>
        <v>0</v>
      </c>
      <c r="L30" s="692">
        <f>IF((-I30*J30)&gt;=0,0,(-I30*J30))</f>
        <v>0</v>
      </c>
      <c r="M30" s="693"/>
      <c r="N30" s="693"/>
      <c r="O30" s="693"/>
      <c r="P30" s="693"/>
    </row>
    <row r="31" spans="2:18" ht="13.5" hidden="1" thickBot="1">
      <c r="B31" s="1553"/>
      <c r="C31" s="1533"/>
      <c r="D31" s="1472"/>
      <c r="E31" s="712" t="s">
        <v>1</v>
      </c>
      <c r="F31" s="785"/>
      <c r="G31" s="786"/>
      <c r="H31" s="713"/>
      <c r="I31" s="713">
        <f>F31+G31+H31</f>
        <v>0</v>
      </c>
      <c r="J31" s="714">
        <f>'SUMMARY BRL'!J12</f>
        <v>0.6</v>
      </c>
      <c r="K31" s="715">
        <f>F31+G31+L31</f>
        <v>0</v>
      </c>
      <c r="L31" s="716">
        <f>IF((-I31*J31)&gt;=0,0,(-I31*J31))</f>
        <v>0</v>
      </c>
      <c r="M31" s="693"/>
      <c r="N31" s="693"/>
      <c r="O31" s="693"/>
      <c r="P31" s="693"/>
    </row>
    <row r="32" spans="2:18" ht="13.5" hidden="1" thickBot="1">
      <c r="B32" s="1553"/>
      <c r="C32" s="1533"/>
      <c r="D32" s="1473" t="s">
        <v>40</v>
      </c>
      <c r="E32" s="685" t="s">
        <v>33</v>
      </c>
      <c r="F32" s="781"/>
      <c r="G32" s="784"/>
      <c r="H32" s="688"/>
      <c r="I32" s="688">
        <f>F32+G32+H32</f>
        <v>0</v>
      </c>
      <c r="J32" s="717" t="str">
        <f>'SUMMARY BRL'!J13</f>
        <v>1,9%/5,1%</v>
      </c>
      <c r="K32" s="711" t="e">
        <f>F32+G32+L32</f>
        <v>#VALUE!</v>
      </c>
      <c r="L32" s="692" t="e">
        <f>IF((-I32*J32)&gt;=0,0,(-I32*J32))</f>
        <v>#VALUE!</v>
      </c>
      <c r="M32" s="693"/>
      <c r="N32" s="693"/>
      <c r="O32" s="693"/>
      <c r="P32" s="693"/>
    </row>
    <row r="33" spans="2:20" ht="13.5" hidden="1" thickBot="1">
      <c r="B33" s="1553"/>
      <c r="C33" s="1533"/>
      <c r="D33" s="1474"/>
      <c r="E33" s="685" t="s">
        <v>41</v>
      </c>
      <c r="F33" s="781"/>
      <c r="G33" s="784"/>
      <c r="H33" s="688"/>
      <c r="I33" s="688">
        <f>F33+G33+H33</f>
        <v>0</v>
      </c>
      <c r="J33" s="718" t="str">
        <f>'SUMMARY BRL'!J14</f>
        <v>1,9%/5,1%</v>
      </c>
      <c r="K33" s="711" t="e">
        <f>F33+G33+L33</f>
        <v>#VALUE!</v>
      </c>
      <c r="L33" s="692" t="e">
        <f>IF((-I33*J33)&gt;=0,0,(-I33*J33))</f>
        <v>#VALUE!</v>
      </c>
      <c r="M33" s="693"/>
      <c r="N33" s="693"/>
      <c r="O33" s="693"/>
      <c r="P33" s="693"/>
    </row>
    <row r="34" spans="2:20" ht="13.5" hidden="1" thickBot="1">
      <c r="B34" s="1553"/>
      <c r="C34" s="1533"/>
      <c r="D34" s="1536" t="s">
        <v>24</v>
      </c>
      <c r="E34" s="1537"/>
      <c r="F34" s="698">
        <f>SUM(F29:F33)</f>
        <v>0</v>
      </c>
      <c r="G34" s="698">
        <f>SUM(G29:G33)</f>
        <v>0</v>
      </c>
      <c r="H34" s="698">
        <f>SUM(H29:H33)</f>
        <v>0</v>
      </c>
      <c r="I34" s="698">
        <f>SUM(I29:I33)</f>
        <v>0</v>
      </c>
      <c r="J34" s="702">
        <f>IF(ISERROR(-L34/I34),0,IF(-L34/I34&lt;0,100%,IF(-L34/I34&gt;100%,100%,-L34/I34)))</f>
        <v>0</v>
      </c>
      <c r="K34" s="698" t="e">
        <f>SUM(K29:K33)</f>
        <v>#VALUE!</v>
      </c>
      <c r="L34" s="719" t="e">
        <f>SUM(L29:L33)</f>
        <v>#VALUE!</v>
      </c>
      <c r="M34" s="774"/>
      <c r="N34" s="774"/>
      <c r="O34" s="774"/>
      <c r="P34" s="774" t="e">
        <f>-L34+M34</f>
        <v>#VALUE!</v>
      </c>
    </row>
    <row r="35" spans="2:20" ht="13.5" hidden="1" thickBot="1">
      <c r="B35" s="1553"/>
      <c r="C35" s="1534"/>
      <c r="D35" s="720" t="s">
        <v>9</v>
      </c>
      <c r="E35" s="721"/>
      <c r="F35" s="722">
        <f>F28+F34</f>
        <v>0</v>
      </c>
      <c r="G35" s="722">
        <f>G28+G34</f>
        <v>0</v>
      </c>
      <c r="H35" s="722">
        <f>H28+H34</f>
        <v>0</v>
      </c>
      <c r="I35" s="722">
        <f>I28+I34</f>
        <v>0</v>
      </c>
      <c r="J35" s="723">
        <f>IF(ISERROR(-L35/I35),0,IF(-L35/I35&lt;0,100%,IF(-L35/I35&gt;100%,100%,-L35/I35)))</f>
        <v>0</v>
      </c>
      <c r="K35" s="722" t="e">
        <f>K28+K34</f>
        <v>#VALUE!</v>
      </c>
      <c r="L35" s="722" t="e">
        <f>L28+L34</f>
        <v>#VALUE!</v>
      </c>
      <c r="M35" s="724">
        <f>SUM(M28,M34)</f>
        <v>0</v>
      </c>
      <c r="N35" s="724"/>
      <c r="O35" s="724"/>
      <c r="P35" s="724" t="e">
        <f>SUM(P28,P34)</f>
        <v>#VALUE!</v>
      </c>
      <c r="Q35" s="31"/>
    </row>
    <row r="36" spans="2:20" ht="15.75" customHeight="1" thickBot="1">
      <c r="B36" s="1554"/>
      <c r="C36" s="1547" t="s">
        <v>17</v>
      </c>
      <c r="D36" s="1548"/>
      <c r="E36" s="1549"/>
      <c r="F36" s="828">
        <f>F13+F24+F35</f>
        <v>0</v>
      </c>
      <c r="G36" s="829">
        <f>G35+G24+G13</f>
        <v>0</v>
      </c>
      <c r="H36" s="830">
        <f>H35+H24+H13</f>
        <v>0</v>
      </c>
      <c r="I36" s="830">
        <f>I35+I24+I13</f>
        <v>0</v>
      </c>
      <c r="J36" s="831">
        <f>IF(ISERROR(-L36/I36),0,IF(-L36/I36&lt;0,100%,IF(-L36/I36&gt;100%,100%,-L36/I36)))</f>
        <v>0</v>
      </c>
      <c r="K36" s="832" t="e">
        <f>K35+K24+K13</f>
        <v>#VALUE!</v>
      </c>
      <c r="L36" s="832" t="e">
        <f>L35+L24+L13</f>
        <v>#VALUE!</v>
      </c>
      <c r="M36" s="834">
        <f>M35+M24+M13</f>
        <v>0</v>
      </c>
      <c r="N36" s="834">
        <f>N35+N24+N13</f>
        <v>0</v>
      </c>
      <c r="O36" s="834">
        <f>O24</f>
        <v>0</v>
      </c>
      <c r="P36" s="832" t="e">
        <f>P35+P24+P13</f>
        <v>#VALUE!</v>
      </c>
      <c r="Q36" s="31"/>
    </row>
    <row r="37" spans="2:20" s="129" customFormat="1">
      <c r="B37" s="127"/>
      <c r="C37" s="25"/>
      <c r="D37" s="128"/>
      <c r="E37" s="27"/>
      <c r="F37" s="295"/>
      <c r="G37" s="27"/>
      <c r="H37" s="27"/>
      <c r="I37" s="27"/>
      <c r="J37" s="835"/>
      <c r="K37" s="836"/>
      <c r="L37" s="836"/>
      <c r="M37" s="836"/>
      <c r="N37" s="836"/>
      <c r="O37" s="836"/>
      <c r="P37" s="837"/>
      <c r="Q37" s="177"/>
      <c r="R37" s="33"/>
      <c r="S37" s="33"/>
      <c r="T37" s="33"/>
    </row>
    <row r="38" spans="2:20" s="129" customFormat="1">
      <c r="B38" s="127"/>
      <c r="C38" s="25"/>
      <c r="D38" s="128"/>
      <c r="E38" s="27"/>
      <c r="F38" s="27"/>
      <c r="G38" s="27"/>
      <c r="H38" s="27"/>
      <c r="I38" s="27"/>
      <c r="J38" s="838" t="s">
        <v>25</v>
      </c>
      <c r="K38" s="839"/>
      <c r="L38" s="840" t="s">
        <v>14</v>
      </c>
      <c r="M38" s="840" t="s">
        <v>155</v>
      </c>
      <c r="N38" s="841" t="s">
        <v>159</v>
      </c>
      <c r="O38" s="841" t="s">
        <v>22</v>
      </c>
      <c r="P38" s="842" t="s">
        <v>16</v>
      </c>
      <c r="Q38" s="177"/>
      <c r="R38" s="49"/>
      <c r="S38" s="49"/>
      <c r="T38" s="49"/>
    </row>
    <row r="39" spans="2:20" s="129" customFormat="1">
      <c r="B39" s="127"/>
      <c r="C39" s="25"/>
      <c r="D39" s="128"/>
      <c r="E39" s="27"/>
      <c r="F39" s="27"/>
      <c r="G39" s="27"/>
      <c r="H39" s="27"/>
      <c r="I39" s="27"/>
      <c r="J39" s="843" t="s">
        <v>26</v>
      </c>
      <c r="K39" s="844"/>
      <c r="L39" s="174">
        <f>+L6+L17+L28</f>
        <v>0</v>
      </c>
      <c r="M39" s="174">
        <f>+M6+M17+M28</f>
        <v>0</v>
      </c>
      <c r="N39" s="174">
        <f>+N6+N17+N28</f>
        <v>0</v>
      </c>
      <c r="O39" s="174">
        <f>+O6+O17+O28</f>
        <v>0</v>
      </c>
      <c r="P39" s="845">
        <f>+P6+P17+P28</f>
        <v>0</v>
      </c>
      <c r="Q39" s="177"/>
      <c r="R39" s="49"/>
      <c r="S39" s="49"/>
      <c r="T39" s="49"/>
    </row>
    <row r="40" spans="2:20" s="129" customFormat="1" ht="15">
      <c r="B40" s="127"/>
      <c r="C40" s="25"/>
      <c r="D40" s="128"/>
      <c r="E40" s="27"/>
      <c r="F40" s="27"/>
      <c r="G40" s="27"/>
      <c r="H40" s="27"/>
      <c r="I40" s="27"/>
      <c r="J40" s="843" t="s">
        <v>27</v>
      </c>
      <c r="K40" s="844"/>
      <c r="L40" s="846" t="e">
        <f>+L12+L23+L34</f>
        <v>#VALUE!</v>
      </c>
      <c r="M40" s="846">
        <f>+M12+M23+M34</f>
        <v>0</v>
      </c>
      <c r="N40" s="846">
        <f>+N12+N23+N34</f>
        <v>0</v>
      </c>
      <c r="O40" s="846">
        <f>+O12+O23+O34</f>
        <v>0</v>
      </c>
      <c r="P40" s="847" t="e">
        <f>+P12+P23+P34</f>
        <v>#VALUE!</v>
      </c>
      <c r="Q40" s="177"/>
      <c r="R40" s="49"/>
      <c r="S40" s="49"/>
      <c r="T40" s="49"/>
    </row>
    <row r="41" spans="2:20" s="129" customFormat="1" ht="13.5" thickBot="1">
      <c r="B41" s="127"/>
      <c r="C41" s="25"/>
      <c r="D41" s="128"/>
      <c r="E41" s="27"/>
      <c r="F41" s="27"/>
      <c r="G41" s="27"/>
      <c r="H41" s="27"/>
      <c r="I41" s="27"/>
      <c r="J41" s="843" t="s">
        <v>28</v>
      </c>
      <c r="K41" s="848"/>
      <c r="L41" s="849" t="e">
        <f>SUM(L39:L40)</f>
        <v>#VALUE!</v>
      </c>
      <c r="M41" s="849">
        <f>SUM(M39:M40)</f>
        <v>0</v>
      </c>
      <c r="N41" s="849">
        <f>SUM(N39:N40)</f>
        <v>0</v>
      </c>
      <c r="O41" s="849">
        <f>SUM(O39:O40)</f>
        <v>0</v>
      </c>
      <c r="P41" s="850" t="e">
        <f>SUM(P39:P40)</f>
        <v>#VALUE!</v>
      </c>
      <c r="Q41" s="177"/>
      <c r="R41" s="49"/>
      <c r="S41" s="49"/>
      <c r="T41" s="49"/>
    </row>
    <row r="42" spans="2:20" s="129" customFormat="1" ht="14.25" thickTop="1" thickBot="1">
      <c r="B42" s="127"/>
      <c r="C42" s="25"/>
      <c r="D42" s="128"/>
      <c r="E42" s="27"/>
      <c r="F42" s="27"/>
      <c r="G42" s="27"/>
      <c r="H42" s="27"/>
      <c r="I42" s="27"/>
      <c r="J42" s="851"/>
      <c r="K42" s="852"/>
      <c r="L42" s="853"/>
      <c r="M42" s="853"/>
      <c r="N42" s="853"/>
      <c r="O42" s="853"/>
      <c r="P42" s="854"/>
      <c r="Q42" s="177"/>
      <c r="R42" s="49"/>
      <c r="S42" s="49"/>
      <c r="T42" s="49"/>
    </row>
    <row r="43" spans="2:20" hidden="1">
      <c r="D43" s="30" t="s">
        <v>42</v>
      </c>
      <c r="R43" s="49"/>
      <c r="S43" s="49"/>
      <c r="T43" s="49"/>
    </row>
    <row r="44" spans="2:20" ht="13.5" hidden="1" thickBot="1">
      <c r="D44" s="157" t="s">
        <v>21</v>
      </c>
      <c r="E44" s="157" t="s">
        <v>5</v>
      </c>
      <c r="F44" s="158" t="s">
        <v>12</v>
      </c>
      <c r="G44" s="158" t="s">
        <v>11</v>
      </c>
      <c r="H44" s="158" t="s">
        <v>3</v>
      </c>
      <c r="I44" s="158" t="s">
        <v>10</v>
      </c>
      <c r="J44" s="158" t="s">
        <v>0</v>
      </c>
      <c r="K44" s="162" t="s">
        <v>2</v>
      </c>
      <c r="L44" s="160" t="s">
        <v>14</v>
      </c>
      <c r="M44" s="163" t="s">
        <v>22</v>
      </c>
      <c r="N44" s="163"/>
      <c r="O44" s="163"/>
      <c r="P44" s="160" t="s">
        <v>16</v>
      </c>
    </row>
    <row r="45" spans="2:20" hidden="1">
      <c r="B45" s="1544" t="s">
        <v>19</v>
      </c>
      <c r="C45" s="1524" t="s">
        <v>8</v>
      </c>
      <c r="D45" s="131" t="s">
        <v>1</v>
      </c>
      <c r="E45" s="132" t="s">
        <v>1</v>
      </c>
      <c r="F45" s="45"/>
      <c r="G45" s="45">
        <v>0</v>
      </c>
      <c r="H45" s="45">
        <v>0</v>
      </c>
      <c r="I45" s="133">
        <f>+F45</f>
        <v>0</v>
      </c>
      <c r="J45" s="197">
        <f>'SUMMARY BRL'!J19</f>
        <v>2.3E-2</v>
      </c>
      <c r="K45" s="134">
        <f>F45+G45+L45</f>
        <v>0</v>
      </c>
      <c r="L45" s="135">
        <f>IF((-I45*J45)&gt;=0,0,(-I45*J45))</f>
        <v>0</v>
      </c>
    </row>
    <row r="46" spans="2:20" hidden="1">
      <c r="B46" s="1545"/>
      <c r="C46" s="1525"/>
      <c r="D46" s="136" t="s">
        <v>7</v>
      </c>
      <c r="E46" s="137" t="s">
        <v>34</v>
      </c>
      <c r="F46" s="138">
        <v>0</v>
      </c>
      <c r="G46" s="138">
        <v>0</v>
      </c>
      <c r="H46" s="138">
        <v>0</v>
      </c>
      <c r="I46" s="138">
        <f>+F46</f>
        <v>0</v>
      </c>
      <c r="J46" s="306">
        <f>'SUMMARY BRL'!J20</f>
        <v>2.3E-2</v>
      </c>
      <c r="K46" s="139">
        <f>F46+G46+L46</f>
        <v>0</v>
      </c>
      <c r="L46" s="140">
        <f>IF((-I46*J46)&gt;=0,0,(-I46*J46))</f>
        <v>0</v>
      </c>
      <c r="M46" s="41"/>
      <c r="N46" s="41"/>
      <c r="O46" s="41"/>
      <c r="P46" s="41"/>
    </row>
    <row r="47" spans="2:20" ht="13.5" hidden="1" thickBot="1">
      <c r="B47" s="1545"/>
      <c r="C47" s="1525"/>
      <c r="D47" s="141" t="s">
        <v>9</v>
      </c>
      <c r="E47" s="142"/>
      <c r="F47" s="51">
        <f>SUM(F45:F46)</f>
        <v>0</v>
      </c>
      <c r="G47" s="51">
        <f>SUM(G45:G46)</f>
        <v>0</v>
      </c>
      <c r="H47" s="51">
        <f>SUM(H45:H46)</f>
        <v>0</v>
      </c>
      <c r="I47" s="51">
        <f>SUM(I45:I46)</f>
        <v>0</v>
      </c>
      <c r="J47" s="309">
        <v>0.01</v>
      </c>
      <c r="K47" s="143">
        <f>SUM(K45:K46)</f>
        <v>0</v>
      </c>
      <c r="L47" s="144">
        <f>SUM(L45:L46)</f>
        <v>0</v>
      </c>
      <c r="M47" s="145">
        <f>L47</f>
        <v>0</v>
      </c>
      <c r="N47" s="145"/>
      <c r="O47" s="145"/>
      <c r="P47" s="55">
        <f>+M47-L47</f>
        <v>0</v>
      </c>
      <c r="Q47" s="31"/>
    </row>
    <row r="48" spans="2:20" hidden="1">
      <c r="B48" s="1545"/>
      <c r="C48" s="1524" t="s">
        <v>13</v>
      </c>
      <c r="D48" s="146" t="s">
        <v>1</v>
      </c>
      <c r="E48" s="147" t="s">
        <v>1</v>
      </c>
      <c r="F48" s="148">
        <v>0</v>
      </c>
      <c r="G48" s="148">
        <v>0</v>
      </c>
      <c r="H48" s="148">
        <v>0</v>
      </c>
      <c r="I48" s="148">
        <v>0</v>
      </c>
      <c r="J48" s="314">
        <f>'SUMMARY BRL'!J19</f>
        <v>2.3E-2</v>
      </c>
      <c r="K48" s="149">
        <v>0</v>
      </c>
      <c r="L48" s="150">
        <v>0</v>
      </c>
      <c r="M48" s="41"/>
      <c r="N48" s="41"/>
      <c r="O48" s="41"/>
      <c r="P48" s="41"/>
    </row>
    <row r="49" spans="2:17" hidden="1">
      <c r="B49" s="1545"/>
      <c r="C49" s="1525"/>
      <c r="D49" s="151" t="s">
        <v>7</v>
      </c>
      <c r="E49" s="147" t="s">
        <v>34</v>
      </c>
      <c r="F49" s="148">
        <v>0</v>
      </c>
      <c r="G49" s="148">
        <v>0</v>
      </c>
      <c r="H49" s="148">
        <v>0</v>
      </c>
      <c r="I49" s="148">
        <v>0</v>
      </c>
      <c r="J49" s="314">
        <f>'SUMMARY BRL'!J20</f>
        <v>2.3E-2</v>
      </c>
      <c r="K49" s="149">
        <v>0</v>
      </c>
      <c r="L49" s="150">
        <v>0</v>
      </c>
      <c r="M49" s="41"/>
      <c r="N49" s="41"/>
      <c r="O49" s="41"/>
      <c r="P49" s="41"/>
    </row>
    <row r="50" spans="2:17" ht="13.5" hidden="1" thickBot="1">
      <c r="B50" s="1545"/>
      <c r="C50" s="1525"/>
      <c r="D50" s="152" t="s">
        <v>9</v>
      </c>
      <c r="E50" s="153"/>
      <c r="F50" s="75">
        <v>0</v>
      </c>
      <c r="G50" s="75">
        <v>0</v>
      </c>
      <c r="H50" s="75">
        <v>0</v>
      </c>
      <c r="I50" s="75">
        <v>0</v>
      </c>
      <c r="J50" s="154">
        <v>0.01</v>
      </c>
      <c r="K50" s="82">
        <v>0</v>
      </c>
      <c r="L50" s="155">
        <v>0</v>
      </c>
      <c r="M50" s="156">
        <f>L50</f>
        <v>0</v>
      </c>
      <c r="N50" s="156"/>
      <c r="O50" s="156"/>
      <c r="P50" s="156">
        <v>0</v>
      </c>
      <c r="Q50" s="31"/>
    </row>
    <row r="51" spans="2:17" ht="13.5" hidden="1" thickBot="1">
      <c r="B51" s="1546"/>
      <c r="C51" s="1529" t="s">
        <v>18</v>
      </c>
      <c r="D51" s="1530"/>
      <c r="E51" s="1531"/>
      <c r="F51" s="15">
        <f>+F50+F47</f>
        <v>0</v>
      </c>
      <c r="G51" s="15">
        <f>+G50+G47</f>
        <v>0</v>
      </c>
      <c r="H51" s="15">
        <f>+H50+H47</f>
        <v>0</v>
      </c>
      <c r="I51" s="15">
        <f>+I50+I47</f>
        <v>0</v>
      </c>
      <c r="J51" s="126">
        <f>IF(ISERROR(-L51/I51),0,IF(-L51/I51&lt;0,100%,IF(-L51/I51&gt;100%,100%,-L51/I51)))</f>
        <v>0</v>
      </c>
      <c r="K51" s="15">
        <f>F51+G51+L51</f>
        <v>0</v>
      </c>
      <c r="L51" s="20">
        <f>SUM(L50,L47)</f>
        <v>0</v>
      </c>
      <c r="M51" s="20">
        <f>SUM(M50,M47)</f>
        <v>0</v>
      </c>
      <c r="N51" s="14"/>
      <c r="O51" s="14"/>
      <c r="P51" s="11">
        <f>SUM(P50,P47)</f>
        <v>0</v>
      </c>
      <c r="Q51" s="31"/>
    </row>
    <row r="52" spans="2:17">
      <c r="L52" s="31"/>
      <c r="Q52" s="41"/>
    </row>
    <row r="53" spans="2:17" ht="13.5" thickBot="1">
      <c r="D53" s="180"/>
      <c r="E53" s="180"/>
      <c r="F53" s="180"/>
      <c r="H53" s="180"/>
    </row>
    <row r="54" spans="2:17" ht="13.5" thickBot="1">
      <c r="D54" s="1550" t="s">
        <v>23</v>
      </c>
      <c r="E54" s="1551"/>
      <c r="F54" s="536">
        <f>F6+F17+F28+G6+G17+G28</f>
        <v>0</v>
      </c>
      <c r="G54" s="536">
        <f>INPUT!Q11/1000</f>
        <v>245.73599999999999</v>
      </c>
      <c r="H54" s="642">
        <f>(F54-G54)*1000</f>
        <v>-245736</v>
      </c>
      <c r="N54" s="327">
        <f>M23+'BAD DEBT 4188 9117'!O34</f>
        <v>-2196.2890499999994</v>
      </c>
    </row>
  </sheetData>
  <mergeCells count="28">
    <mergeCell ref="D54:E54"/>
    <mergeCell ref="E1:L1"/>
    <mergeCell ref="Q2:R2"/>
    <mergeCell ref="B3:B36"/>
    <mergeCell ref="C3:C13"/>
    <mergeCell ref="D3:D5"/>
    <mergeCell ref="D6:E6"/>
    <mergeCell ref="D7:D9"/>
    <mergeCell ref="D10:D11"/>
    <mergeCell ref="D12:E12"/>
    <mergeCell ref="C14:C24"/>
    <mergeCell ref="D34:E34"/>
    <mergeCell ref="B2:C2"/>
    <mergeCell ref="B45:B51"/>
    <mergeCell ref="C45:C47"/>
    <mergeCell ref="C48:C50"/>
    <mergeCell ref="D14:D16"/>
    <mergeCell ref="D17:E17"/>
    <mergeCell ref="D18:D20"/>
    <mergeCell ref="D21:D22"/>
    <mergeCell ref="D23:E23"/>
    <mergeCell ref="C36:E36"/>
    <mergeCell ref="C51:E51"/>
    <mergeCell ref="C25:C35"/>
    <mergeCell ref="D25:D27"/>
    <mergeCell ref="D28:E28"/>
    <mergeCell ref="D29:D31"/>
    <mergeCell ref="D32:D33"/>
  </mergeCells>
  <pageMargins left="0.2" right="0.23622047244094491" top="0.48" bottom="0.36" header="0.31496062992125984" footer="0.31496062992125984"/>
  <pageSetup scale="72" orientation="landscape" r:id="rId1"/>
  <ignoredErrors>
    <ignoredError sqref="I17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B1:T67"/>
  <sheetViews>
    <sheetView showGridLines="0" topLeftCell="G1" zoomScaleNormal="100" workbookViewId="0">
      <selection activeCell="P24" sqref="P24"/>
    </sheetView>
  </sheetViews>
  <sheetFormatPr defaultRowHeight="12.75" outlineLevelCol="1"/>
  <cols>
    <col min="1" max="1" width="3" style="180" customWidth="1"/>
    <col min="2" max="2" width="3.28515625" style="180" customWidth="1"/>
    <col min="3" max="3" width="3.5703125" style="180" customWidth="1"/>
    <col min="4" max="4" width="10.140625" style="180" bestFit="1" customWidth="1"/>
    <col min="5" max="5" width="25.140625" style="180" bestFit="1" customWidth="1" outlineLevel="1"/>
    <col min="6" max="6" width="15" style="180" bestFit="1" customWidth="1" outlineLevel="1"/>
    <col min="7" max="7" width="10.140625" style="180" bestFit="1" customWidth="1" outlineLevel="1"/>
    <col min="8" max="8" width="10.85546875" style="180" bestFit="1" customWidth="1" outlineLevel="1"/>
    <col min="9" max="9" width="13.28515625" style="180" bestFit="1" customWidth="1" outlineLevel="1"/>
    <col min="10" max="10" width="16.5703125" style="180" bestFit="1" customWidth="1" outlineLevel="1"/>
    <col min="11" max="11" width="9.42578125" style="180" bestFit="1" customWidth="1" outlineLevel="1"/>
    <col min="12" max="12" width="16" style="180" bestFit="1" customWidth="1" outlineLevel="1"/>
    <col min="13" max="13" width="15.85546875" style="180" bestFit="1" customWidth="1"/>
    <col min="14" max="15" width="15.7109375" style="180" customWidth="1"/>
    <col min="16" max="16" width="12.5703125" style="180" bestFit="1" customWidth="1"/>
    <col min="17" max="17" width="13.7109375" style="180" bestFit="1" customWidth="1"/>
    <col min="18" max="18" width="9.7109375" style="191" bestFit="1" customWidth="1"/>
    <col min="19" max="19" width="9" style="191" bestFit="1" customWidth="1"/>
    <col min="20" max="20" width="3.42578125" style="180" customWidth="1"/>
    <col min="21" max="16384" width="9.140625" style="180"/>
  </cols>
  <sheetData>
    <row r="1" spans="2:20" ht="21.75" thickBot="1">
      <c r="E1" s="1488" t="s">
        <v>151</v>
      </c>
      <c r="F1" s="1488"/>
      <c r="G1" s="1488"/>
      <c r="H1" s="1488"/>
      <c r="I1" s="1488"/>
      <c r="J1" s="1488"/>
      <c r="K1" s="1488"/>
      <c r="L1" s="1488"/>
      <c r="M1" s="181"/>
      <c r="N1" s="181"/>
      <c r="O1" s="181"/>
      <c r="P1" s="181"/>
      <c r="Q1" s="178"/>
      <c r="R1" s="182"/>
      <c r="S1" s="182"/>
      <c r="T1" s="181"/>
    </row>
    <row r="2" spans="2:20" ht="15.75" thickBot="1">
      <c r="B2" s="1449" t="s">
        <v>108</v>
      </c>
      <c r="C2" s="1450"/>
      <c r="D2" s="157" t="s">
        <v>21</v>
      </c>
      <c r="E2" s="157" t="s">
        <v>5</v>
      </c>
      <c r="F2" s="157" t="s">
        <v>12</v>
      </c>
      <c r="G2" s="158" t="s">
        <v>11</v>
      </c>
      <c r="H2" s="158" t="s">
        <v>3</v>
      </c>
      <c r="I2" s="158" t="s">
        <v>10</v>
      </c>
      <c r="J2" s="158" t="s">
        <v>0</v>
      </c>
      <c r="K2" s="159" t="s">
        <v>2</v>
      </c>
      <c r="L2" s="160" t="s">
        <v>14</v>
      </c>
      <c r="M2" s="878" t="s">
        <v>155</v>
      </c>
      <c r="N2" s="878" t="s">
        <v>164</v>
      </c>
      <c r="O2" s="879" t="s">
        <v>22</v>
      </c>
      <c r="P2" s="880" t="s">
        <v>16</v>
      </c>
      <c r="Q2" s="1563"/>
      <c r="R2" s="1564"/>
      <c r="S2" s="182"/>
      <c r="T2" s="181"/>
    </row>
    <row r="3" spans="2:20" hidden="1">
      <c r="B3" s="1552" t="s">
        <v>20</v>
      </c>
      <c r="C3" s="1380" t="s">
        <v>8</v>
      </c>
      <c r="D3" s="1489" t="s">
        <v>6</v>
      </c>
      <c r="E3" s="183" t="s">
        <v>37</v>
      </c>
      <c r="F3" s="184"/>
      <c r="G3" s="185"/>
      <c r="H3" s="186">
        <v>0</v>
      </c>
      <c r="I3" s="187">
        <f t="shared" ref="I3:I11" si="0">F3+G3+H3</f>
        <v>0</v>
      </c>
      <c r="J3" s="173">
        <f>'SUMMARY BRL'!J6</f>
        <v>1</v>
      </c>
      <c r="K3" s="188">
        <f t="shared" ref="K3:K11" si="1">F3+G3+L3</f>
        <v>0</v>
      </c>
      <c r="L3" s="189">
        <f t="shared" ref="L3:L11" si="2">IF((-I3*J3)&gt;=0,0,(-I3*J3))</f>
        <v>0</v>
      </c>
      <c r="M3" s="190"/>
      <c r="N3" s="190"/>
      <c r="O3" s="190"/>
      <c r="P3" s="190"/>
      <c r="Q3" s="181"/>
      <c r="R3" s="182"/>
    </row>
    <row r="4" spans="2:20" hidden="1">
      <c r="B4" s="1553"/>
      <c r="C4" s="1383"/>
      <c r="D4" s="1490"/>
      <c r="E4" s="192" t="s">
        <v>38</v>
      </c>
      <c r="F4" s="193"/>
      <c r="G4" s="194"/>
      <c r="H4" s="195">
        <v>0</v>
      </c>
      <c r="I4" s="196">
        <f t="shared" si="0"/>
        <v>0</v>
      </c>
      <c r="J4" s="59">
        <f>'SUMMARY BRL'!J7</f>
        <v>0.9</v>
      </c>
      <c r="K4" s="198">
        <f t="shared" si="1"/>
        <v>0</v>
      </c>
      <c r="L4" s="199">
        <f t="shared" si="2"/>
        <v>0</v>
      </c>
      <c r="M4" s="200"/>
      <c r="N4" s="200"/>
      <c r="O4" s="200"/>
      <c r="P4" s="200"/>
      <c r="Q4" s="181"/>
      <c r="R4" s="182"/>
    </row>
    <row r="5" spans="2:20" ht="13.5" hidden="1" thickBot="1">
      <c r="B5" s="1553"/>
      <c r="C5" s="1383"/>
      <c r="D5" s="1512"/>
      <c r="E5" s="192" t="s">
        <v>36</v>
      </c>
      <c r="F5" s="201"/>
      <c r="G5" s="194"/>
      <c r="H5" s="195">
        <v>0</v>
      </c>
      <c r="I5" s="196">
        <f t="shared" si="0"/>
        <v>0</v>
      </c>
      <c r="J5" s="63">
        <f>'SUMMARY BRL'!J8</f>
        <v>0.9</v>
      </c>
      <c r="K5" s="198">
        <f t="shared" si="1"/>
        <v>0</v>
      </c>
      <c r="L5" s="199">
        <f t="shared" si="2"/>
        <v>0</v>
      </c>
      <c r="M5" s="200"/>
      <c r="N5" s="200"/>
      <c r="O5" s="200"/>
      <c r="P5" s="200"/>
      <c r="S5" s="182"/>
      <c r="T5" s="181"/>
    </row>
    <row r="6" spans="2:20" ht="13.5" hidden="1" thickBot="1">
      <c r="B6" s="1553"/>
      <c r="C6" s="1383"/>
      <c r="D6" s="1486" t="s">
        <v>23</v>
      </c>
      <c r="E6" s="1487"/>
      <c r="F6" s="202">
        <f>SUM(F3:F5)</f>
        <v>0</v>
      </c>
      <c r="G6" s="203">
        <f>SUM(G3:G5)</f>
        <v>0</v>
      </c>
      <c r="H6" s="204"/>
      <c r="I6" s="205">
        <f>SUM(I3:I5)</f>
        <v>0</v>
      </c>
      <c r="J6" s="53">
        <f>IF(ISERROR(-L6/I6),0,IF(-L6/I6&lt;0,100%,IF(-L6/I6&gt;100%,100%,-L6/I6)))</f>
        <v>0</v>
      </c>
      <c r="K6" s="206">
        <f>SUM(K3:K5)</f>
        <v>0</v>
      </c>
      <c r="L6" s="207">
        <f>SUM(L3:L5)</f>
        <v>0</v>
      </c>
      <c r="M6" s="208"/>
      <c r="N6" s="311"/>
      <c r="O6" s="311"/>
      <c r="P6" s="209">
        <f>-L6+M6</f>
        <v>0</v>
      </c>
      <c r="S6" s="182"/>
      <c r="T6" s="181"/>
    </row>
    <row r="7" spans="2:20" hidden="1">
      <c r="B7" s="1553"/>
      <c r="C7" s="1383"/>
      <c r="D7" s="1489" t="s">
        <v>4</v>
      </c>
      <c r="E7" s="210" t="s">
        <v>39</v>
      </c>
      <c r="F7" s="211"/>
      <c r="G7" s="211"/>
      <c r="H7" s="211"/>
      <c r="I7" s="211">
        <f>F7+G7+H7</f>
        <v>0</v>
      </c>
      <c r="J7" s="173">
        <f>'SUMMARY BRL'!J10</f>
        <v>0.6</v>
      </c>
      <c r="K7" s="188">
        <f t="shared" si="1"/>
        <v>0</v>
      </c>
      <c r="L7" s="189">
        <f t="shared" si="2"/>
        <v>0</v>
      </c>
      <c r="M7" s="200"/>
      <c r="N7" s="200"/>
      <c r="O7" s="200"/>
      <c r="P7" s="200"/>
    </row>
    <row r="8" spans="2:20" hidden="1">
      <c r="B8" s="1553"/>
      <c r="C8" s="1383"/>
      <c r="D8" s="1490"/>
      <c r="E8" s="212" t="s">
        <v>33</v>
      </c>
      <c r="F8" s="213"/>
      <c r="G8" s="213"/>
      <c r="H8" s="213"/>
      <c r="I8" s="213">
        <f>F8+G8+H8</f>
        <v>0</v>
      </c>
      <c r="J8" s="59">
        <f>'SUMMARY BRL'!J11</f>
        <v>0.6</v>
      </c>
      <c r="K8" s="198">
        <f t="shared" si="1"/>
        <v>0</v>
      </c>
      <c r="L8" s="199">
        <f t="shared" si="2"/>
        <v>0</v>
      </c>
      <c r="M8" s="200"/>
      <c r="N8" s="200"/>
      <c r="O8" s="200"/>
      <c r="P8" s="200"/>
    </row>
    <row r="9" spans="2:20" hidden="1">
      <c r="B9" s="1553"/>
      <c r="C9" s="1383"/>
      <c r="D9" s="1493"/>
      <c r="E9" s="214" t="s">
        <v>1</v>
      </c>
      <c r="F9" s="215"/>
      <c r="G9" s="215"/>
      <c r="H9" s="215"/>
      <c r="I9" s="215">
        <f t="shared" si="0"/>
        <v>0</v>
      </c>
      <c r="J9" s="63">
        <f>'SUMMARY BRL'!J12</f>
        <v>0.6</v>
      </c>
      <c r="K9" s="216">
        <f t="shared" si="1"/>
        <v>0</v>
      </c>
      <c r="L9" s="217">
        <f t="shared" si="2"/>
        <v>0</v>
      </c>
      <c r="M9" s="200"/>
      <c r="N9" s="200"/>
      <c r="O9" s="200"/>
      <c r="P9" s="200"/>
    </row>
    <row r="10" spans="2:20" hidden="1">
      <c r="B10" s="1553"/>
      <c r="C10" s="1383"/>
      <c r="D10" s="1494" t="s">
        <v>40</v>
      </c>
      <c r="E10" s="192" t="s">
        <v>33</v>
      </c>
      <c r="F10" s="211"/>
      <c r="G10" s="211"/>
      <c r="H10" s="218"/>
      <c r="I10" s="196">
        <f t="shared" si="0"/>
        <v>0</v>
      </c>
      <c r="J10" s="46" t="str">
        <f>'SUMMARY BRL'!J13</f>
        <v>1,9%/5,1%</v>
      </c>
      <c r="K10" s="198" t="e">
        <f t="shared" si="1"/>
        <v>#VALUE!</v>
      </c>
      <c r="L10" s="199" t="e">
        <f t="shared" si="2"/>
        <v>#VALUE!</v>
      </c>
      <c r="M10" s="200"/>
      <c r="N10" s="200"/>
      <c r="O10" s="200"/>
      <c r="P10" s="200"/>
    </row>
    <row r="11" spans="2:20" ht="13.5" hidden="1" thickBot="1">
      <c r="B11" s="1553"/>
      <c r="C11" s="1383"/>
      <c r="D11" s="1495"/>
      <c r="E11" s="192" t="s">
        <v>41</v>
      </c>
      <c r="F11" s="219"/>
      <c r="G11" s="219"/>
      <c r="H11" s="218"/>
      <c r="I11" s="196">
        <f t="shared" si="0"/>
        <v>0</v>
      </c>
      <c r="J11" s="66" t="str">
        <f>'SUMMARY BRL'!J14</f>
        <v>1,9%/5,1%</v>
      </c>
      <c r="K11" s="198" t="e">
        <f t="shared" si="1"/>
        <v>#VALUE!</v>
      </c>
      <c r="L11" s="199" t="e">
        <f t="shared" si="2"/>
        <v>#VALUE!</v>
      </c>
      <c r="M11" s="200"/>
      <c r="N11" s="200"/>
      <c r="O11" s="200"/>
      <c r="P11" s="200"/>
      <c r="R11" s="220"/>
    </row>
    <row r="12" spans="2:20" ht="13.5" hidden="1" thickBot="1">
      <c r="B12" s="1553"/>
      <c r="C12" s="1383"/>
      <c r="D12" s="1486" t="s">
        <v>24</v>
      </c>
      <c r="E12" s="1487"/>
      <c r="F12" s="221">
        <f>SUM(F7:F11)</f>
        <v>0</v>
      </c>
      <c r="G12" s="221">
        <f>SUM(G7:G11)</f>
        <v>0</v>
      </c>
      <c r="H12" s="222">
        <f>SUM(H7:H11)</f>
        <v>0</v>
      </c>
      <c r="I12" s="222">
        <f>SUM(I7:I11)</f>
        <v>0</v>
      </c>
      <c r="J12" s="53">
        <f>IF(ISERROR(-L12/I12),0,IF(-L12/I12&lt;0,100%,IF(-L12/I12&gt;100%,100%,-L12/I12)))</f>
        <v>0</v>
      </c>
      <c r="K12" s="222" t="e">
        <f>SUM(K7:K11)</f>
        <v>#VALUE!</v>
      </c>
      <c r="L12" s="222" t="e">
        <f>SUM(L7:L11)</f>
        <v>#VALUE!</v>
      </c>
      <c r="M12" s="208"/>
      <c r="N12" s="311"/>
      <c r="O12" s="311"/>
      <c r="P12" s="209" t="e">
        <f>-L12+M12</f>
        <v>#VALUE!</v>
      </c>
      <c r="R12" s="220"/>
    </row>
    <row r="13" spans="2:20" ht="13.5" hidden="1" thickBot="1">
      <c r="B13" s="1553"/>
      <c r="C13" s="1384"/>
      <c r="D13" s="67" t="s">
        <v>9</v>
      </c>
      <c r="E13" s="68"/>
      <c r="F13" s="223">
        <f>F12+F6</f>
        <v>0</v>
      </c>
      <c r="G13" s="223">
        <f>G12+G6</f>
        <v>0</v>
      </c>
      <c r="H13" s="223">
        <f>H12+H6</f>
        <v>0</v>
      </c>
      <c r="I13" s="223">
        <f>I12+I6</f>
        <v>0</v>
      </c>
      <c r="J13" s="70">
        <f>IF(ISERROR(-L13/I13),0,IF(-L13/I13&lt;0,100%,IF(-L13/I13&gt;100%,100%,-L13/I13)))</f>
        <v>0</v>
      </c>
      <c r="K13" s="223" t="e">
        <f>K12+K6</f>
        <v>#VALUE!</v>
      </c>
      <c r="L13" s="223" t="e">
        <f>L12+L6</f>
        <v>#VALUE!</v>
      </c>
      <c r="M13" s="224">
        <f>SUM(M12,M6)</f>
        <v>0</v>
      </c>
      <c r="N13" s="224"/>
      <c r="O13" s="224"/>
      <c r="P13" s="224" t="e">
        <f>SUM(P12,P6)</f>
        <v>#VALUE!</v>
      </c>
      <c r="Q13" s="225"/>
    </row>
    <row r="14" spans="2:20">
      <c r="B14" s="1553"/>
      <c r="C14" s="1552" t="s">
        <v>13</v>
      </c>
      <c r="D14" s="1390" t="s">
        <v>6</v>
      </c>
      <c r="E14" s="881" t="s">
        <v>37</v>
      </c>
      <c r="F14" s="426">
        <f>INPUT!B76</f>
        <v>17704.331370000004</v>
      </c>
      <c r="G14" s="935">
        <f>INPUT!D76</f>
        <v>-645.53962000000001</v>
      </c>
      <c r="H14" s="884">
        <v>0</v>
      </c>
      <c r="I14" s="917">
        <f>F14+G14+H14</f>
        <v>17058.791750000004</v>
      </c>
      <c r="J14" s="681">
        <f>'SUMMARY BRL'!J6</f>
        <v>1</v>
      </c>
      <c r="K14" s="918">
        <f>IF((F14+G14+L14)&lt;0,0,(F14+G14+L14))</f>
        <v>0</v>
      </c>
      <c r="L14" s="887">
        <f>IF((-I14*J14)&gt;=0,0,(-I14*J14))</f>
        <v>-17058.791750000004</v>
      </c>
      <c r="M14" s="888"/>
      <c r="N14" s="888"/>
      <c r="O14" s="888"/>
      <c r="P14" s="888"/>
    </row>
    <row r="15" spans="2:20">
      <c r="B15" s="1553"/>
      <c r="C15" s="1553"/>
      <c r="D15" s="1391"/>
      <c r="E15" s="889" t="s">
        <v>38</v>
      </c>
      <c r="F15" s="433">
        <f>INPUT!B77</f>
        <v>0</v>
      </c>
      <c r="G15" s="936">
        <f>INPUT!D77</f>
        <v>0</v>
      </c>
      <c r="H15" s="467">
        <v>0</v>
      </c>
      <c r="I15" s="919">
        <f>F15+G15+H15</f>
        <v>0</v>
      </c>
      <c r="J15" s="690">
        <v>0.9</v>
      </c>
      <c r="K15" s="920">
        <f>IF((F15+G15+L15)&lt;0,0,(F15+G15+L15))</f>
        <v>0</v>
      </c>
      <c r="L15" s="894">
        <f>IF((-I15*J15)&gt;=0,0,(-I15*J15))</f>
        <v>0</v>
      </c>
      <c r="M15" s="895"/>
      <c r="N15" s="895"/>
      <c r="O15" s="895"/>
      <c r="P15" s="895"/>
    </row>
    <row r="16" spans="2:20" ht="13.5" thickBot="1">
      <c r="B16" s="1553"/>
      <c r="C16" s="1553"/>
      <c r="D16" s="1474"/>
      <c r="E16" s="889" t="s">
        <v>36</v>
      </c>
      <c r="F16" s="433">
        <f>INPUT!B78</f>
        <v>0</v>
      </c>
      <c r="G16" s="936">
        <f>INPUT!D78</f>
        <v>0</v>
      </c>
      <c r="H16" s="467">
        <v>0</v>
      </c>
      <c r="I16" s="921">
        <f>F16+G16+H16</f>
        <v>0</v>
      </c>
      <c r="J16" s="696">
        <v>0.9</v>
      </c>
      <c r="K16" s="895">
        <f>IF((F16+G16+L16)&lt;0,0,(F16+G16+L16))</f>
        <v>0</v>
      </c>
      <c r="L16" s="894">
        <f>IF((-I16*J16)&gt;=0,0,(-I16*J16))</f>
        <v>0</v>
      </c>
      <c r="M16" s="423"/>
      <c r="N16" s="423"/>
      <c r="O16" s="423"/>
      <c r="P16" s="895"/>
    </row>
    <row r="17" spans="2:17" ht="13.5" thickBot="1">
      <c r="B17" s="1553"/>
      <c r="C17" s="1553"/>
      <c r="D17" s="1561" t="s">
        <v>23</v>
      </c>
      <c r="E17" s="1562"/>
      <c r="F17" s="461">
        <f>SUM(F14:F16)</f>
        <v>17704.331370000004</v>
      </c>
      <c r="G17" s="922">
        <f>SUM(G14:G16)</f>
        <v>-645.53962000000001</v>
      </c>
      <c r="H17" s="700"/>
      <c r="I17" s="700">
        <f>SUM(I14:I16)</f>
        <v>17058.791750000004</v>
      </c>
      <c r="J17" s="702">
        <f>IF(ISERROR(-L17/I17),0,IF(-L17/I17&lt;0,100%,IF(-L17/I17&gt;100%,100%,-L17/I17)))</f>
        <v>1</v>
      </c>
      <c r="K17" s="700">
        <f>SUM(K14:K16)</f>
        <v>0</v>
      </c>
      <c r="L17" s="923">
        <f>SUM(L14:L16)</f>
        <v>-17058.791750000004</v>
      </c>
      <c r="M17" s="902">
        <f>INPUT!N13/1000</f>
        <v>-17095.912190000003</v>
      </c>
      <c r="N17" s="902">
        <v>0</v>
      </c>
      <c r="O17" s="902">
        <f>M17+N17</f>
        <v>-17095.912190000003</v>
      </c>
      <c r="P17" s="924">
        <f>-L17+O17</f>
        <v>-37.12043999999878</v>
      </c>
      <c r="Q17" s="243"/>
    </row>
    <row r="18" spans="2:17">
      <c r="B18" s="1553"/>
      <c r="C18" s="1553"/>
      <c r="D18" s="1390" t="s">
        <v>4</v>
      </c>
      <c r="E18" s="904" t="s">
        <v>39</v>
      </c>
      <c r="F18" s="426">
        <f>INPUT!B79+INPUT!B80+INPUT!B81</f>
        <v>631.75210000000004</v>
      </c>
      <c r="G18" s="884">
        <f>INPUT!D79+INPUT!D80+INPUT!D81</f>
        <v>0</v>
      </c>
      <c r="H18" s="884">
        <f>INPUT!F79+INPUT!F80+INPUT!F81</f>
        <v>-1095.5181202883125</v>
      </c>
      <c r="I18" s="884">
        <f>F18+G18+H18</f>
        <v>-463.76602028831246</v>
      </c>
      <c r="J18" s="681">
        <f>INPUT!T6</f>
        <v>0.6</v>
      </c>
      <c r="K18" s="886">
        <f>IF((F18+G18+L18)&lt;0,0,(F18+G18+L18))</f>
        <v>631.75210000000004</v>
      </c>
      <c r="L18" s="887">
        <f>IF((-I18*J18)&gt;=0,0,(-I18*J18))</f>
        <v>0</v>
      </c>
      <c r="M18" s="895"/>
      <c r="N18" s="895"/>
      <c r="O18" s="895"/>
      <c r="P18" s="895"/>
    </row>
    <row r="19" spans="2:17">
      <c r="B19" s="1553"/>
      <c r="C19" s="1553"/>
      <c r="D19" s="1391"/>
      <c r="E19" s="906" t="s">
        <v>33</v>
      </c>
      <c r="F19" s="433">
        <f>INPUT!B82</f>
        <v>0</v>
      </c>
      <c r="G19" s="467">
        <f>INPUT!D82</f>
        <v>0</v>
      </c>
      <c r="H19" s="467">
        <f>INPUT!F82</f>
        <v>0</v>
      </c>
      <c r="I19" s="467">
        <f>F19+G19+H19</f>
        <v>0</v>
      </c>
      <c r="J19" s="690">
        <f>INPUT!T6</f>
        <v>0.6</v>
      </c>
      <c r="K19" s="893">
        <f>IF((F19+G19+L19)&lt;0,0,(F19+G19+L19))</f>
        <v>0</v>
      </c>
      <c r="L19" s="894">
        <f>IF((-I19*J19)&gt;=0,0,(-I19*J19))</f>
        <v>0</v>
      </c>
      <c r="M19" s="895"/>
      <c r="N19" s="895"/>
      <c r="O19" s="895"/>
      <c r="P19" s="895"/>
    </row>
    <row r="20" spans="2:17" ht="13.5" thickBot="1">
      <c r="B20" s="1553"/>
      <c r="C20" s="1553"/>
      <c r="D20" s="1472"/>
      <c r="E20" s="907" t="s">
        <v>1</v>
      </c>
      <c r="F20" s="452">
        <f>INPUT!B83</f>
        <v>0</v>
      </c>
      <c r="G20" s="927">
        <f>INPUT!D83</f>
        <v>0</v>
      </c>
      <c r="H20" s="927">
        <f>INPUT!F83</f>
        <v>0</v>
      </c>
      <c r="I20" s="927">
        <f>F20+G20+H20</f>
        <v>0</v>
      </c>
      <c r="J20" s="696">
        <f>INPUT!T6</f>
        <v>0.6</v>
      </c>
      <c r="K20" s="908">
        <f>IF((F20+G20+L20)&lt;0,0,(F20+G20+L20))</f>
        <v>0</v>
      </c>
      <c r="L20" s="909">
        <f>IF((-I20*J20)&gt;=0,0,(-I20*J20))</f>
        <v>0</v>
      </c>
      <c r="M20" s="895"/>
      <c r="N20" s="895"/>
      <c r="O20" s="895"/>
      <c r="P20" s="895"/>
    </row>
    <row r="21" spans="2:17">
      <c r="B21" s="1553"/>
      <c r="C21" s="1553"/>
      <c r="D21" s="1473" t="s">
        <v>40</v>
      </c>
      <c r="E21" s="889" t="s">
        <v>33</v>
      </c>
      <c r="F21" s="433">
        <f>INPUT!B84</f>
        <v>212.98885000000001</v>
      </c>
      <c r="G21" s="467">
        <f>INPUT!D84</f>
        <v>0</v>
      </c>
      <c r="H21" s="467">
        <f>INPUT!F84</f>
        <v>-1298.642372234953</v>
      </c>
      <c r="I21" s="467">
        <f>F21+G21+H21</f>
        <v>-1085.653522234953</v>
      </c>
      <c r="J21" s="1218">
        <f>INPUT!T7</f>
        <v>5.0999999999999997E-2</v>
      </c>
      <c r="K21" s="893">
        <f>IF((F21+G21+L21)&lt;0,0,(F21+G21+L21))</f>
        <v>212.98885000000001</v>
      </c>
      <c r="L21" s="894">
        <f>IF((-I21*J21)&gt;=0,0,(-I21*J21))</f>
        <v>0</v>
      </c>
      <c r="M21" s="895"/>
      <c r="N21" s="895"/>
      <c r="O21" s="895"/>
      <c r="P21" s="895"/>
    </row>
    <row r="22" spans="2:17" ht="13.5" thickBot="1">
      <c r="B22" s="1553"/>
      <c r="C22" s="1553"/>
      <c r="D22" s="1474"/>
      <c r="E22" s="889" t="s">
        <v>41</v>
      </c>
      <c r="F22" s="433">
        <f>INPUT!B85</f>
        <v>15.176690000000001</v>
      </c>
      <c r="G22" s="467">
        <f>INPUT!L13+INPUT!D85</f>
        <v>-1056.005854154</v>
      </c>
      <c r="H22" s="467">
        <f>INPUT!F85</f>
        <v>-3681.8279994469012</v>
      </c>
      <c r="I22" s="467">
        <f>F22+G22+H22</f>
        <v>-4722.6571636009012</v>
      </c>
      <c r="J22" s="1218">
        <f>INPUT!T7</f>
        <v>5.0999999999999997E-2</v>
      </c>
      <c r="K22" s="893">
        <f>IF((F22+G22+L22)&lt;0,0,(F22+G22+L22))</f>
        <v>0</v>
      </c>
      <c r="L22" s="894">
        <f>IF((-I22*J22)&gt;=0,0,(-I22*J22))</f>
        <v>0</v>
      </c>
      <c r="M22" s="423"/>
      <c r="N22" s="423"/>
      <c r="O22" s="423"/>
      <c r="P22" s="895"/>
    </row>
    <row r="23" spans="2:17" ht="13.5" thickBot="1">
      <c r="B23" s="1553"/>
      <c r="C23" s="1553"/>
      <c r="D23" s="1561" t="s">
        <v>24</v>
      </c>
      <c r="E23" s="1562"/>
      <c r="F23" s="461">
        <f>SUM(F18:F22)</f>
        <v>859.91764000000012</v>
      </c>
      <c r="G23" s="461">
        <f>SUM(G18:G22)</f>
        <v>-1056.005854154</v>
      </c>
      <c r="H23" s="461">
        <f>SUM(H18:H22)</f>
        <v>-6075.9884919701672</v>
      </c>
      <c r="I23" s="461">
        <f>SUM(I18:I22)</f>
        <v>-6272.0767061241668</v>
      </c>
      <c r="J23" s="702">
        <f>IF(ISERROR(-L23/I23),0,IF(-L23/I23&lt;0,100%,IF(-L23/I23&gt;100%,100%,-L23/I23)))</f>
        <v>0</v>
      </c>
      <c r="K23" s="461">
        <f>SUM(K18:K22)</f>
        <v>844.74095000000011</v>
      </c>
      <c r="L23" s="929">
        <f>SUM(L18:L22)</f>
        <v>0</v>
      </c>
      <c r="M23" s="1243">
        <f>INPUT!O13/1000</f>
        <v>-317.97737797000002</v>
      </c>
      <c r="N23" s="1243">
        <f>INPUT!P13/1000</f>
        <v>-2.5201920299999996</v>
      </c>
      <c r="O23" s="1243">
        <f>M23+N23</f>
        <v>-320.49757</v>
      </c>
      <c r="P23" s="924">
        <f>-L23+O23</f>
        <v>-320.49757</v>
      </c>
      <c r="Q23" s="1166"/>
    </row>
    <row r="24" spans="2:17" ht="13.5" thickBot="1">
      <c r="B24" s="1553"/>
      <c r="C24" s="1554"/>
      <c r="D24" s="749" t="s">
        <v>9</v>
      </c>
      <c r="E24" s="750"/>
      <c r="F24" s="937">
        <f>F17+F23</f>
        <v>18564.249010000003</v>
      </c>
      <c r="G24" s="937">
        <f>G17+G23</f>
        <v>-1701.545474154</v>
      </c>
      <c r="H24" s="937">
        <f>H17+H23</f>
        <v>-6075.9884919701672</v>
      </c>
      <c r="I24" s="937">
        <f>I17+I23</f>
        <v>10786.715043875836</v>
      </c>
      <c r="J24" s="752">
        <f>IF(ISERROR(-L24/I24),0,IF(-L24/I24&lt;0,100%,IF(-L24/I24&gt;100%,100%,-L24/I24)))</f>
        <v>1</v>
      </c>
      <c r="K24" s="937">
        <f>K17+K23</f>
        <v>844.74095000000011</v>
      </c>
      <c r="L24" s="937">
        <f>L17+L23</f>
        <v>-17058.791750000004</v>
      </c>
      <c r="M24" s="938">
        <f>SUM(M17,M23)</f>
        <v>-17413.889567970004</v>
      </c>
      <c r="N24" s="938">
        <f>INPUT!P13/1000</f>
        <v>-2.5201920299999996</v>
      </c>
      <c r="O24" s="902">
        <f>M24+N24</f>
        <v>-17416.409760000002</v>
      </c>
      <c r="P24" s="938">
        <f>SUM(P17,P23)</f>
        <v>-357.61800999999878</v>
      </c>
      <c r="Q24" s="225">
        <f>P24/3.308</f>
        <v>-108.10701632406251</v>
      </c>
    </row>
    <row r="25" spans="2:17" hidden="1">
      <c r="B25" s="1553"/>
      <c r="C25" s="1532" t="s">
        <v>15</v>
      </c>
      <c r="D25" s="1390" t="s">
        <v>6</v>
      </c>
      <c r="E25" s="881" t="s">
        <v>37</v>
      </c>
      <c r="F25" s="426"/>
      <c r="G25" s="883">
        <v>0</v>
      </c>
      <c r="H25" s="884"/>
      <c r="I25" s="884">
        <f>F25+G25+H25</f>
        <v>0</v>
      </c>
      <c r="J25" s="780">
        <f>'SUMMARY BRL'!J6</f>
        <v>1</v>
      </c>
      <c r="K25" s="886">
        <f>F25+G25+L25</f>
        <v>0</v>
      </c>
      <c r="L25" s="887">
        <f>IF((-I25*J25)&gt;=0,0,(-I25*J25))</f>
        <v>0</v>
      </c>
      <c r="M25" s="888"/>
      <c r="N25" s="888"/>
      <c r="O25" s="888"/>
      <c r="P25" s="888"/>
    </row>
    <row r="26" spans="2:17" hidden="1">
      <c r="B26" s="1553"/>
      <c r="C26" s="1533"/>
      <c r="D26" s="1391"/>
      <c r="E26" s="889" t="s">
        <v>38</v>
      </c>
      <c r="F26" s="433">
        <v>0</v>
      </c>
      <c r="G26" s="891">
        <v>0</v>
      </c>
      <c r="H26" s="467"/>
      <c r="I26" s="467">
        <f>F26+G26+H26</f>
        <v>0</v>
      </c>
      <c r="J26" s="717">
        <f>'SUMMARY BRL'!J7</f>
        <v>0.9</v>
      </c>
      <c r="K26" s="893">
        <f>F26+G26+L26</f>
        <v>0</v>
      </c>
      <c r="L26" s="894">
        <f>IF((-I26*J26)&gt;=0,0,(-I26*J26))</f>
        <v>0</v>
      </c>
      <c r="M26" s="895"/>
      <c r="N26" s="895"/>
      <c r="O26" s="895"/>
      <c r="P26" s="895"/>
    </row>
    <row r="27" spans="2:17" ht="13.5" hidden="1" thickBot="1">
      <c r="B27" s="1553"/>
      <c r="C27" s="1533"/>
      <c r="D27" s="1392"/>
      <c r="E27" s="889" t="s">
        <v>36</v>
      </c>
      <c r="F27" s="433">
        <v>0</v>
      </c>
      <c r="G27" s="891">
        <v>0</v>
      </c>
      <c r="H27" s="467"/>
      <c r="I27" s="467">
        <f>F27+G27+H27</f>
        <v>0</v>
      </c>
      <c r="J27" s="717">
        <f>'SUMMARY BRL'!J8</f>
        <v>0.9</v>
      </c>
      <c r="K27" s="893">
        <f>F27+G27+L27</f>
        <v>0</v>
      </c>
      <c r="L27" s="894">
        <f>IF((-I27*J27)&gt;=0,0,(-I27*J27))</f>
        <v>0</v>
      </c>
      <c r="M27" s="895"/>
      <c r="N27" s="895"/>
      <c r="O27" s="895"/>
      <c r="P27" s="895"/>
    </row>
    <row r="28" spans="2:17" ht="13.5" hidden="1" thickBot="1">
      <c r="B28" s="1553"/>
      <c r="C28" s="1533"/>
      <c r="D28" s="1536" t="s">
        <v>23</v>
      </c>
      <c r="E28" s="1537"/>
      <c r="F28" s="461">
        <f>SUM(F25:F27)</f>
        <v>0</v>
      </c>
      <c r="G28" s="922">
        <f>SUM(G25:G27)</f>
        <v>0</v>
      </c>
      <c r="H28" s="700"/>
      <c r="I28" s="700">
        <f>SUM(I25:I27)</f>
        <v>0</v>
      </c>
      <c r="J28" s="702">
        <f>IF(ISERROR(-L28/I28),0,IF(-L28/I28&lt;0,100%,IF(-L28/I28&gt;100%,100%,-L28/I28)))</f>
        <v>0</v>
      </c>
      <c r="K28" s="700">
        <f>SUM(K25:K27)</f>
        <v>0</v>
      </c>
      <c r="L28" s="923">
        <f>SUM(L25:L27)</f>
        <v>0</v>
      </c>
      <c r="M28" s="924"/>
      <c r="N28" s="924"/>
      <c r="O28" s="924"/>
      <c r="P28" s="924">
        <f>-L28+M28</f>
        <v>0</v>
      </c>
    </row>
    <row r="29" spans="2:17" hidden="1">
      <c r="B29" s="1553"/>
      <c r="C29" s="1533"/>
      <c r="D29" s="1390" t="s">
        <v>4</v>
      </c>
      <c r="E29" s="904" t="s">
        <v>39</v>
      </c>
      <c r="F29" s="426"/>
      <c r="G29" s="925"/>
      <c r="H29" s="884"/>
      <c r="I29" s="884">
        <f>F29+G29+H29</f>
        <v>0</v>
      </c>
      <c r="J29" s="706">
        <f>'SUMMARY BRL'!J10</f>
        <v>0.6</v>
      </c>
      <c r="K29" s="886">
        <f>F29+G29+L29</f>
        <v>0</v>
      </c>
      <c r="L29" s="887">
        <f>IF((-I29*J29)&gt;=0,0,(-I29*J29))</f>
        <v>0</v>
      </c>
      <c r="M29" s="895"/>
      <c r="N29" s="895"/>
      <c r="O29" s="895"/>
      <c r="P29" s="895"/>
    </row>
    <row r="30" spans="2:17" hidden="1">
      <c r="B30" s="1553"/>
      <c r="C30" s="1533"/>
      <c r="D30" s="1391"/>
      <c r="E30" s="906" t="s">
        <v>33</v>
      </c>
      <c r="F30" s="433"/>
      <c r="G30" s="910"/>
      <c r="H30" s="467"/>
      <c r="I30" s="467">
        <f>F30+G30+H30</f>
        <v>0</v>
      </c>
      <c r="J30" s="710">
        <f>'SUMMARY BRL'!J11</f>
        <v>0.6</v>
      </c>
      <c r="K30" s="893">
        <f>F30+G30+L30</f>
        <v>0</v>
      </c>
      <c r="L30" s="894">
        <f>IF((-I30*J30)&gt;=0,0,(-I30*J30))</f>
        <v>0</v>
      </c>
      <c r="M30" s="895"/>
      <c r="N30" s="895"/>
      <c r="O30" s="895"/>
      <c r="P30" s="895"/>
    </row>
    <row r="31" spans="2:17" hidden="1">
      <c r="B31" s="1553"/>
      <c r="C31" s="1533"/>
      <c r="D31" s="1472"/>
      <c r="E31" s="907" t="s">
        <v>1</v>
      </c>
      <c r="F31" s="452"/>
      <c r="G31" s="926"/>
      <c r="H31" s="927"/>
      <c r="I31" s="927">
        <f>F31+G31+H31</f>
        <v>0</v>
      </c>
      <c r="J31" s="714">
        <f>'SUMMARY BRL'!J12</f>
        <v>0.6</v>
      </c>
      <c r="K31" s="908">
        <f>F31+G31+L31</f>
        <v>0</v>
      </c>
      <c r="L31" s="909">
        <f>IF((-I31*J31)&gt;=0,0,(-I31*J31))</f>
        <v>0</v>
      </c>
      <c r="M31" s="895"/>
      <c r="N31" s="895"/>
      <c r="O31" s="895"/>
      <c r="P31" s="895"/>
    </row>
    <row r="32" spans="2:17" hidden="1">
      <c r="B32" s="1553"/>
      <c r="C32" s="1533"/>
      <c r="D32" s="1473" t="s">
        <v>40</v>
      </c>
      <c r="E32" s="889" t="s">
        <v>33</v>
      </c>
      <c r="F32" s="433"/>
      <c r="G32" s="910"/>
      <c r="H32" s="467"/>
      <c r="I32" s="467">
        <f>F32+G32+H32</f>
        <v>0</v>
      </c>
      <c r="J32" s="717" t="str">
        <f>'SUMMARY BRL'!J13</f>
        <v>1,9%/5,1%</v>
      </c>
      <c r="K32" s="893" t="e">
        <f>F32+G32+L32</f>
        <v>#VALUE!</v>
      </c>
      <c r="L32" s="894" t="e">
        <f>IF((-I32*J32)&gt;=0,0,(-I32*J32))</f>
        <v>#VALUE!</v>
      </c>
      <c r="M32" s="895"/>
      <c r="N32" s="895"/>
      <c r="O32" s="895"/>
      <c r="P32" s="895"/>
    </row>
    <row r="33" spans="2:19" ht="13.5" hidden="1" thickBot="1">
      <c r="B33" s="1553"/>
      <c r="C33" s="1533"/>
      <c r="D33" s="1474"/>
      <c r="E33" s="889" t="s">
        <v>41</v>
      </c>
      <c r="F33" s="433"/>
      <c r="G33" s="910"/>
      <c r="H33" s="467"/>
      <c r="I33" s="467">
        <f>F33+G33+H33</f>
        <v>0</v>
      </c>
      <c r="J33" s="718" t="str">
        <f>'SUMMARY BRL'!J14</f>
        <v>1,9%/5,1%</v>
      </c>
      <c r="K33" s="893" t="e">
        <f>F33+G33+L33</f>
        <v>#VALUE!</v>
      </c>
      <c r="L33" s="894" t="e">
        <f>IF((-I33*J33)&gt;=0,0,(-I33*J33))</f>
        <v>#VALUE!</v>
      </c>
      <c r="M33" s="895"/>
      <c r="N33" s="895"/>
      <c r="O33" s="895"/>
      <c r="P33" s="895"/>
    </row>
    <row r="34" spans="2:19" ht="13.5" hidden="1" thickBot="1">
      <c r="B34" s="1553"/>
      <c r="C34" s="1533"/>
      <c r="D34" s="1536" t="s">
        <v>24</v>
      </c>
      <c r="E34" s="1537"/>
      <c r="F34" s="461">
        <f>SUM(F29:F33)</f>
        <v>0</v>
      </c>
      <c r="G34" s="461">
        <f>SUM(G29:G33)</f>
        <v>0</v>
      </c>
      <c r="H34" s="461">
        <f>SUM(H29:H33)</f>
        <v>0</v>
      </c>
      <c r="I34" s="461">
        <f>SUM(I29:I33)</f>
        <v>0</v>
      </c>
      <c r="J34" s="702">
        <f>IF(ISERROR(-L34/I34),0,IF(-L34/I34&lt;0,100%,IF(-L34/I34&gt;100%,100%,-L34/I34)))</f>
        <v>0</v>
      </c>
      <c r="K34" s="461" t="e">
        <f>SUM(K29:K33)</f>
        <v>#VALUE!</v>
      </c>
      <c r="L34" s="929" t="e">
        <f>SUM(L29:L33)</f>
        <v>#VALUE!</v>
      </c>
      <c r="M34" s="924"/>
      <c r="N34" s="924"/>
      <c r="O34" s="924"/>
      <c r="P34" s="924" t="e">
        <f>-L34+M34</f>
        <v>#VALUE!</v>
      </c>
    </row>
    <row r="35" spans="2:19" ht="13.5" hidden="1" thickBot="1">
      <c r="B35" s="1553"/>
      <c r="C35" s="1534"/>
      <c r="D35" s="720" t="s">
        <v>9</v>
      </c>
      <c r="E35" s="721"/>
      <c r="F35" s="930">
        <f>F28+F34</f>
        <v>0</v>
      </c>
      <c r="G35" s="930">
        <f>G28+G34</f>
        <v>0</v>
      </c>
      <c r="H35" s="930">
        <f>H28+H34</f>
        <v>0</v>
      </c>
      <c r="I35" s="930">
        <f>I28+I34</f>
        <v>0</v>
      </c>
      <c r="J35" s="723">
        <f>IF(ISERROR(-L35/I35),0,IF(-L35/I35&lt;0,100%,IF(-L35/I35&gt;100%,100%,-L35/I35)))</f>
        <v>0</v>
      </c>
      <c r="K35" s="930" t="e">
        <f>K28+K34</f>
        <v>#VALUE!</v>
      </c>
      <c r="L35" s="930" t="e">
        <f>L28+L34</f>
        <v>#VALUE!</v>
      </c>
      <c r="M35" s="931">
        <f>SUM(M28,M34)</f>
        <v>0</v>
      </c>
      <c r="N35" s="931"/>
      <c r="O35" s="931"/>
      <c r="P35" s="931" t="e">
        <f>SUM(P28,P34)</f>
        <v>#VALUE!</v>
      </c>
      <c r="Q35" s="225"/>
    </row>
    <row r="36" spans="2:19" ht="13.5" thickBot="1">
      <c r="B36" s="1554"/>
      <c r="C36" s="1555" t="s">
        <v>17</v>
      </c>
      <c r="D36" s="1556"/>
      <c r="E36" s="1557"/>
      <c r="F36" s="988">
        <f>F13+F24+F35</f>
        <v>18564.249010000003</v>
      </c>
      <c r="G36" s="989">
        <f>G35+G24+G13</f>
        <v>-1701.545474154</v>
      </c>
      <c r="H36" s="990">
        <f>H35+H24+H13</f>
        <v>-6075.9884919701672</v>
      </c>
      <c r="I36" s="990">
        <f>I35+I24+I13</f>
        <v>10786.715043875836</v>
      </c>
      <c r="J36" s="831">
        <f>IF(ISERROR(-L36/I36),0,IF(-L36/I36&lt;0,100%,IF(-L36/I36&gt;100%,100%,-L36/I36)))</f>
        <v>0</v>
      </c>
      <c r="K36" s="991" t="e">
        <f t="shared" ref="K36:P36" si="3">K35+K24+K13</f>
        <v>#VALUE!</v>
      </c>
      <c r="L36" s="991" t="e">
        <f t="shared" si="3"/>
        <v>#VALUE!</v>
      </c>
      <c r="M36" s="992">
        <f t="shared" si="3"/>
        <v>-17413.889567970004</v>
      </c>
      <c r="N36" s="992">
        <f t="shared" si="3"/>
        <v>-2.5201920299999996</v>
      </c>
      <c r="O36" s="992">
        <f t="shared" si="3"/>
        <v>-17416.409760000002</v>
      </c>
      <c r="P36" s="991" t="e">
        <f t="shared" si="3"/>
        <v>#VALUE!</v>
      </c>
      <c r="Q36" s="225"/>
    </row>
    <row r="37" spans="2:19" s="298" customFormat="1">
      <c r="B37" s="127"/>
      <c r="C37" s="933"/>
      <c r="D37" s="934"/>
      <c r="E37" s="790"/>
      <c r="F37" s="790" t="s">
        <v>132</v>
      </c>
      <c r="G37" s="790" t="s">
        <v>132</v>
      </c>
      <c r="H37" s="790" t="s">
        <v>132</v>
      </c>
      <c r="I37" s="790"/>
      <c r="J37" s="970"/>
      <c r="K37" s="971"/>
      <c r="L37" s="971"/>
      <c r="M37" s="971"/>
      <c r="N37" s="971"/>
      <c r="O37" s="971"/>
      <c r="P37" s="972"/>
      <c r="Q37" s="296"/>
      <c r="R37" s="297"/>
      <c r="S37" s="297"/>
    </row>
    <row r="38" spans="2:19" s="298" customFormat="1">
      <c r="B38" s="127"/>
      <c r="C38" s="933"/>
      <c r="D38" s="934"/>
      <c r="E38" s="790"/>
      <c r="F38" s="790"/>
      <c r="G38" s="790"/>
      <c r="H38" s="790"/>
      <c r="I38" s="790"/>
      <c r="J38" s="973" t="s">
        <v>25</v>
      </c>
      <c r="K38" s="974"/>
      <c r="L38" s="655" t="s">
        <v>14</v>
      </c>
      <c r="M38" s="655" t="s">
        <v>158</v>
      </c>
      <c r="N38" s="655" t="s">
        <v>159</v>
      </c>
      <c r="O38" s="655" t="s">
        <v>22</v>
      </c>
      <c r="P38" s="656" t="s">
        <v>16</v>
      </c>
      <c r="Q38" s="296"/>
      <c r="R38" s="297"/>
      <c r="S38" s="297"/>
    </row>
    <row r="39" spans="2:19" s="298" customFormat="1">
      <c r="B39" s="127"/>
      <c r="C39" s="933"/>
      <c r="D39" s="934"/>
      <c r="E39" s="790"/>
      <c r="F39" s="790"/>
      <c r="G39" s="790"/>
      <c r="H39" s="790"/>
      <c r="I39" s="790"/>
      <c r="J39" s="976" t="s">
        <v>26</v>
      </c>
      <c r="K39" s="977"/>
      <c r="L39" s="218">
        <f>+L6+L17+L28</f>
        <v>-17058.791750000004</v>
      </c>
      <c r="M39" s="218">
        <f>+M6+M17+M28</f>
        <v>-17095.912190000003</v>
      </c>
      <c r="N39" s="174">
        <f>+N6+N17+N28</f>
        <v>0</v>
      </c>
      <c r="O39" s="174">
        <f>+O6+O17+O28</f>
        <v>-17095.912190000003</v>
      </c>
      <c r="P39" s="978">
        <f>+P6+P17+P28</f>
        <v>-37.12043999999878</v>
      </c>
      <c r="Q39" s="296"/>
      <c r="R39" s="297"/>
      <c r="S39" s="297"/>
    </row>
    <row r="40" spans="2:19" s="298" customFormat="1" ht="15">
      <c r="B40" s="127"/>
      <c r="C40" s="933"/>
      <c r="D40" s="934"/>
      <c r="E40" s="790"/>
      <c r="F40" s="790"/>
      <c r="G40" s="790"/>
      <c r="H40" s="790"/>
      <c r="I40" s="790"/>
      <c r="J40" s="976" t="s">
        <v>27</v>
      </c>
      <c r="K40" s="977"/>
      <c r="L40" s="979" t="e">
        <f>+L12+L23+L34</f>
        <v>#VALUE!</v>
      </c>
      <c r="M40" s="979">
        <f>+M12+M23+M34</f>
        <v>-317.97737797000002</v>
      </c>
      <c r="N40" s="846">
        <f>+N12+N23+N34</f>
        <v>-2.5201920299999996</v>
      </c>
      <c r="O40" s="846">
        <f>+O12+O23+O34</f>
        <v>-320.49757</v>
      </c>
      <c r="P40" s="980" t="e">
        <f>+P12+P23+P34</f>
        <v>#VALUE!</v>
      </c>
      <c r="Q40" s="296"/>
      <c r="R40" s="297"/>
      <c r="S40" s="297"/>
    </row>
    <row r="41" spans="2:19" s="298" customFormat="1" ht="13.5" thickBot="1">
      <c r="B41" s="127"/>
      <c r="C41" s="933"/>
      <c r="D41" s="934"/>
      <c r="E41" s="790"/>
      <c r="F41" s="790"/>
      <c r="G41" s="790"/>
      <c r="H41" s="790"/>
      <c r="I41" s="790"/>
      <c r="J41" s="976" t="s">
        <v>28</v>
      </c>
      <c r="K41" s="981"/>
      <c r="L41" s="982" t="e">
        <f>SUM(L39:L40)</f>
        <v>#VALUE!</v>
      </c>
      <c r="M41" s="982">
        <f>SUM(M39:M40)</f>
        <v>-17413.889567970004</v>
      </c>
      <c r="N41" s="849">
        <f>SUM(N39:N40)</f>
        <v>-2.5201920299999996</v>
      </c>
      <c r="O41" s="849">
        <f>SUM(O39:O40)</f>
        <v>-17416.409760000002</v>
      </c>
      <c r="P41" s="983" t="e">
        <f>SUM(P39:P40)</f>
        <v>#VALUE!</v>
      </c>
      <c r="Q41" s="296"/>
      <c r="R41" s="297"/>
      <c r="S41" s="297"/>
    </row>
    <row r="42" spans="2:19" s="298" customFormat="1" ht="14.25" thickTop="1" thickBot="1">
      <c r="B42" s="127"/>
      <c r="C42" s="933"/>
      <c r="D42" s="934"/>
      <c r="E42" s="790"/>
      <c r="F42" s="790"/>
      <c r="G42" s="790"/>
      <c r="H42" s="790"/>
      <c r="I42" s="790"/>
      <c r="J42" s="984"/>
      <c r="K42" s="985"/>
      <c r="L42" s="986"/>
      <c r="M42" s="986"/>
      <c r="N42" s="986"/>
      <c r="O42" s="986"/>
      <c r="P42" s="987"/>
      <c r="Q42" s="296"/>
      <c r="R42" s="297"/>
      <c r="S42" s="297"/>
    </row>
    <row r="43" spans="2:19" ht="13.5" hidden="1" thickBot="1"/>
    <row r="44" spans="2:19" ht="13.5" hidden="1" thickBot="1">
      <c r="D44" s="157" t="s">
        <v>21</v>
      </c>
      <c r="E44" s="157" t="s">
        <v>5</v>
      </c>
      <c r="F44" s="158" t="s">
        <v>12</v>
      </c>
      <c r="G44" s="158" t="s">
        <v>11</v>
      </c>
      <c r="H44" s="158" t="s">
        <v>3</v>
      </c>
      <c r="I44" s="158" t="s">
        <v>10</v>
      </c>
      <c r="J44" s="158" t="s">
        <v>0</v>
      </c>
      <c r="K44" s="162" t="s">
        <v>2</v>
      </c>
      <c r="L44" s="160" t="s">
        <v>14</v>
      </c>
      <c r="M44" s="163" t="s">
        <v>22</v>
      </c>
      <c r="N44" s="163"/>
      <c r="O44" s="163"/>
      <c r="P44" s="160" t="s">
        <v>16</v>
      </c>
      <c r="R44" s="181"/>
      <c r="S44" s="180"/>
    </row>
    <row r="45" spans="2:19" hidden="1">
      <c r="B45" s="1544" t="s">
        <v>19</v>
      </c>
      <c r="C45" s="1524" t="s">
        <v>8</v>
      </c>
      <c r="D45" s="299" t="s">
        <v>1</v>
      </c>
      <c r="E45" s="300" t="s">
        <v>1</v>
      </c>
      <c r="F45" s="196">
        <v>0</v>
      </c>
      <c r="G45" s="196">
        <v>0</v>
      </c>
      <c r="H45" s="196">
        <v>0</v>
      </c>
      <c r="I45" s="301">
        <f>+F45</f>
        <v>0</v>
      </c>
      <c r="J45" s="197">
        <f>'SUMMARY BRL'!J19</f>
        <v>2.3E-2</v>
      </c>
      <c r="K45" s="302">
        <f>F45+G45+L45</f>
        <v>0</v>
      </c>
      <c r="L45" s="303">
        <f>IF((-I45*J45)&gt;=0,0,(-I45*J45))</f>
        <v>0</v>
      </c>
      <c r="S45" s="180"/>
    </row>
    <row r="46" spans="2:19" ht="13.5" hidden="1" thickBot="1">
      <c r="B46" s="1545"/>
      <c r="C46" s="1525"/>
      <c r="D46" s="136" t="s">
        <v>7</v>
      </c>
      <c r="E46" s="304" t="s">
        <v>34</v>
      </c>
      <c r="F46" s="305">
        <v>0</v>
      </c>
      <c r="G46" s="305">
        <v>0</v>
      </c>
      <c r="H46" s="305">
        <v>0</v>
      </c>
      <c r="I46" s="305">
        <f>+F46</f>
        <v>0</v>
      </c>
      <c r="J46" s="306">
        <f>'SUMMARY BRL'!J20</f>
        <v>2.3E-2</v>
      </c>
      <c r="K46" s="307">
        <f>F46+G46+L46</f>
        <v>0</v>
      </c>
      <c r="L46" s="308">
        <f>IF((-I46*J46)&gt;=0,0,(-I46*J46))</f>
        <v>0</v>
      </c>
      <c r="M46" s="191"/>
      <c r="N46" s="191"/>
      <c r="O46" s="191"/>
      <c r="P46" s="191"/>
      <c r="R46" s="180"/>
      <c r="S46" s="180"/>
    </row>
    <row r="47" spans="2:19" ht="13.5" hidden="1" thickBot="1">
      <c r="B47" s="1545"/>
      <c r="C47" s="1525"/>
      <c r="D47" s="141" t="s">
        <v>9</v>
      </c>
      <c r="E47" s="142"/>
      <c r="F47" s="222">
        <f>SUM(F45:F46)</f>
        <v>0</v>
      </c>
      <c r="G47" s="222">
        <f>SUM(G45:G46)</f>
        <v>0</v>
      </c>
      <c r="H47" s="222">
        <f>SUM(H45:H46)</f>
        <v>0</v>
      </c>
      <c r="I47" s="222">
        <f>SUM(I45:I46)</f>
        <v>0</v>
      </c>
      <c r="J47" s="309">
        <v>0.01</v>
      </c>
      <c r="K47" s="310">
        <f>SUM(K45:K46)</f>
        <v>0</v>
      </c>
      <c r="L47" s="208">
        <f>SUM(L45:L46)</f>
        <v>0</v>
      </c>
      <c r="M47" s="311">
        <f>L47</f>
        <v>0</v>
      </c>
      <c r="N47" s="311"/>
      <c r="O47" s="311"/>
      <c r="P47" s="209">
        <f>+M47-L47</f>
        <v>0</v>
      </c>
      <c r="Q47" s="225"/>
      <c r="R47" s="180"/>
      <c r="S47" s="180"/>
    </row>
    <row r="48" spans="2:19" hidden="1">
      <c r="B48" s="1545"/>
      <c r="C48" s="1524" t="s">
        <v>13</v>
      </c>
      <c r="D48" s="151" t="s">
        <v>1</v>
      </c>
      <c r="E48" s="312" t="s">
        <v>1</v>
      </c>
      <c r="F48" s="313">
        <v>0</v>
      </c>
      <c r="G48" s="313">
        <v>0</v>
      </c>
      <c r="H48" s="313">
        <v>0</v>
      </c>
      <c r="I48" s="313">
        <f>+F48</f>
        <v>0</v>
      </c>
      <c r="J48" s="314">
        <f>'SUMMARY BRL'!J19</f>
        <v>2.3E-2</v>
      </c>
      <c r="K48" s="315">
        <f>F48+G48+L48</f>
        <v>0</v>
      </c>
      <c r="L48" s="316">
        <f>IF((-I48*J48)&gt;=0,0,(-I48*J48))</f>
        <v>0</v>
      </c>
      <c r="M48" s="191"/>
      <c r="N48" s="191"/>
      <c r="O48" s="191"/>
      <c r="P48" s="191"/>
      <c r="R48" s="180"/>
      <c r="S48" s="180"/>
    </row>
    <row r="49" spans="2:19" ht="13.5" hidden="1" thickBot="1">
      <c r="B49" s="1545"/>
      <c r="C49" s="1525"/>
      <c r="D49" s="151" t="s">
        <v>7</v>
      </c>
      <c r="E49" s="312" t="s">
        <v>34</v>
      </c>
      <c r="F49" s="313">
        <v>0</v>
      </c>
      <c r="G49" s="313">
        <v>0</v>
      </c>
      <c r="H49" s="313">
        <v>0</v>
      </c>
      <c r="I49" s="313">
        <f>+F49</f>
        <v>0</v>
      </c>
      <c r="J49" s="314">
        <f>'SUMMARY BRL'!J20</f>
        <v>2.3E-2</v>
      </c>
      <c r="K49" s="315">
        <f>F49+G49+L49</f>
        <v>0</v>
      </c>
      <c r="L49" s="316">
        <f>IF((-I49*J49)&gt;=0,0,(-I49*J49))</f>
        <v>0</v>
      </c>
      <c r="M49" s="191"/>
      <c r="N49" s="191"/>
      <c r="O49" s="191"/>
      <c r="P49" s="191"/>
      <c r="R49" s="180"/>
      <c r="S49" s="180"/>
    </row>
    <row r="50" spans="2:19" ht="13.5" hidden="1" thickBot="1">
      <c r="B50" s="1545"/>
      <c r="C50" s="1525"/>
      <c r="D50" s="152" t="s">
        <v>9</v>
      </c>
      <c r="E50" s="153"/>
      <c r="F50" s="238">
        <f>SUM(F48:F49)</f>
        <v>0</v>
      </c>
      <c r="G50" s="238">
        <f>SUM(G48:G49)</f>
        <v>0</v>
      </c>
      <c r="H50" s="238">
        <f>SUM(H48:H49)</f>
        <v>0</v>
      </c>
      <c r="I50" s="238">
        <f>SUM(I48:I49)</f>
        <v>0</v>
      </c>
      <c r="J50" s="154">
        <v>0.01</v>
      </c>
      <c r="K50" s="256">
        <f>SUM(K48:K49)</f>
        <v>0</v>
      </c>
      <c r="L50" s="318">
        <f>SUM(L48:L49)</f>
        <v>0</v>
      </c>
      <c r="M50" s="319">
        <f>L50</f>
        <v>0</v>
      </c>
      <c r="N50" s="319"/>
      <c r="O50" s="319"/>
      <c r="P50" s="319">
        <f>+M50-L50</f>
        <v>0</v>
      </c>
      <c r="Q50" s="225"/>
      <c r="R50" s="180"/>
      <c r="S50" s="180"/>
    </row>
    <row r="51" spans="2:19" ht="13.5" hidden="1" thickBot="1">
      <c r="B51" s="1546"/>
      <c r="C51" s="1558" t="s">
        <v>18</v>
      </c>
      <c r="D51" s="1559"/>
      <c r="E51" s="1560"/>
      <c r="F51" s="289">
        <f>+F50+F47</f>
        <v>0</v>
      </c>
      <c r="G51" s="289">
        <f>+G50+G47</f>
        <v>0</v>
      </c>
      <c r="H51" s="289">
        <f>+H50+H47</f>
        <v>0</v>
      </c>
      <c r="I51" s="289">
        <f>+I50+I47</f>
        <v>0</v>
      </c>
      <c r="J51" s="290">
        <f>IF(ISERROR(-L51/I51),0,IF(-L51/I51&lt;0,100%,IF(-L51/I51&gt;100%,100%,-L51/I51)))</f>
        <v>0</v>
      </c>
      <c r="K51" s="289">
        <f>F51+G51+L51</f>
        <v>0</v>
      </c>
      <c r="L51" s="320">
        <f>SUM(L50,L47)</f>
        <v>0</v>
      </c>
      <c r="M51" s="320">
        <f>SUM(M50,M47)</f>
        <v>0</v>
      </c>
      <c r="N51" s="292"/>
      <c r="O51" s="292"/>
      <c r="P51" s="291">
        <f>SUM(P50,P47)</f>
        <v>0</v>
      </c>
      <c r="Q51" s="225"/>
      <c r="S51" s="180"/>
    </row>
    <row r="52" spans="2:19">
      <c r="F52" s="225">
        <f>F36+'BAD DEBT 4168 9282'!F24</f>
        <v>233694.72622000004</v>
      </c>
      <c r="G52" s="225">
        <f>G36+'BAD DEBT 4168 9282'!G24</f>
        <v>-48172.810584154009</v>
      </c>
      <c r="H52" s="225">
        <f>H36+'BAD DEBT 4168 9282'!H24</f>
        <v>-8316.219138919012</v>
      </c>
      <c r="I52" s="225">
        <f>I36+'BAD DEBT 4168 9282'!I24</f>
        <v>177205.69649692703</v>
      </c>
      <c r="J52" s="225">
        <f>J36+'BAD DEBT 4168 9282'!J24</f>
        <v>1</v>
      </c>
      <c r="K52" s="225" t="e">
        <f>K36+'BAD DEBT 4168 9282'!K24</f>
        <v>#VALUE!</v>
      </c>
      <c r="L52" s="225" t="e">
        <f>L36+'BAD DEBT 4168 9282'!L24</f>
        <v>#VALUE!</v>
      </c>
      <c r="M52" s="225">
        <f>M36+'BAD DEBT 4168 9282'!M24</f>
        <v>-212285.66248797002</v>
      </c>
      <c r="N52" s="225">
        <f>N36+'BAD DEBT 4168 9282'!N24</f>
        <v>-574.27074518999996</v>
      </c>
      <c r="O52" s="225">
        <f>O36+'BAD DEBT 4168 9282'!O24</f>
        <v>-212859.93323316</v>
      </c>
      <c r="P52" s="225" t="e">
        <f>P36+'BAD DEBT 4168 9282'!P24</f>
        <v>#VALUE!</v>
      </c>
      <c r="Q52" s="191"/>
      <c r="S52" s="180"/>
    </row>
    <row r="53" spans="2:19" ht="13.5" thickBot="1">
      <c r="P53" s="225"/>
    </row>
    <row r="54" spans="2:19" ht="13.5" thickBot="1">
      <c r="D54" s="1486" t="s">
        <v>23</v>
      </c>
      <c r="E54" s="1487"/>
      <c r="F54" s="222">
        <f>F6+F17+F28+G6+G17+G28</f>
        <v>17058.791750000004</v>
      </c>
      <c r="G54" s="222">
        <f>INPUT!Q13/1000</f>
        <v>17095.912260000001</v>
      </c>
      <c r="H54" s="222">
        <f>(F54-G54)*1000</f>
        <v>-37120.509999997012</v>
      </c>
      <c r="P54" s="225"/>
    </row>
    <row r="56" spans="2:19">
      <c r="P56" s="225" t="e">
        <f>P36/3.308</f>
        <v>#VALUE!</v>
      </c>
    </row>
    <row r="57" spans="2:19">
      <c r="N57" s="180">
        <f>77*3.26</f>
        <v>251.01999999999998</v>
      </c>
    </row>
    <row r="61" spans="2:19" ht="15">
      <c r="F61" s="1300"/>
      <c r="G61" s="1301"/>
      <c r="H61" s="1302"/>
    </row>
    <row r="62" spans="2:19" ht="15">
      <c r="F62" s="1303"/>
      <c r="G62" s="1304"/>
      <c r="H62"/>
    </row>
    <row r="63" spans="2:19" ht="15">
      <c r="F63" s="1305"/>
      <c r="G63" s="1306"/>
      <c r="H63" s="1305"/>
    </row>
    <row r="64" spans="2:19" ht="15">
      <c r="F64" s="1305"/>
      <c r="G64" s="1306"/>
      <c r="H64" s="1305"/>
    </row>
    <row r="65" spans="6:8" ht="15">
      <c r="F65" s="1305"/>
      <c r="G65" s="1306"/>
      <c r="H65" s="1307"/>
    </row>
    <row r="66" spans="6:8">
      <c r="F66" s="181"/>
      <c r="G66" s="181"/>
      <c r="H66" s="181"/>
    </row>
    <row r="67" spans="6:8">
      <c r="F67" s="181"/>
      <c r="G67" s="181"/>
      <c r="H67" s="181"/>
    </row>
  </sheetData>
  <mergeCells count="28">
    <mergeCell ref="D54:E54"/>
    <mergeCell ref="E1:L1"/>
    <mergeCell ref="Q2:R2"/>
    <mergeCell ref="B3:B36"/>
    <mergeCell ref="C3:C13"/>
    <mergeCell ref="D3:D5"/>
    <mergeCell ref="D6:E6"/>
    <mergeCell ref="D7:D9"/>
    <mergeCell ref="D10:D11"/>
    <mergeCell ref="D12:E12"/>
    <mergeCell ref="C14:C24"/>
    <mergeCell ref="D34:E34"/>
    <mergeCell ref="B2:C2"/>
    <mergeCell ref="B45:B51"/>
    <mergeCell ref="C45:C47"/>
    <mergeCell ref="C48:C50"/>
    <mergeCell ref="D14:D16"/>
    <mergeCell ref="D17:E17"/>
    <mergeCell ref="D18:D20"/>
    <mergeCell ref="D21:D22"/>
    <mergeCell ref="D23:E23"/>
    <mergeCell ref="C36:E36"/>
    <mergeCell ref="C51:E51"/>
    <mergeCell ref="C25:C35"/>
    <mergeCell ref="D25:D27"/>
    <mergeCell ref="D28:E28"/>
    <mergeCell ref="D29:D31"/>
    <mergeCell ref="D32:D33"/>
  </mergeCells>
  <pageMargins left="0.2" right="0.23622047244094491" top="0.48" bottom="0.36" header="0.31496062992125984" footer="0.31496062992125984"/>
  <pageSetup scale="72" orientation="landscape" r:id="rId1"/>
  <ignoredErrors>
    <ignoredError sqref="J23:J36" formula="1"/>
  </ignoredError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T54"/>
  <sheetViews>
    <sheetView showGridLines="0" topLeftCell="B1" zoomScale="90" zoomScaleNormal="90" workbookViewId="0">
      <selection activeCell="K53" sqref="K53"/>
    </sheetView>
  </sheetViews>
  <sheetFormatPr defaultRowHeight="12.75" outlineLevelCol="1"/>
  <cols>
    <col min="1" max="1" width="3" style="180" customWidth="1"/>
    <col min="2" max="3" width="3.7109375" style="180" customWidth="1"/>
    <col min="4" max="4" width="10.85546875" style="180" bestFit="1" customWidth="1"/>
    <col min="5" max="5" width="24.42578125" style="180" bestFit="1" customWidth="1" outlineLevel="1"/>
    <col min="6" max="6" width="9.7109375" style="180" bestFit="1" customWidth="1" outlineLevel="1"/>
    <col min="7" max="7" width="9.140625" style="180" bestFit="1" customWidth="1" outlineLevel="1"/>
    <col min="8" max="8" width="11.42578125" style="180" bestFit="1" customWidth="1" outlineLevel="1"/>
    <col min="9" max="9" width="14.5703125" style="180" bestFit="1" customWidth="1" outlineLevel="1"/>
    <col min="10" max="10" width="15.85546875" style="180" bestFit="1" customWidth="1" outlineLevel="1"/>
    <col min="11" max="11" width="7.7109375" style="180" bestFit="1" customWidth="1" outlineLevel="1"/>
    <col min="12" max="12" width="17" style="180" bestFit="1" customWidth="1" outlineLevel="1"/>
    <col min="13" max="13" width="16.7109375" style="180" bestFit="1" customWidth="1"/>
    <col min="14" max="15" width="16.7109375" style="180" customWidth="1"/>
    <col min="16" max="16" width="13.28515625" style="180" bestFit="1" customWidth="1"/>
    <col min="17" max="17" width="5.85546875" style="180" bestFit="1" customWidth="1"/>
    <col min="18" max="18" width="9.7109375" style="191" bestFit="1" customWidth="1"/>
    <col min="19" max="19" width="9" style="191" bestFit="1" customWidth="1"/>
    <col min="20" max="20" width="3.42578125" style="180" customWidth="1"/>
    <col min="21" max="16384" width="9.140625" style="180"/>
  </cols>
  <sheetData>
    <row r="1" spans="2:20" ht="21" thickBot="1">
      <c r="E1" s="1573" t="s">
        <v>150</v>
      </c>
      <c r="F1" s="1573"/>
      <c r="G1" s="1573"/>
      <c r="H1" s="1573"/>
      <c r="I1" s="1573"/>
      <c r="J1" s="1573"/>
      <c r="K1" s="1573"/>
      <c r="L1" s="1573"/>
      <c r="M1" s="181"/>
      <c r="N1" s="181"/>
      <c r="O1" s="181"/>
      <c r="P1" s="181"/>
      <c r="Q1" s="5"/>
      <c r="R1" s="182"/>
      <c r="S1" s="182"/>
      <c r="T1" s="181"/>
    </row>
    <row r="2" spans="2:20" ht="15.75" thickBot="1">
      <c r="B2" s="1577" t="s">
        <v>108</v>
      </c>
      <c r="C2" s="1578"/>
      <c r="D2" s="874" t="s">
        <v>21</v>
      </c>
      <c r="E2" s="874" t="s">
        <v>5</v>
      </c>
      <c r="F2" s="874" t="s">
        <v>12</v>
      </c>
      <c r="G2" s="875" t="s">
        <v>11</v>
      </c>
      <c r="H2" s="875" t="s">
        <v>3</v>
      </c>
      <c r="I2" s="875" t="s">
        <v>10</v>
      </c>
      <c r="J2" s="875" t="s">
        <v>0</v>
      </c>
      <c r="K2" s="876" t="s">
        <v>2</v>
      </c>
      <c r="L2" s="877" t="s">
        <v>14</v>
      </c>
      <c r="M2" s="878" t="s">
        <v>155</v>
      </c>
      <c r="N2" s="878" t="s">
        <v>164</v>
      </c>
      <c r="O2" s="879" t="s">
        <v>22</v>
      </c>
      <c r="P2" s="880" t="s">
        <v>16</v>
      </c>
      <c r="Q2" s="1574"/>
      <c r="R2" s="1575"/>
      <c r="S2" s="182"/>
      <c r="T2" s="181"/>
    </row>
    <row r="3" spans="2:20" hidden="1">
      <c r="B3" s="1568" t="s">
        <v>20</v>
      </c>
      <c r="C3" s="1532" t="s">
        <v>8</v>
      </c>
      <c r="D3" s="1390" t="s">
        <v>6</v>
      </c>
      <c r="E3" s="881" t="s">
        <v>37</v>
      </c>
      <c r="F3" s="882"/>
      <c r="G3" s="883"/>
      <c r="H3" s="884">
        <v>0</v>
      </c>
      <c r="I3" s="884">
        <f t="shared" ref="I3:I11" si="0">F3+G3+H3</f>
        <v>0</v>
      </c>
      <c r="J3" s="885">
        <f>'SUMMARY BRL'!J6</f>
        <v>1</v>
      </c>
      <c r="K3" s="886">
        <f t="shared" ref="K3:K11" si="1">F3+G3+L3</f>
        <v>0</v>
      </c>
      <c r="L3" s="887">
        <f t="shared" ref="L3:L11" si="2">IF((-I3*J3)&gt;=0,0,(-I3*J3))</f>
        <v>0</v>
      </c>
      <c r="M3" s="888"/>
      <c r="N3" s="888"/>
      <c r="O3" s="888"/>
      <c r="P3" s="888"/>
      <c r="Q3" s="181"/>
      <c r="R3" s="182"/>
    </row>
    <row r="4" spans="2:20" hidden="1">
      <c r="B4" s="1569"/>
      <c r="C4" s="1533"/>
      <c r="D4" s="1391"/>
      <c r="E4" s="889" t="s">
        <v>38</v>
      </c>
      <c r="F4" s="890"/>
      <c r="G4" s="891"/>
      <c r="H4" s="467">
        <v>0</v>
      </c>
      <c r="I4" s="467">
        <f t="shared" si="0"/>
        <v>0</v>
      </c>
      <c r="J4" s="892">
        <f>'SUMMARY BRL'!J7</f>
        <v>0.9</v>
      </c>
      <c r="K4" s="893">
        <f t="shared" si="1"/>
        <v>0</v>
      </c>
      <c r="L4" s="894">
        <f t="shared" si="2"/>
        <v>0</v>
      </c>
      <c r="M4" s="895"/>
      <c r="N4" s="895"/>
      <c r="O4" s="895"/>
      <c r="P4" s="895"/>
      <c r="Q4" s="181"/>
      <c r="R4" s="182"/>
    </row>
    <row r="5" spans="2:20" ht="13.5" hidden="1" thickBot="1">
      <c r="B5" s="1569"/>
      <c r="C5" s="1533"/>
      <c r="D5" s="1392"/>
      <c r="E5" s="889" t="s">
        <v>36</v>
      </c>
      <c r="F5" s="896"/>
      <c r="G5" s="891"/>
      <c r="H5" s="467">
        <v>0</v>
      </c>
      <c r="I5" s="467">
        <f t="shared" si="0"/>
        <v>0</v>
      </c>
      <c r="J5" s="897">
        <f>'SUMMARY BRL'!J8</f>
        <v>0.9</v>
      </c>
      <c r="K5" s="893">
        <f t="shared" si="1"/>
        <v>0</v>
      </c>
      <c r="L5" s="894">
        <f t="shared" si="2"/>
        <v>0</v>
      </c>
      <c r="M5" s="895"/>
      <c r="N5" s="895"/>
      <c r="O5" s="895"/>
      <c r="P5" s="895"/>
      <c r="S5" s="182"/>
      <c r="T5" s="181"/>
    </row>
    <row r="6" spans="2:20" ht="13.5" hidden="1" thickBot="1">
      <c r="B6" s="1569"/>
      <c r="C6" s="1533"/>
      <c r="D6" s="1561" t="s">
        <v>23</v>
      </c>
      <c r="E6" s="1576"/>
      <c r="F6" s="898">
        <f>SUM(F3:F5)</f>
        <v>0</v>
      </c>
      <c r="G6" s="899">
        <f>SUM(G3:G5)</f>
        <v>0</v>
      </c>
      <c r="H6" s="900"/>
      <c r="I6" s="900">
        <f>SUM(I3:I5)</f>
        <v>0</v>
      </c>
      <c r="J6" s="702">
        <f>IF(ISERROR(-L6/I6),0,IF(-L6/I6&lt;0,100%,IF(-L6/I6&gt;100%,100%,-L6/I6)))</f>
        <v>0</v>
      </c>
      <c r="K6" s="700">
        <f>SUM(K3:K5)</f>
        <v>0</v>
      </c>
      <c r="L6" s="901">
        <f>SUM(L3:L5)</f>
        <v>0</v>
      </c>
      <c r="M6" s="902"/>
      <c r="N6" s="903"/>
      <c r="O6" s="903"/>
      <c r="P6" s="833">
        <f>-L6+M6</f>
        <v>0</v>
      </c>
      <c r="S6" s="182"/>
      <c r="T6" s="181"/>
    </row>
    <row r="7" spans="2:20" hidden="1">
      <c r="B7" s="1569"/>
      <c r="C7" s="1533"/>
      <c r="D7" s="1390" t="s">
        <v>4</v>
      </c>
      <c r="E7" s="904" t="s">
        <v>39</v>
      </c>
      <c r="F7" s="905"/>
      <c r="G7" s="905"/>
      <c r="H7" s="905"/>
      <c r="I7" s="905">
        <f>F7+G7+H7</f>
        <v>0</v>
      </c>
      <c r="J7" s="885">
        <f>'SUMMARY BRL'!J10</f>
        <v>0.6</v>
      </c>
      <c r="K7" s="886">
        <f t="shared" si="1"/>
        <v>0</v>
      </c>
      <c r="L7" s="887">
        <f t="shared" si="2"/>
        <v>0</v>
      </c>
      <c r="M7" s="895"/>
      <c r="N7" s="895"/>
      <c r="O7" s="895"/>
      <c r="P7" s="895"/>
    </row>
    <row r="8" spans="2:20" hidden="1">
      <c r="B8" s="1569"/>
      <c r="C8" s="1533"/>
      <c r="D8" s="1391"/>
      <c r="E8" s="906" t="s">
        <v>33</v>
      </c>
      <c r="F8" s="433"/>
      <c r="G8" s="433"/>
      <c r="H8" s="433"/>
      <c r="I8" s="433">
        <f>F8+G8+H8</f>
        <v>0</v>
      </c>
      <c r="J8" s="892">
        <f>'SUMMARY BRL'!J11</f>
        <v>0.6</v>
      </c>
      <c r="K8" s="893">
        <f t="shared" si="1"/>
        <v>0</v>
      </c>
      <c r="L8" s="894">
        <f t="shared" si="2"/>
        <v>0</v>
      </c>
      <c r="M8" s="895"/>
      <c r="N8" s="895"/>
      <c r="O8" s="895"/>
      <c r="P8" s="895"/>
    </row>
    <row r="9" spans="2:20" hidden="1">
      <c r="B9" s="1569"/>
      <c r="C9" s="1533"/>
      <c r="D9" s="1472"/>
      <c r="E9" s="907" t="s">
        <v>1</v>
      </c>
      <c r="F9" s="452"/>
      <c r="G9" s="452"/>
      <c r="H9" s="452"/>
      <c r="I9" s="452">
        <f t="shared" si="0"/>
        <v>0</v>
      </c>
      <c r="J9" s="897">
        <f>'SUMMARY BRL'!J12</f>
        <v>0.6</v>
      </c>
      <c r="K9" s="908">
        <f t="shared" si="1"/>
        <v>0</v>
      </c>
      <c r="L9" s="909">
        <f t="shared" si="2"/>
        <v>0</v>
      </c>
      <c r="M9" s="895"/>
      <c r="N9" s="895"/>
      <c r="O9" s="895"/>
      <c r="P9" s="895"/>
    </row>
    <row r="10" spans="2:20" hidden="1">
      <c r="B10" s="1569"/>
      <c r="C10" s="1533"/>
      <c r="D10" s="1473" t="s">
        <v>40</v>
      </c>
      <c r="E10" s="889" t="s">
        <v>33</v>
      </c>
      <c r="F10" s="905"/>
      <c r="G10" s="905"/>
      <c r="H10" s="910"/>
      <c r="I10" s="467">
        <f t="shared" si="0"/>
        <v>0</v>
      </c>
      <c r="J10" s="717" t="str">
        <f>'SUMMARY BRL'!J13</f>
        <v>1,9%/5,1%</v>
      </c>
      <c r="K10" s="893" t="e">
        <f t="shared" si="1"/>
        <v>#VALUE!</v>
      </c>
      <c r="L10" s="894" t="e">
        <f t="shared" si="2"/>
        <v>#VALUE!</v>
      </c>
      <c r="M10" s="895"/>
      <c r="N10" s="895"/>
      <c r="O10" s="895"/>
      <c r="P10" s="895"/>
    </row>
    <row r="11" spans="2:20" ht="13.5" hidden="1" thickBot="1">
      <c r="B11" s="1569"/>
      <c r="C11" s="1533"/>
      <c r="D11" s="1474"/>
      <c r="E11" s="889" t="s">
        <v>41</v>
      </c>
      <c r="F11" s="911"/>
      <c r="G11" s="911"/>
      <c r="H11" s="910"/>
      <c r="I11" s="467">
        <f t="shared" si="0"/>
        <v>0</v>
      </c>
      <c r="J11" s="718" t="str">
        <f>'SUMMARY BRL'!J14</f>
        <v>1,9%/5,1%</v>
      </c>
      <c r="K11" s="893" t="e">
        <f t="shared" si="1"/>
        <v>#VALUE!</v>
      </c>
      <c r="L11" s="894" t="e">
        <f t="shared" si="2"/>
        <v>#VALUE!</v>
      </c>
      <c r="M11" s="895"/>
      <c r="N11" s="895"/>
      <c r="O11" s="895"/>
      <c r="P11" s="895"/>
      <c r="R11" s="220"/>
    </row>
    <row r="12" spans="2:20" ht="13.5" hidden="1" thickBot="1">
      <c r="B12" s="1569"/>
      <c r="C12" s="1533"/>
      <c r="D12" s="1561" t="s">
        <v>24</v>
      </c>
      <c r="E12" s="1576"/>
      <c r="F12" s="912">
        <f>SUM(F7:F11)</f>
        <v>0</v>
      </c>
      <c r="G12" s="912">
        <f>SUM(G7:G11)</f>
        <v>0</v>
      </c>
      <c r="H12" s="461">
        <f>SUM(H7:H11)</f>
        <v>0</v>
      </c>
      <c r="I12" s="461">
        <f>SUM(I7:I11)</f>
        <v>0</v>
      </c>
      <c r="J12" s="702">
        <f>IF(ISERROR(-L12/I12),0,IF(-L12/I12&lt;0,100%,IF(-L12/I12&gt;100%,100%,-L12/I12)))</f>
        <v>0</v>
      </c>
      <c r="K12" s="461" t="e">
        <f>SUM(K7:K11)</f>
        <v>#VALUE!</v>
      </c>
      <c r="L12" s="461" t="e">
        <f>SUM(L7:L11)</f>
        <v>#VALUE!</v>
      </c>
      <c r="M12" s="902"/>
      <c r="N12" s="903"/>
      <c r="O12" s="903"/>
      <c r="P12" s="833" t="e">
        <f>-L12+M12</f>
        <v>#VALUE!</v>
      </c>
      <c r="R12" s="220"/>
    </row>
    <row r="13" spans="2:20" ht="13.5" hidden="1" thickBot="1">
      <c r="B13" s="1569"/>
      <c r="C13" s="1534"/>
      <c r="D13" s="913" t="s">
        <v>9</v>
      </c>
      <c r="E13" s="914"/>
      <c r="F13" s="464">
        <f>F12+F6</f>
        <v>0</v>
      </c>
      <c r="G13" s="464">
        <f>G12+G6</f>
        <v>0</v>
      </c>
      <c r="H13" s="464">
        <f>H12+H6</f>
        <v>0</v>
      </c>
      <c r="I13" s="464">
        <f>I12+I6</f>
        <v>0</v>
      </c>
      <c r="J13" s="915">
        <f>IF(ISERROR(-L13/I13),0,IF(-L13/I13&lt;0,100%,IF(-L13/I13&gt;100%,100%,-L13/I13)))</f>
        <v>0</v>
      </c>
      <c r="K13" s="464" t="e">
        <f>K12+K6</f>
        <v>#VALUE!</v>
      </c>
      <c r="L13" s="464" t="e">
        <f>L12+L6</f>
        <v>#VALUE!</v>
      </c>
      <c r="M13" s="916">
        <f>SUM(M12,M6)</f>
        <v>0</v>
      </c>
      <c r="N13" s="916"/>
      <c r="O13" s="916"/>
      <c r="P13" s="916" t="e">
        <f>SUM(P12,P6)</f>
        <v>#VALUE!</v>
      </c>
      <c r="Q13" s="225"/>
    </row>
    <row r="14" spans="2:20" hidden="1">
      <c r="B14" s="1569"/>
      <c r="C14" s="1532" t="s">
        <v>13</v>
      </c>
      <c r="D14" s="1390" t="s">
        <v>6</v>
      </c>
      <c r="E14" s="881" t="s">
        <v>37</v>
      </c>
      <c r="F14" s="426"/>
      <c r="G14" s="883"/>
      <c r="H14" s="884">
        <v>0</v>
      </c>
      <c r="I14" s="917">
        <f>F14+G14+H14</f>
        <v>0</v>
      </c>
      <c r="J14" s="681">
        <f>'SUMMARY BRL'!J6</f>
        <v>1</v>
      </c>
      <c r="K14" s="918">
        <f>F14+G14+L14</f>
        <v>0</v>
      </c>
      <c r="L14" s="887">
        <f>IF((-I14*J14)&gt;=0,0,(-I14*J14))</f>
        <v>0</v>
      </c>
      <c r="M14" s="888"/>
      <c r="N14" s="888"/>
      <c r="O14" s="888"/>
      <c r="P14" s="888"/>
    </row>
    <row r="15" spans="2:20" hidden="1">
      <c r="B15" s="1569"/>
      <c r="C15" s="1533"/>
      <c r="D15" s="1391"/>
      <c r="E15" s="889" t="s">
        <v>38</v>
      </c>
      <c r="F15" s="433"/>
      <c r="G15" s="891"/>
      <c r="H15" s="467">
        <v>0</v>
      </c>
      <c r="I15" s="919">
        <f>F15+G15+H15</f>
        <v>0</v>
      </c>
      <c r="J15" s="690">
        <f>'SUMMARY BRL'!J7</f>
        <v>0.9</v>
      </c>
      <c r="K15" s="920">
        <f>F15+G15+L15</f>
        <v>0</v>
      </c>
      <c r="L15" s="894">
        <f>IF((-I15*J15)&gt;=0,0,(-I15*J15))</f>
        <v>0</v>
      </c>
      <c r="M15" s="895"/>
      <c r="N15" s="895"/>
      <c r="O15" s="895"/>
      <c r="P15" s="895"/>
    </row>
    <row r="16" spans="2:20" ht="13.5" hidden="1" thickBot="1">
      <c r="B16" s="1569"/>
      <c r="C16" s="1533"/>
      <c r="D16" s="1474"/>
      <c r="E16" s="889" t="s">
        <v>36</v>
      </c>
      <c r="F16" s="433"/>
      <c r="G16" s="891"/>
      <c r="H16" s="467">
        <v>0</v>
      </c>
      <c r="I16" s="921">
        <f>F16+G16+H16</f>
        <v>0</v>
      </c>
      <c r="J16" s="696">
        <f>'SUMMARY BRL'!J8</f>
        <v>0.9</v>
      </c>
      <c r="K16" s="895">
        <f>F16+G16+L16</f>
        <v>0</v>
      </c>
      <c r="L16" s="894">
        <f>IF((-I16*J16)&gt;=0,0,(-I16*J16))</f>
        <v>0</v>
      </c>
      <c r="M16" s="895"/>
      <c r="N16" s="895"/>
      <c r="O16" s="895"/>
      <c r="P16" s="895"/>
    </row>
    <row r="17" spans="2:17" ht="13.5" hidden="1" thickBot="1">
      <c r="B17" s="1569"/>
      <c r="C17" s="1533"/>
      <c r="D17" s="1561" t="s">
        <v>23</v>
      </c>
      <c r="E17" s="1562"/>
      <c r="F17" s="461">
        <f>SUM(F14:F16)</f>
        <v>0</v>
      </c>
      <c r="G17" s="922">
        <f>SUM(G14:G16)</f>
        <v>0</v>
      </c>
      <c r="H17" s="700"/>
      <c r="I17" s="700">
        <f>SUM(I14:I16)</f>
        <v>0</v>
      </c>
      <c r="J17" s="702">
        <f>IF(ISERROR(-L17/I17),0,IF(-L17/I17&lt;0,100%,IF(-L17/I17&gt;100%,100%,-L17/I17)))</f>
        <v>0</v>
      </c>
      <c r="K17" s="700">
        <f>SUM(K14:K16)</f>
        <v>0</v>
      </c>
      <c r="L17" s="923">
        <f>SUM(L14:L16)</f>
        <v>0</v>
      </c>
      <c r="M17" s="924"/>
      <c r="N17" s="924"/>
      <c r="O17" s="924"/>
      <c r="P17" s="924">
        <f>-L17+M17</f>
        <v>0</v>
      </c>
    </row>
    <row r="18" spans="2:17" hidden="1">
      <c r="B18" s="1569"/>
      <c r="C18" s="1533"/>
      <c r="D18" s="1390" t="s">
        <v>4</v>
      </c>
      <c r="E18" s="904" t="s">
        <v>39</v>
      </c>
      <c r="F18" s="426"/>
      <c r="G18" s="925"/>
      <c r="H18" s="884"/>
      <c r="I18" s="884">
        <f>F18+G18+H18</f>
        <v>0</v>
      </c>
      <c r="J18" s="706">
        <f>'SUMMARY BRL'!J10</f>
        <v>0.6</v>
      </c>
      <c r="K18" s="886">
        <f>F18+G18+L18</f>
        <v>0</v>
      </c>
      <c r="L18" s="887">
        <f>IF((-I18*J18)&gt;=0,0,(-I18*J18))</f>
        <v>0</v>
      </c>
      <c r="M18" s="895"/>
      <c r="N18" s="895"/>
      <c r="O18" s="895"/>
      <c r="P18" s="895"/>
    </row>
    <row r="19" spans="2:17" hidden="1">
      <c r="B19" s="1569"/>
      <c r="C19" s="1533"/>
      <c r="D19" s="1391"/>
      <c r="E19" s="906" t="s">
        <v>33</v>
      </c>
      <c r="F19" s="433"/>
      <c r="G19" s="910"/>
      <c r="H19" s="467"/>
      <c r="I19" s="467">
        <f>F19+G19+H19</f>
        <v>0</v>
      </c>
      <c r="J19" s="710">
        <f>'SUMMARY BRL'!J11</f>
        <v>0.6</v>
      </c>
      <c r="K19" s="893">
        <f>F19+G19+L19</f>
        <v>0</v>
      </c>
      <c r="L19" s="894">
        <f>IF((-I19*J19)&gt;=0,0,(-I19*J19))</f>
        <v>0</v>
      </c>
      <c r="M19" s="895"/>
      <c r="N19" s="895"/>
      <c r="O19" s="895"/>
      <c r="P19" s="895"/>
    </row>
    <row r="20" spans="2:17" hidden="1">
      <c r="B20" s="1569"/>
      <c r="C20" s="1533"/>
      <c r="D20" s="1472"/>
      <c r="E20" s="907" t="s">
        <v>1</v>
      </c>
      <c r="F20" s="452"/>
      <c r="G20" s="926"/>
      <c r="H20" s="927"/>
      <c r="I20" s="927">
        <f>F20+G20+H20</f>
        <v>0</v>
      </c>
      <c r="J20" s="714">
        <f>'SUMMARY BRL'!J12</f>
        <v>0.6</v>
      </c>
      <c r="K20" s="908">
        <f>F20+G20+L20</f>
        <v>0</v>
      </c>
      <c r="L20" s="909">
        <f>IF((-I20*J20)&gt;=0,0,(-I20*J20))</f>
        <v>0</v>
      </c>
      <c r="M20" s="895"/>
      <c r="N20" s="895"/>
      <c r="O20" s="895"/>
      <c r="P20" s="895"/>
    </row>
    <row r="21" spans="2:17" hidden="1">
      <c r="B21" s="1569"/>
      <c r="C21" s="1533"/>
      <c r="D21" s="1473" t="s">
        <v>40</v>
      </c>
      <c r="E21" s="889" t="s">
        <v>33</v>
      </c>
      <c r="F21" s="433"/>
      <c r="G21" s="910"/>
      <c r="H21" s="433"/>
      <c r="I21" s="467">
        <f>F21+G21+H21</f>
        <v>0</v>
      </c>
      <c r="J21" s="717" t="str">
        <f>'SUMMARY BRL'!J13</f>
        <v>1,9%/5,1%</v>
      </c>
      <c r="K21" s="893" t="e">
        <f>F21+G21+L21</f>
        <v>#VALUE!</v>
      </c>
      <c r="L21" s="894" t="e">
        <f>IF((-I21*J21)&gt;=0,0,(-I21*J21))</f>
        <v>#VALUE!</v>
      </c>
      <c r="M21" s="895"/>
      <c r="N21" s="895"/>
      <c r="O21" s="895"/>
      <c r="P21" s="895"/>
    </row>
    <row r="22" spans="2:17" ht="13.5" hidden="1" thickBot="1">
      <c r="B22" s="1569"/>
      <c r="C22" s="1533"/>
      <c r="D22" s="1474"/>
      <c r="E22" s="889" t="s">
        <v>41</v>
      </c>
      <c r="F22" s="433"/>
      <c r="G22" s="928"/>
      <c r="H22" s="433"/>
      <c r="I22" s="467">
        <f>F22+G22+H22</f>
        <v>0</v>
      </c>
      <c r="J22" s="718" t="str">
        <f>'SUMMARY BRL'!J14</f>
        <v>1,9%/5,1%</v>
      </c>
      <c r="K22" s="893" t="e">
        <f>F22+G22+L22</f>
        <v>#VALUE!</v>
      </c>
      <c r="L22" s="894" t="e">
        <f>IF((-I22*J22)&gt;=0,0,(-I22*J22))</f>
        <v>#VALUE!</v>
      </c>
      <c r="M22" s="895"/>
      <c r="N22" s="895"/>
      <c r="O22" s="895"/>
      <c r="P22" s="895"/>
    </row>
    <row r="23" spans="2:17" ht="13.5" hidden="1" thickBot="1">
      <c r="B23" s="1569"/>
      <c r="C23" s="1533"/>
      <c r="D23" s="1561" t="s">
        <v>24</v>
      </c>
      <c r="E23" s="1562"/>
      <c r="F23" s="461">
        <f>SUM(F18:F22)</f>
        <v>0</v>
      </c>
      <c r="G23" s="461">
        <f>SUM(G18:G22)</f>
        <v>0</v>
      </c>
      <c r="H23" s="461">
        <f>SUM(H18:H22)</f>
        <v>0</v>
      </c>
      <c r="I23" s="461">
        <f>SUM(I18:I22)</f>
        <v>0</v>
      </c>
      <c r="J23" s="702">
        <f>IF(ISERROR(-L23/I23),0,IF(-L23/I23&lt;0,100%,IF(-L23/I23&gt;100%,100%,-L23/I23)))</f>
        <v>0</v>
      </c>
      <c r="K23" s="461" t="e">
        <f>SUM(K18:K22)</f>
        <v>#VALUE!</v>
      </c>
      <c r="L23" s="929" t="e">
        <f>SUM(L18:L22)</f>
        <v>#VALUE!</v>
      </c>
      <c r="M23" s="924"/>
      <c r="N23" s="924"/>
      <c r="O23" s="924"/>
      <c r="P23" s="924" t="e">
        <f>-L23+M23</f>
        <v>#VALUE!</v>
      </c>
    </row>
    <row r="24" spans="2:17" ht="13.5" hidden="1" thickBot="1">
      <c r="B24" s="1569"/>
      <c r="C24" s="1534"/>
      <c r="D24" s="720" t="s">
        <v>9</v>
      </c>
      <c r="E24" s="721"/>
      <c r="F24" s="930">
        <f>F17+F23</f>
        <v>0</v>
      </c>
      <c r="G24" s="930">
        <f>G17+G23</f>
        <v>0</v>
      </c>
      <c r="H24" s="930">
        <f>H17+H23</f>
        <v>0</v>
      </c>
      <c r="I24" s="930">
        <f>I17+I23</f>
        <v>0</v>
      </c>
      <c r="J24" s="723">
        <f>IF(ISERROR(-L24/I24),0,IF(-L24/I24&lt;0,100%,IF(-L24/I24&gt;100%,100%,-L24/I24)))</f>
        <v>0</v>
      </c>
      <c r="K24" s="930" t="e">
        <f>K17+K23</f>
        <v>#VALUE!</v>
      </c>
      <c r="L24" s="930" t="e">
        <f>L17+L23</f>
        <v>#VALUE!</v>
      </c>
      <c r="M24" s="931">
        <f>SUM(M17,M23)</f>
        <v>0</v>
      </c>
      <c r="N24" s="931"/>
      <c r="O24" s="931"/>
      <c r="P24" s="931" t="e">
        <f>SUM(P17,P23)</f>
        <v>#VALUE!</v>
      </c>
      <c r="Q24" s="225"/>
    </row>
    <row r="25" spans="2:17">
      <c r="B25" s="1569"/>
      <c r="C25" s="1568" t="s">
        <v>15</v>
      </c>
      <c r="D25" s="1390" t="s">
        <v>6</v>
      </c>
      <c r="E25" s="881" t="s">
        <v>37</v>
      </c>
      <c r="F25" s="426">
        <f>INPUT!B65</f>
        <v>2160.0669599999997</v>
      </c>
      <c r="G25" s="883">
        <f>INPUT!D65</f>
        <v>0</v>
      </c>
      <c r="H25" s="884"/>
      <c r="I25" s="884">
        <f>F25+G25+H25</f>
        <v>2160.0669599999997</v>
      </c>
      <c r="J25" s="780">
        <f>'SUMMARY BRL'!J6</f>
        <v>1</v>
      </c>
      <c r="K25" s="886">
        <f>IF((F25+G25+L25)&lt;0,0,(F25+G25+L25))</f>
        <v>0</v>
      </c>
      <c r="L25" s="887">
        <f>IF((-I25*J25)&gt;=0,0,(-I25*J25))</f>
        <v>-2160.0669599999997</v>
      </c>
      <c r="M25" s="888"/>
      <c r="N25" s="888"/>
      <c r="O25" s="888"/>
      <c r="P25" s="888"/>
    </row>
    <row r="26" spans="2:17">
      <c r="B26" s="1569"/>
      <c r="C26" s="1569"/>
      <c r="D26" s="1391"/>
      <c r="E26" s="889" t="s">
        <v>38</v>
      </c>
      <c r="F26" s="433">
        <f>INPUT!B66</f>
        <v>0</v>
      </c>
      <c r="G26" s="891">
        <f>INPUT!D66</f>
        <v>0</v>
      </c>
      <c r="H26" s="467"/>
      <c r="I26" s="467">
        <f>F26+G26+H26</f>
        <v>0</v>
      </c>
      <c r="J26" s="717">
        <v>0.9</v>
      </c>
      <c r="K26" s="893">
        <f>IF((F26+G26+L26)&lt;0,0,(F26+G26+L26))</f>
        <v>0</v>
      </c>
      <c r="L26" s="894">
        <f>IF((-I26*J26)&gt;=0,0,(-I26*J26))</f>
        <v>0</v>
      </c>
      <c r="M26" s="895"/>
      <c r="N26" s="895"/>
      <c r="O26" s="895"/>
      <c r="P26" s="895"/>
    </row>
    <row r="27" spans="2:17" ht="13.5" thickBot="1">
      <c r="B27" s="1569"/>
      <c r="C27" s="1569"/>
      <c r="D27" s="1392"/>
      <c r="E27" s="889" t="s">
        <v>36</v>
      </c>
      <c r="F27" s="433">
        <f>INPUT!B67</f>
        <v>0</v>
      </c>
      <c r="G27" s="891">
        <f>INPUT!D67</f>
        <v>0</v>
      </c>
      <c r="H27" s="467"/>
      <c r="I27" s="467">
        <f>F27+G27+H27</f>
        <v>0</v>
      </c>
      <c r="J27" s="717">
        <v>0.9</v>
      </c>
      <c r="K27" s="893">
        <f>IF((F27+G27+L27)&lt;0,0,(F27+G27+L27))</f>
        <v>0</v>
      </c>
      <c r="L27" s="894">
        <f>IF((-I27*J27)&gt;=0,0,(-I27*J27))</f>
        <v>0</v>
      </c>
      <c r="M27" s="423"/>
      <c r="N27" s="423"/>
      <c r="O27" s="423"/>
      <c r="P27" s="895"/>
    </row>
    <row r="28" spans="2:17" ht="13.5" thickBot="1">
      <c r="B28" s="1569"/>
      <c r="C28" s="1569"/>
      <c r="D28" s="1536" t="s">
        <v>23</v>
      </c>
      <c r="E28" s="1537"/>
      <c r="F28" s="461">
        <f>SUM(F25:F27)</f>
        <v>2160.0669599999997</v>
      </c>
      <c r="G28" s="922">
        <f>SUM(G25:G27)</f>
        <v>0</v>
      </c>
      <c r="H28" s="700"/>
      <c r="I28" s="700">
        <f>SUM(I25:I27)</f>
        <v>2160.0669599999997</v>
      </c>
      <c r="J28" s="702">
        <f>IF(ISERROR(-L28/I28),0,IF(-L28/I28&lt;0,100%,IF(-L28/I28&gt;100%,100%,-L28/I28)))</f>
        <v>1</v>
      </c>
      <c r="K28" s="700">
        <f>SUM(K25:K27)</f>
        <v>0</v>
      </c>
      <c r="L28" s="923">
        <f>SUM(L25:L27)</f>
        <v>-2160.0669599999997</v>
      </c>
      <c r="M28" s="924">
        <f>INPUT!N12/1000</f>
        <v>-2328.4401600000001</v>
      </c>
      <c r="N28" s="924">
        <f>0</f>
        <v>0</v>
      </c>
      <c r="O28" s="924">
        <f>M28+N28</f>
        <v>-2328.4401600000001</v>
      </c>
      <c r="P28" s="924">
        <f>-L28+M28</f>
        <v>-168.37320000000045</v>
      </c>
      <c r="Q28" s="326"/>
    </row>
    <row r="29" spans="2:17">
      <c r="B29" s="1569"/>
      <c r="C29" s="1569"/>
      <c r="D29" s="1390" t="s">
        <v>4</v>
      </c>
      <c r="E29" s="904" t="s">
        <v>39</v>
      </c>
      <c r="F29" s="426">
        <f>INPUT!$B$68+INPUT!B69+INPUT!B70</f>
        <v>2084.6250500000001</v>
      </c>
      <c r="G29" s="884">
        <f>INPUT!D68+INPUT!D69+INPUT!D70</f>
        <v>0</v>
      </c>
      <c r="H29" s="884">
        <f>INPUT!F68+INPUT!F69+INPUT!F70</f>
        <v>0</v>
      </c>
      <c r="I29" s="884">
        <f>F29+G29+H29</f>
        <v>2084.6250500000001</v>
      </c>
      <c r="J29" s="1285">
        <f>INPUT!T6</f>
        <v>0.6</v>
      </c>
      <c r="K29" s="918">
        <f>IF((F29+G29+L29)&lt;0,0,(F29+G29+L29))</f>
        <v>833.85002000000009</v>
      </c>
      <c r="L29" s="887">
        <f>IF((-I29*J29)&gt;=0,0,(-I29*J29))</f>
        <v>-1250.77503</v>
      </c>
      <c r="M29" s="895"/>
      <c r="N29" s="895"/>
      <c r="O29" s="895"/>
      <c r="P29" s="895"/>
    </row>
    <row r="30" spans="2:17">
      <c r="B30" s="1569"/>
      <c r="C30" s="1569"/>
      <c r="D30" s="1391"/>
      <c r="E30" s="906" t="s">
        <v>33</v>
      </c>
      <c r="F30" s="433">
        <f>INPUT!B71</f>
        <v>0</v>
      </c>
      <c r="G30" s="467">
        <f>INPUT!D71</f>
        <v>0</v>
      </c>
      <c r="H30" s="467">
        <f>INPUT!F71</f>
        <v>0</v>
      </c>
      <c r="I30" s="467">
        <f>F30+G30+H30</f>
        <v>0</v>
      </c>
      <c r="J30" s="1286">
        <f>INPUT!T6</f>
        <v>0.6</v>
      </c>
      <c r="K30" s="920">
        <f>IF((F30+G30+L30)&lt;0,0,(F30+G30+L30))</f>
        <v>0</v>
      </c>
      <c r="L30" s="894">
        <f>IF((-I30*J30)&gt;=0,0,(-I30*J30))</f>
        <v>0</v>
      </c>
      <c r="M30" s="895"/>
      <c r="N30" s="895"/>
      <c r="O30" s="895"/>
      <c r="P30" s="895"/>
    </row>
    <row r="31" spans="2:17" ht="13.5" thickBot="1">
      <c r="B31" s="1569"/>
      <c r="C31" s="1569"/>
      <c r="D31" s="1472"/>
      <c r="E31" s="907" t="s">
        <v>1</v>
      </c>
      <c r="F31" s="452">
        <f>INPUT!B72</f>
        <v>0</v>
      </c>
      <c r="G31" s="927">
        <f>INPUT!D72</f>
        <v>0</v>
      </c>
      <c r="H31" s="927">
        <f>INPUT!F72</f>
        <v>0</v>
      </c>
      <c r="I31" s="927">
        <f>F31+G31+H31</f>
        <v>0</v>
      </c>
      <c r="J31" s="1287">
        <f>INPUT!T6</f>
        <v>0.6</v>
      </c>
      <c r="K31" s="1284">
        <f>IF((F31+G31+L31)&lt;0,0,(F31+G31+L31))</f>
        <v>0</v>
      </c>
      <c r="L31" s="909">
        <f>IF((-I31*J31)&gt;=0,0,(-I31*J31))</f>
        <v>0</v>
      </c>
      <c r="M31" s="895"/>
      <c r="N31" s="895"/>
      <c r="O31" s="895"/>
      <c r="P31" s="895"/>
    </row>
    <row r="32" spans="2:17">
      <c r="B32" s="1569"/>
      <c r="C32" s="1569"/>
      <c r="D32" s="1473" t="s">
        <v>40</v>
      </c>
      <c r="E32" s="889" t="s">
        <v>33</v>
      </c>
      <c r="F32" s="433">
        <f>INPUT!B73</f>
        <v>17762.634340000004</v>
      </c>
      <c r="G32" s="467">
        <f>INPUT!D73</f>
        <v>0</v>
      </c>
      <c r="H32" s="467">
        <f>INPUT!F73</f>
        <v>0</v>
      </c>
      <c r="I32" s="467">
        <f>F32+G32+H32</f>
        <v>17762.634340000004</v>
      </c>
      <c r="J32" s="1218">
        <f>INPUT!T5</f>
        <v>1.9E-2</v>
      </c>
      <c r="K32" s="893">
        <f>F32+G32+L32</f>
        <v>17425.144287540003</v>
      </c>
      <c r="L32" s="894">
        <f>IF((-I32*J32)&gt;=0,0,(-I32*J32))</f>
        <v>-337.49005246000007</v>
      </c>
      <c r="M32" s="895"/>
      <c r="N32" s="895"/>
      <c r="O32" s="895"/>
      <c r="P32" s="895"/>
    </row>
    <row r="33" spans="2:19" ht="13.5" thickBot="1">
      <c r="B33" s="1569"/>
      <c r="C33" s="1569"/>
      <c r="D33" s="1474"/>
      <c r="E33" s="889" t="s">
        <v>41</v>
      </c>
      <c r="F33" s="433">
        <f>INPUT!B74</f>
        <v>29745.606869999989</v>
      </c>
      <c r="G33" s="467">
        <f>INPUT!L12+INPUT!D74</f>
        <v>-2351.368283738394</v>
      </c>
      <c r="H33" s="467">
        <f>INPUT!F74</f>
        <v>0</v>
      </c>
      <c r="I33" s="467">
        <f>F33+G33+H33</f>
        <v>27394.238586261596</v>
      </c>
      <c r="J33" s="1218">
        <f>INPUT!T5</f>
        <v>1.9E-2</v>
      </c>
      <c r="K33" s="893">
        <f>F33+G33+L33</f>
        <v>26873.748053122625</v>
      </c>
      <c r="L33" s="894">
        <f>IF((-I33*J33)&gt;=0,0,(-I33*J33))</f>
        <v>-520.49053313897025</v>
      </c>
      <c r="M33" s="423"/>
      <c r="N33" s="423"/>
      <c r="O33" s="423"/>
      <c r="P33" s="895" t="e">
        <f>P35-'[10]Funnel File'!$P$35</f>
        <v>#REF!</v>
      </c>
    </row>
    <row r="34" spans="2:19" ht="13.5" thickBot="1">
      <c r="B34" s="1569"/>
      <c r="C34" s="1569"/>
      <c r="D34" s="1536" t="s">
        <v>24</v>
      </c>
      <c r="E34" s="1537"/>
      <c r="F34" s="461">
        <f>SUM(F29:F33)</f>
        <v>49592.866259999995</v>
      </c>
      <c r="G34" s="461">
        <f>SUM(G29:G33)</f>
        <v>-2351.368283738394</v>
      </c>
      <c r="H34" s="461">
        <f>SUM(H29:H33)</f>
        <v>0</v>
      </c>
      <c r="I34" s="461">
        <f>SUM(I29:I33)</f>
        <v>47241.497976261599</v>
      </c>
      <c r="J34" s="1259">
        <f>IF(ISERROR(-L34/I34),0,IF(-L34/I34&lt;0,100%,IF(-L34/I34&gt;100%,100%,-L34/I34)))</f>
        <v>4.4637780467050393E-2</v>
      </c>
      <c r="K34" s="461">
        <f>SUM(K29:K33)</f>
        <v>45132.742360662625</v>
      </c>
      <c r="L34" s="929">
        <f>SUM(L29:L33)</f>
        <v>-2108.7556155989705</v>
      </c>
      <c r="M34" s="902">
        <f>INPUT!O12/1000</f>
        <v>-2170.8730849699996</v>
      </c>
      <c r="N34" s="902">
        <f>INPUT!P12/1000</f>
        <v>-25.415965030000006</v>
      </c>
      <c r="O34" s="902">
        <f>N34+M34</f>
        <v>-2196.2890499999994</v>
      </c>
      <c r="P34" s="924">
        <f>-L34+O34</f>
        <v>-87.533434401028899</v>
      </c>
      <c r="Q34" s="326"/>
      <c r="R34" s="1166" t="s">
        <v>170</v>
      </c>
    </row>
    <row r="35" spans="2:19" ht="13.5" thickBot="1">
      <c r="B35" s="1569"/>
      <c r="C35" s="1570"/>
      <c r="D35" s="720" t="s">
        <v>9</v>
      </c>
      <c r="E35" s="721"/>
      <c r="F35" s="930">
        <f>F28+F34</f>
        <v>51752.933219999992</v>
      </c>
      <c r="G35" s="930">
        <f>G28+G34</f>
        <v>-2351.368283738394</v>
      </c>
      <c r="H35" s="930">
        <f>H28+H34</f>
        <v>0</v>
      </c>
      <c r="I35" s="930">
        <f>I28+I34</f>
        <v>49401.564936261595</v>
      </c>
      <c r="J35" s="723">
        <f>IF(ISERROR(-L35/I35),0,IF(-L35/I35&lt;0,100%,IF(-L35/I35&gt;100%,100%,-L35/I35)))</f>
        <v>8.6410675068829268E-2</v>
      </c>
      <c r="K35" s="930">
        <f>K28+K34</f>
        <v>45132.742360662625</v>
      </c>
      <c r="L35" s="930">
        <f>L28+L34</f>
        <v>-4268.8225755989697</v>
      </c>
      <c r="M35" s="931">
        <f>SUM(M28,M34)</f>
        <v>-4499.3132449699997</v>
      </c>
      <c r="N35" s="931">
        <f>SUM(N28,N34)</f>
        <v>-25.415965030000006</v>
      </c>
      <c r="O35" s="931">
        <f>SUM(O28,O34)</f>
        <v>-4524.7292099999995</v>
      </c>
      <c r="P35" s="931">
        <f>SUM(P28,P34)</f>
        <v>-255.90663440102935</v>
      </c>
      <c r="Q35" s="225">
        <f>P35/INPUT!F5</f>
        <v>-63.914342116693568</v>
      </c>
    </row>
    <row r="36" spans="2:19" ht="13.5" thickBot="1">
      <c r="B36" s="1570"/>
      <c r="C36" s="1565" t="s">
        <v>17</v>
      </c>
      <c r="D36" s="1566"/>
      <c r="E36" s="1567"/>
      <c r="F36" s="939">
        <f>F13+F24+F35</f>
        <v>51752.933219999992</v>
      </c>
      <c r="G36" s="940">
        <f>G35+G24+G13</f>
        <v>-2351.368283738394</v>
      </c>
      <c r="H36" s="941">
        <f>H35+H24+H13</f>
        <v>0</v>
      </c>
      <c r="I36" s="941">
        <f>I35+I24+I13</f>
        <v>49401.564936261595</v>
      </c>
      <c r="J36" s="942">
        <f>IF(ISERROR(-L36/I36),0,IF(-L36/I36&lt;0,100%,IF(-L36/I36&gt;100%,100%,-L36/I36)))</f>
        <v>0</v>
      </c>
      <c r="K36" s="943" t="e">
        <f t="shared" ref="K36:P36" si="3">K35+K24+K13</f>
        <v>#VALUE!</v>
      </c>
      <c r="L36" s="943" t="e">
        <f t="shared" si="3"/>
        <v>#VALUE!</v>
      </c>
      <c r="M36" s="944">
        <f t="shared" si="3"/>
        <v>-4499.3132449699997</v>
      </c>
      <c r="N36" s="944">
        <f t="shared" si="3"/>
        <v>-25.415965030000006</v>
      </c>
      <c r="O36" s="944">
        <f t="shared" si="3"/>
        <v>-4524.7292099999995</v>
      </c>
      <c r="P36" s="943" t="e">
        <f t="shared" si="3"/>
        <v>#VALUE!</v>
      </c>
      <c r="Q36" s="225"/>
    </row>
    <row r="37" spans="2:19" s="298" customFormat="1">
      <c r="B37" s="932"/>
      <c r="C37" s="933"/>
      <c r="D37" s="934"/>
      <c r="E37" s="790"/>
      <c r="F37" s="790"/>
      <c r="G37" s="790"/>
      <c r="H37" s="790">
        <f>H36+'BAD DEBT 4168 9290'!H36</f>
        <v>0</v>
      </c>
      <c r="I37" s="790"/>
      <c r="J37" s="945"/>
      <c r="K37" s="946"/>
      <c r="L37" s="946"/>
      <c r="M37" s="946"/>
      <c r="N37" s="946"/>
      <c r="O37" s="946"/>
      <c r="P37" s="947"/>
      <c r="Q37" s="296"/>
      <c r="R37" s="297"/>
      <c r="S37" s="297"/>
    </row>
    <row r="38" spans="2:19" s="298" customFormat="1">
      <c r="B38" s="932"/>
      <c r="C38" s="933"/>
      <c r="D38" s="934"/>
      <c r="E38" s="790"/>
      <c r="F38" s="790"/>
      <c r="G38" s="790"/>
      <c r="H38" s="790"/>
      <c r="I38" s="790"/>
      <c r="J38" s="948" t="s">
        <v>25</v>
      </c>
      <c r="K38" s="949"/>
      <c r="L38" s="950" t="s">
        <v>14</v>
      </c>
      <c r="M38" s="950" t="s">
        <v>155</v>
      </c>
      <c r="N38" s="950" t="s">
        <v>159</v>
      </c>
      <c r="O38" s="950" t="s">
        <v>22</v>
      </c>
      <c r="P38" s="951" t="s">
        <v>16</v>
      </c>
      <c r="Q38" s="296"/>
      <c r="R38" s="297"/>
      <c r="S38" s="297"/>
    </row>
    <row r="39" spans="2:19" s="298" customFormat="1">
      <c r="B39" s="932"/>
      <c r="C39" s="933"/>
      <c r="D39" s="934"/>
      <c r="E39" s="790"/>
      <c r="F39" s="790"/>
      <c r="G39" s="790"/>
      <c r="H39" s="790"/>
      <c r="I39" s="790"/>
      <c r="J39" s="952" t="s">
        <v>26</v>
      </c>
      <c r="K39" s="953"/>
      <c r="L39" s="954">
        <f>+L6+L17+L28</f>
        <v>-2160.0669599999997</v>
      </c>
      <c r="M39" s="954">
        <f>+M6+M17+M28</f>
        <v>-2328.4401600000001</v>
      </c>
      <c r="N39" s="955">
        <f>+N6+N17+N28</f>
        <v>0</v>
      </c>
      <c r="O39" s="955">
        <f>+O6+O17+O28</f>
        <v>-2328.4401600000001</v>
      </c>
      <c r="P39" s="956">
        <f>+P6+P17+P28</f>
        <v>-168.37320000000045</v>
      </c>
      <c r="Q39" s="296"/>
      <c r="R39" s="297"/>
      <c r="S39" s="297"/>
    </row>
    <row r="40" spans="2:19" s="298" customFormat="1" ht="15">
      <c r="B40" s="932"/>
      <c r="C40" s="933"/>
      <c r="D40" s="934"/>
      <c r="E40" s="790"/>
      <c r="F40" s="790"/>
      <c r="G40" s="790"/>
      <c r="H40" s="790"/>
      <c r="I40" s="790"/>
      <c r="J40" s="952" t="s">
        <v>27</v>
      </c>
      <c r="K40" s="953"/>
      <c r="L40" s="957" t="e">
        <f>+L12+L23+L34</f>
        <v>#VALUE!</v>
      </c>
      <c r="M40" s="957">
        <f>+M12+M23+M34</f>
        <v>-2170.8730849699996</v>
      </c>
      <c r="N40" s="958">
        <f>+N12+N23+N34</f>
        <v>-25.415965030000006</v>
      </c>
      <c r="O40" s="958">
        <f>+O12+O23+O34</f>
        <v>-2196.2890499999994</v>
      </c>
      <c r="P40" s="959" t="e">
        <f>+P12+P23+P34</f>
        <v>#VALUE!</v>
      </c>
      <c r="Q40" s="296"/>
      <c r="R40" s="297"/>
      <c r="S40" s="297"/>
    </row>
    <row r="41" spans="2:19" s="298" customFormat="1" ht="13.5" thickBot="1">
      <c r="B41" s="932"/>
      <c r="C41" s="933"/>
      <c r="D41" s="934"/>
      <c r="E41" s="790"/>
      <c r="F41" s="790"/>
      <c r="G41" s="790"/>
      <c r="H41" s="790"/>
      <c r="I41" s="790"/>
      <c r="J41" s="952" t="s">
        <v>28</v>
      </c>
      <c r="K41" s="960"/>
      <c r="L41" s="961" t="e">
        <f>SUM(L39:L40)</f>
        <v>#VALUE!</v>
      </c>
      <c r="M41" s="961">
        <f>SUM(M39:M40)</f>
        <v>-4499.3132449699997</v>
      </c>
      <c r="N41" s="962">
        <f>SUM(N39:N40)</f>
        <v>-25.415965030000006</v>
      </c>
      <c r="O41" s="962">
        <f>SUM(O39:O40)</f>
        <v>-4524.7292099999995</v>
      </c>
      <c r="P41" s="963" t="e">
        <f>SUM(P39:P40)</f>
        <v>#VALUE!</v>
      </c>
      <c r="Q41" s="296"/>
      <c r="R41" s="297"/>
      <c r="S41" s="297"/>
    </row>
    <row r="42" spans="2:19" s="298" customFormat="1" ht="14.25" thickTop="1" thickBot="1">
      <c r="B42" s="932"/>
      <c r="C42" s="933"/>
      <c r="D42" s="934"/>
      <c r="E42" s="790"/>
      <c r="F42" s="790"/>
      <c r="G42" s="790"/>
      <c r="H42" s="790"/>
      <c r="I42" s="790"/>
      <c r="J42" s="964"/>
      <c r="K42" s="965"/>
      <c r="L42" s="966"/>
      <c r="M42" s="966"/>
      <c r="N42" s="967"/>
      <c r="O42" s="967"/>
      <c r="P42" s="968"/>
      <c r="Q42" s="296"/>
      <c r="R42" s="297"/>
      <c r="S42" s="297"/>
    </row>
    <row r="43" spans="2:19" ht="13.5" hidden="1" thickBot="1"/>
    <row r="44" spans="2:19" ht="13.5" hidden="1" thickBot="1">
      <c r="D44" s="7" t="s">
        <v>21</v>
      </c>
      <c r="E44" s="7" t="s">
        <v>5</v>
      </c>
      <c r="F44" s="8" t="s">
        <v>12</v>
      </c>
      <c r="G44" s="8" t="s">
        <v>11</v>
      </c>
      <c r="H44" s="8" t="s">
        <v>3</v>
      </c>
      <c r="I44" s="8" t="s">
        <v>10</v>
      </c>
      <c r="J44" s="8" t="s">
        <v>0</v>
      </c>
      <c r="K44" s="17" t="s">
        <v>2</v>
      </c>
      <c r="L44" s="16" t="s">
        <v>14</v>
      </c>
      <c r="M44" s="19" t="s">
        <v>22</v>
      </c>
      <c r="N44" s="19"/>
      <c r="O44" s="19"/>
      <c r="P44" s="16" t="s">
        <v>16</v>
      </c>
      <c r="R44" s="181"/>
      <c r="S44" s="180"/>
    </row>
    <row r="45" spans="2:19" hidden="1">
      <c r="B45" s="1544" t="s">
        <v>19</v>
      </c>
      <c r="C45" s="1524" t="s">
        <v>8</v>
      </c>
      <c r="D45" s="299" t="s">
        <v>1</v>
      </c>
      <c r="E45" s="300" t="s">
        <v>1</v>
      </c>
      <c r="F45" s="196">
        <v>0</v>
      </c>
      <c r="G45" s="196">
        <v>0</v>
      </c>
      <c r="H45" s="196">
        <v>0</v>
      </c>
      <c r="I45" s="301">
        <f>+F45</f>
        <v>0</v>
      </c>
      <c r="J45" s="197">
        <f>'SUMMARY BRL'!J19</f>
        <v>2.3E-2</v>
      </c>
      <c r="K45" s="302">
        <f>F45+G45+L45</f>
        <v>0</v>
      </c>
      <c r="L45" s="303">
        <f>IF((-I45*J45)&gt;=0,0,(-I45*J45))</f>
        <v>0</v>
      </c>
      <c r="S45" s="180"/>
    </row>
    <row r="46" spans="2:19" ht="13.5" hidden="1" thickBot="1">
      <c r="B46" s="1545"/>
      <c r="C46" s="1525"/>
      <c r="D46" s="136" t="s">
        <v>7</v>
      </c>
      <c r="E46" s="304" t="s">
        <v>34</v>
      </c>
      <c r="F46" s="305">
        <v>0</v>
      </c>
      <c r="G46" s="305">
        <v>0</v>
      </c>
      <c r="H46" s="305">
        <v>0</v>
      </c>
      <c r="I46" s="305">
        <f>+F46</f>
        <v>0</v>
      </c>
      <c r="J46" s="306">
        <f>'SUMMARY BRL'!J20</f>
        <v>2.3E-2</v>
      </c>
      <c r="K46" s="307">
        <f>F46+G46+L46</f>
        <v>0</v>
      </c>
      <c r="L46" s="308">
        <f>IF((-I46*J46)&gt;=0,0,(-I46*J46))</f>
        <v>0</v>
      </c>
      <c r="M46" s="191"/>
      <c r="N46" s="191"/>
      <c r="O46" s="191"/>
      <c r="P46" s="191"/>
      <c r="R46" s="180"/>
      <c r="S46" s="180"/>
    </row>
    <row r="47" spans="2:19" ht="13.5" hidden="1" thickBot="1">
      <c r="B47" s="1545"/>
      <c r="C47" s="1525"/>
      <c r="D47" s="141" t="s">
        <v>9</v>
      </c>
      <c r="E47" s="142"/>
      <c r="F47" s="222">
        <f>SUM(F45:F46)</f>
        <v>0</v>
      </c>
      <c r="G47" s="222">
        <f>SUM(G45:G46)</f>
        <v>0</v>
      </c>
      <c r="H47" s="222">
        <f>SUM(H45:H46)</f>
        <v>0</v>
      </c>
      <c r="I47" s="222">
        <f>SUM(I45:I46)</f>
        <v>0</v>
      </c>
      <c r="J47" s="309">
        <v>0.01</v>
      </c>
      <c r="K47" s="310">
        <f>SUM(K45:K46)</f>
        <v>0</v>
      </c>
      <c r="L47" s="208">
        <f>SUM(L45:L46)</f>
        <v>0</v>
      </c>
      <c r="M47" s="311">
        <f>L47</f>
        <v>0</v>
      </c>
      <c r="N47" s="311"/>
      <c r="O47" s="311"/>
      <c r="P47" s="209">
        <f>+M47-L47</f>
        <v>0</v>
      </c>
      <c r="Q47" s="225"/>
      <c r="R47" s="180"/>
      <c r="S47" s="180"/>
    </row>
    <row r="48" spans="2:19" hidden="1">
      <c r="B48" s="1545"/>
      <c r="C48" s="1524" t="s">
        <v>13</v>
      </c>
      <c r="D48" s="151" t="s">
        <v>1</v>
      </c>
      <c r="E48" s="312" t="s">
        <v>1</v>
      </c>
      <c r="F48" s="313">
        <v>0</v>
      </c>
      <c r="G48" s="313">
        <v>0</v>
      </c>
      <c r="H48" s="313">
        <v>0</v>
      </c>
      <c r="I48" s="313">
        <f>+F48</f>
        <v>0</v>
      </c>
      <c r="J48" s="314">
        <f>'SUMMARY BRL'!J19</f>
        <v>2.3E-2</v>
      </c>
      <c r="K48" s="315">
        <f>F48+G48+L48</f>
        <v>0</v>
      </c>
      <c r="L48" s="316">
        <f>IF((-I48*J48)&gt;=0,0,(-I48*J48))</f>
        <v>0</v>
      </c>
      <c r="M48" s="191"/>
      <c r="N48" s="191"/>
      <c r="O48" s="191"/>
      <c r="P48" s="191"/>
      <c r="R48" s="180"/>
      <c r="S48" s="180"/>
    </row>
    <row r="49" spans="2:19" ht="13.5" hidden="1" thickBot="1">
      <c r="B49" s="1545"/>
      <c r="C49" s="1525"/>
      <c r="D49" s="151" t="s">
        <v>7</v>
      </c>
      <c r="E49" s="312" t="s">
        <v>34</v>
      </c>
      <c r="F49" s="313">
        <v>0</v>
      </c>
      <c r="G49" s="313">
        <v>0</v>
      </c>
      <c r="H49" s="313">
        <v>0</v>
      </c>
      <c r="I49" s="313">
        <f>+F49</f>
        <v>0</v>
      </c>
      <c r="J49" s="314">
        <f>'SUMMARY BRL'!J20</f>
        <v>2.3E-2</v>
      </c>
      <c r="K49" s="315">
        <f>F49+G49+L49</f>
        <v>0</v>
      </c>
      <c r="L49" s="316">
        <f>IF((-I49*J49)&gt;=0,0,(-I49*J49))</f>
        <v>0</v>
      </c>
      <c r="M49" s="191"/>
      <c r="N49" s="191"/>
      <c r="O49" s="191"/>
      <c r="P49" s="191"/>
      <c r="R49" s="180"/>
      <c r="S49" s="180"/>
    </row>
    <row r="50" spans="2:19" ht="13.5" hidden="1" thickBot="1">
      <c r="B50" s="1545"/>
      <c r="C50" s="1525"/>
      <c r="D50" s="152" t="s">
        <v>9</v>
      </c>
      <c r="E50" s="153"/>
      <c r="F50" s="238">
        <f>SUM(F48:F49)</f>
        <v>0</v>
      </c>
      <c r="G50" s="238">
        <f>SUM(G48:G49)</f>
        <v>0</v>
      </c>
      <c r="H50" s="238">
        <f>SUM(H48:H49)</f>
        <v>0</v>
      </c>
      <c r="I50" s="238">
        <f>SUM(I48:I49)</f>
        <v>0</v>
      </c>
      <c r="J50" s="154">
        <v>0.01</v>
      </c>
      <c r="K50" s="256">
        <f>SUM(K48:K49)</f>
        <v>0</v>
      </c>
      <c r="L50" s="318">
        <f>SUM(L48:L49)</f>
        <v>0</v>
      </c>
      <c r="M50" s="319">
        <f>L50</f>
        <v>0</v>
      </c>
      <c r="N50" s="319"/>
      <c r="O50" s="319"/>
      <c r="P50" s="319">
        <f>+M50-L50</f>
        <v>0</v>
      </c>
      <c r="Q50" s="225"/>
      <c r="R50" s="180"/>
      <c r="S50" s="180"/>
    </row>
    <row r="51" spans="2:19" ht="13.5" hidden="1" thickBot="1">
      <c r="B51" s="1546"/>
      <c r="C51" s="1558" t="s">
        <v>18</v>
      </c>
      <c r="D51" s="1559"/>
      <c r="E51" s="1560"/>
      <c r="F51" s="289">
        <f>+F50+F47</f>
        <v>0</v>
      </c>
      <c r="G51" s="289">
        <f>+G50+G47</f>
        <v>0</v>
      </c>
      <c r="H51" s="289">
        <f>+H50+H47</f>
        <v>0</v>
      </c>
      <c r="I51" s="289">
        <f>+I50+I47</f>
        <v>0</v>
      </c>
      <c r="J51" s="290">
        <f>IF(ISERROR(-L51/I51),0,IF(-L51/I51&lt;0,100%,IF(-L51/I51&gt;100%,100%,-L51/I51)))</f>
        <v>0</v>
      </c>
      <c r="K51" s="289">
        <f>F51+G51+L51</f>
        <v>0</v>
      </c>
      <c r="L51" s="320">
        <f>SUM(L50,L47)</f>
        <v>0</v>
      </c>
      <c r="M51" s="320">
        <f>SUM(M50,M47)</f>
        <v>0</v>
      </c>
      <c r="N51" s="292"/>
      <c r="O51" s="292"/>
      <c r="P51" s="291">
        <f>SUM(P50,P47)</f>
        <v>0</v>
      </c>
      <c r="Q51" s="225"/>
      <c r="S51" s="180"/>
    </row>
    <row r="52" spans="2:19">
      <c r="L52" s="225"/>
      <c r="Q52" s="191"/>
      <c r="S52" s="180"/>
    </row>
    <row r="53" spans="2:19" ht="13.5" thickBot="1">
      <c r="L53" s="225"/>
      <c r="O53" s="225"/>
    </row>
    <row r="54" spans="2:19" ht="13.5" thickBot="1">
      <c r="D54" s="1571" t="s">
        <v>23</v>
      </c>
      <c r="E54" s="1572"/>
      <c r="F54" s="969">
        <f>IF(F6+F17+F28+G6+G17+G28&lt;0,0,F6+F17+F28+G6+G17+G28)</f>
        <v>2160.0669599999997</v>
      </c>
      <c r="G54" s="969">
        <f>INPUT!Q12/1000</f>
        <v>2328.4397999999997</v>
      </c>
      <c r="H54" s="969">
        <f>(F54-G54)*1000</f>
        <v>-168372.84</v>
      </c>
    </row>
  </sheetData>
  <mergeCells count="28">
    <mergeCell ref="D54:E54"/>
    <mergeCell ref="E1:L1"/>
    <mergeCell ref="Q2:R2"/>
    <mergeCell ref="B3:B36"/>
    <mergeCell ref="C3:C13"/>
    <mergeCell ref="D3:D5"/>
    <mergeCell ref="D6:E6"/>
    <mergeCell ref="D7:D9"/>
    <mergeCell ref="D10:D11"/>
    <mergeCell ref="D12:E12"/>
    <mergeCell ref="C14:C24"/>
    <mergeCell ref="D34:E34"/>
    <mergeCell ref="B2:C2"/>
    <mergeCell ref="B45:B51"/>
    <mergeCell ref="C45:C47"/>
    <mergeCell ref="C48:C50"/>
    <mergeCell ref="D14:D16"/>
    <mergeCell ref="D17:E17"/>
    <mergeCell ref="D18:D20"/>
    <mergeCell ref="D21:D22"/>
    <mergeCell ref="D23:E23"/>
    <mergeCell ref="C36:E36"/>
    <mergeCell ref="C51:E51"/>
    <mergeCell ref="C25:C35"/>
    <mergeCell ref="D25:D27"/>
    <mergeCell ref="D28:E28"/>
    <mergeCell ref="D29:D31"/>
    <mergeCell ref="D32:D33"/>
  </mergeCells>
  <pageMargins left="0.2" right="0.23622047244094491" top="0.48" bottom="0.36" header="0.31496062992125984" footer="0.31496062992125984"/>
  <pageSetup scale="64" orientation="landscape" r:id="rId1"/>
  <ignoredErrors>
    <ignoredError sqref="I28 I47 K47:L47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T54"/>
  <sheetViews>
    <sheetView showGridLines="0" topLeftCell="A17" zoomScale="90" zoomScaleNormal="90" workbookViewId="0">
      <selection activeCell="M24" sqref="M24"/>
    </sheetView>
  </sheetViews>
  <sheetFormatPr defaultRowHeight="12.75" outlineLevelCol="1"/>
  <cols>
    <col min="1" max="1" width="3" style="30" customWidth="1"/>
    <col min="2" max="2" width="4.140625" style="30" customWidth="1"/>
    <col min="3" max="3" width="3.5703125" style="30" customWidth="1"/>
    <col min="4" max="4" width="9.7109375" style="30" bestFit="1" customWidth="1"/>
    <col min="5" max="5" width="25.42578125" style="30" bestFit="1" customWidth="1" outlineLevel="1"/>
    <col min="6" max="6" width="8.7109375" style="30" bestFit="1" customWidth="1" outlineLevel="1"/>
    <col min="7" max="7" width="8" style="30" bestFit="1" customWidth="1" outlineLevel="1"/>
    <col min="8" max="8" width="11" style="30" customWidth="1" outlineLevel="1"/>
    <col min="9" max="9" width="12.85546875" style="30" bestFit="1" customWidth="1" outlineLevel="1"/>
    <col min="10" max="10" width="16.140625" style="30" bestFit="1" customWidth="1" outlineLevel="1"/>
    <col min="11" max="11" width="7.85546875" style="30" bestFit="1" customWidth="1" outlineLevel="1"/>
    <col min="12" max="12" width="15" style="30" bestFit="1" customWidth="1" outlineLevel="1"/>
    <col min="13" max="13" width="14.85546875" style="30" bestFit="1" customWidth="1"/>
    <col min="14" max="15" width="14.85546875" style="30" customWidth="1"/>
    <col min="16" max="16" width="11.7109375" style="30" bestFit="1" customWidth="1"/>
    <col min="17" max="17" width="13.7109375" style="30" bestFit="1" customWidth="1"/>
    <col min="18" max="18" width="9.7109375" style="41" bestFit="1" customWidth="1"/>
    <col min="19" max="19" width="9" style="41" bestFit="1" customWidth="1"/>
    <col min="20" max="20" width="3.42578125" style="30" customWidth="1"/>
    <col min="21" max="16384" width="9.140625" style="30"/>
  </cols>
  <sheetData>
    <row r="1" spans="2:20" ht="21.75" thickBot="1">
      <c r="E1" s="1488" t="s">
        <v>154</v>
      </c>
      <c r="F1" s="1488"/>
      <c r="G1" s="1488"/>
      <c r="H1" s="1488"/>
      <c r="I1" s="1488"/>
      <c r="J1" s="1488"/>
      <c r="K1" s="1488"/>
      <c r="L1" s="1488"/>
      <c r="M1" s="32"/>
      <c r="N1" s="32"/>
      <c r="O1" s="32"/>
      <c r="P1" s="32"/>
      <c r="Q1" s="504"/>
      <c r="R1" s="33"/>
      <c r="S1" s="33"/>
      <c r="T1" s="32"/>
    </row>
    <row r="2" spans="2:20" ht="15.75" thickBot="1">
      <c r="B2" s="1577" t="s">
        <v>108</v>
      </c>
      <c r="C2" s="1578"/>
      <c r="D2" s="993" t="s">
        <v>21</v>
      </c>
      <c r="E2" s="993" t="s">
        <v>5</v>
      </c>
      <c r="F2" s="993" t="s">
        <v>12</v>
      </c>
      <c r="G2" s="344" t="s">
        <v>11</v>
      </c>
      <c r="H2" s="344" t="s">
        <v>3</v>
      </c>
      <c r="I2" s="344" t="s">
        <v>10</v>
      </c>
      <c r="J2" s="344" t="s">
        <v>0</v>
      </c>
      <c r="K2" s="994" t="s">
        <v>2</v>
      </c>
      <c r="L2" s="879" t="s">
        <v>14</v>
      </c>
      <c r="M2" s="879" t="s">
        <v>22</v>
      </c>
      <c r="N2" s="878" t="s">
        <v>164</v>
      </c>
      <c r="O2" s="879" t="s">
        <v>22</v>
      </c>
      <c r="P2" s="1010" t="s">
        <v>16</v>
      </c>
      <c r="Q2" s="1539"/>
      <c r="R2" s="1540"/>
      <c r="S2" s="33"/>
      <c r="T2" s="32"/>
    </row>
    <row r="3" spans="2:20" ht="13.5" hidden="1" thickBot="1">
      <c r="B3" s="1552" t="s">
        <v>20</v>
      </c>
      <c r="C3" s="1532" t="s">
        <v>8</v>
      </c>
      <c r="D3" s="1390" t="s">
        <v>6</v>
      </c>
      <c r="E3" s="676" t="s">
        <v>37</v>
      </c>
      <c r="F3" s="995"/>
      <c r="G3" s="779"/>
      <c r="H3" s="679">
        <v>0</v>
      </c>
      <c r="I3" s="679">
        <f t="shared" ref="I3:I11" si="0">F3+G3+H3</f>
        <v>0</v>
      </c>
      <c r="J3" s="885">
        <f>'SUMMARY BRL'!J6</f>
        <v>1</v>
      </c>
      <c r="K3" s="707">
        <f t="shared" ref="K3:K11" si="1">F3+G3+L3</f>
        <v>0</v>
      </c>
      <c r="L3" s="683">
        <f t="shared" ref="L3:L11" si="2">IF((-I3*J3)&gt;=0,0,(-I3*J3))</f>
        <v>0</v>
      </c>
      <c r="M3" s="684"/>
      <c r="N3" s="684"/>
      <c r="O3" s="684"/>
      <c r="P3" s="684"/>
      <c r="Q3" s="32"/>
      <c r="R3" s="33"/>
    </row>
    <row r="4" spans="2:20" ht="13.5" hidden="1" thickBot="1">
      <c r="B4" s="1553"/>
      <c r="C4" s="1533"/>
      <c r="D4" s="1391"/>
      <c r="E4" s="685" t="s">
        <v>38</v>
      </c>
      <c r="F4" s="996"/>
      <c r="G4" s="782"/>
      <c r="H4" s="688">
        <v>0</v>
      </c>
      <c r="I4" s="688">
        <f t="shared" si="0"/>
        <v>0</v>
      </c>
      <c r="J4" s="892">
        <f>'SUMMARY BRL'!J7</f>
        <v>0.9</v>
      </c>
      <c r="K4" s="711">
        <f t="shared" si="1"/>
        <v>0</v>
      </c>
      <c r="L4" s="692">
        <f t="shared" si="2"/>
        <v>0</v>
      </c>
      <c r="M4" s="693"/>
      <c r="N4" s="693"/>
      <c r="O4" s="693"/>
      <c r="P4" s="693"/>
      <c r="Q4" s="32"/>
      <c r="R4" s="33"/>
    </row>
    <row r="5" spans="2:20" ht="13.5" hidden="1" thickBot="1">
      <c r="B5" s="1553"/>
      <c r="C5" s="1533"/>
      <c r="D5" s="1535"/>
      <c r="E5" s="685" t="s">
        <v>36</v>
      </c>
      <c r="F5" s="997"/>
      <c r="G5" s="782"/>
      <c r="H5" s="688">
        <v>0</v>
      </c>
      <c r="I5" s="688">
        <f t="shared" si="0"/>
        <v>0</v>
      </c>
      <c r="J5" s="897">
        <f>'SUMMARY BRL'!J8</f>
        <v>0.9</v>
      </c>
      <c r="K5" s="711">
        <f t="shared" si="1"/>
        <v>0</v>
      </c>
      <c r="L5" s="692">
        <f t="shared" si="2"/>
        <v>0</v>
      </c>
      <c r="M5" s="693"/>
      <c r="N5" s="693"/>
      <c r="O5" s="693"/>
      <c r="P5" s="693"/>
      <c r="S5" s="33"/>
      <c r="T5" s="32"/>
    </row>
    <row r="6" spans="2:20" ht="13.5" hidden="1" thickBot="1">
      <c r="B6" s="1553"/>
      <c r="C6" s="1533"/>
      <c r="D6" s="1470" t="s">
        <v>23</v>
      </c>
      <c r="E6" s="1579"/>
      <c r="F6" s="998">
        <f>SUM(F3:F5)</f>
        <v>0</v>
      </c>
      <c r="G6" s="999">
        <f>SUM(G3:G5)</f>
        <v>0</v>
      </c>
      <c r="H6" s="1000"/>
      <c r="I6" s="1000">
        <f>SUM(I3:I5)</f>
        <v>0</v>
      </c>
      <c r="J6" s="702">
        <f>IF(ISERROR(-L6/I6),0,IF(-L6/I6&lt;0,100%,IF(-L6/I6&gt;100%,100%,-L6/I6)))</f>
        <v>0</v>
      </c>
      <c r="K6" s="701">
        <f>SUM(K3:K5)</f>
        <v>0</v>
      </c>
      <c r="L6" s="1001">
        <f>SUM(L3:L5)</f>
        <v>0</v>
      </c>
      <c r="M6" s="704"/>
      <c r="N6" s="1002"/>
      <c r="O6" s="1002"/>
      <c r="P6" s="1003">
        <f>-L6+M6</f>
        <v>0</v>
      </c>
      <c r="S6" s="33"/>
      <c r="T6" s="32"/>
    </row>
    <row r="7" spans="2:20" ht="13.5" hidden="1" thickBot="1">
      <c r="B7" s="1553"/>
      <c r="C7" s="1533"/>
      <c r="D7" s="1390" t="s">
        <v>4</v>
      </c>
      <c r="E7" s="705" t="s">
        <v>39</v>
      </c>
      <c r="F7" s="1004"/>
      <c r="G7" s="1004"/>
      <c r="H7" s="1004"/>
      <c r="I7" s="1004">
        <f>F7+G7+H7</f>
        <v>0</v>
      </c>
      <c r="J7" s="885">
        <f>'SUMMARY BRL'!J10</f>
        <v>0.6</v>
      </c>
      <c r="K7" s="707">
        <f t="shared" si="1"/>
        <v>0</v>
      </c>
      <c r="L7" s="683">
        <f t="shared" si="2"/>
        <v>0</v>
      </c>
      <c r="M7" s="693"/>
      <c r="N7" s="693"/>
      <c r="O7" s="693"/>
      <c r="P7" s="693"/>
    </row>
    <row r="8" spans="2:20" ht="13.5" hidden="1" thickBot="1">
      <c r="B8" s="1553"/>
      <c r="C8" s="1533"/>
      <c r="D8" s="1391"/>
      <c r="E8" s="709" t="s">
        <v>33</v>
      </c>
      <c r="F8" s="781"/>
      <c r="G8" s="781"/>
      <c r="H8" s="781"/>
      <c r="I8" s="781">
        <f>F8+G8+H8</f>
        <v>0</v>
      </c>
      <c r="J8" s="892">
        <f>'SUMMARY BRL'!J11</f>
        <v>0.6</v>
      </c>
      <c r="K8" s="711">
        <f t="shared" si="1"/>
        <v>0</v>
      </c>
      <c r="L8" s="692">
        <f t="shared" si="2"/>
        <v>0</v>
      </c>
      <c r="M8" s="693"/>
      <c r="N8" s="693"/>
      <c r="O8" s="693"/>
      <c r="P8" s="693"/>
    </row>
    <row r="9" spans="2:20" ht="13.5" hidden="1" thickBot="1">
      <c r="B9" s="1553"/>
      <c r="C9" s="1533"/>
      <c r="D9" s="1472"/>
      <c r="E9" s="712" t="s">
        <v>1</v>
      </c>
      <c r="F9" s="785"/>
      <c r="G9" s="785"/>
      <c r="H9" s="785"/>
      <c r="I9" s="785">
        <f t="shared" si="0"/>
        <v>0</v>
      </c>
      <c r="J9" s="897">
        <f>'SUMMARY BRL'!J12</f>
        <v>0.6</v>
      </c>
      <c r="K9" s="715">
        <f t="shared" si="1"/>
        <v>0</v>
      </c>
      <c r="L9" s="716">
        <f t="shared" si="2"/>
        <v>0</v>
      </c>
      <c r="M9" s="693"/>
      <c r="N9" s="693"/>
      <c r="O9" s="693"/>
      <c r="P9" s="693"/>
    </row>
    <row r="10" spans="2:20" ht="13.5" hidden="1" thickBot="1">
      <c r="B10" s="1553"/>
      <c r="C10" s="1533"/>
      <c r="D10" s="1473" t="s">
        <v>40</v>
      </c>
      <c r="E10" s="685" t="s">
        <v>33</v>
      </c>
      <c r="F10" s="1004"/>
      <c r="G10" s="1004"/>
      <c r="H10" s="784"/>
      <c r="I10" s="688">
        <f t="shared" si="0"/>
        <v>0</v>
      </c>
      <c r="J10" s="717" t="str">
        <f>'SUMMARY BRL'!J13</f>
        <v>1,9%/5,1%</v>
      </c>
      <c r="K10" s="711" t="e">
        <f t="shared" si="1"/>
        <v>#VALUE!</v>
      </c>
      <c r="L10" s="692" t="e">
        <f t="shared" si="2"/>
        <v>#VALUE!</v>
      </c>
      <c r="M10" s="693"/>
      <c r="N10" s="693"/>
      <c r="O10" s="693"/>
      <c r="P10" s="693"/>
    </row>
    <row r="11" spans="2:20" ht="13.5" hidden="1" thickBot="1">
      <c r="B11" s="1553"/>
      <c r="C11" s="1533"/>
      <c r="D11" s="1474"/>
      <c r="E11" s="685" t="s">
        <v>41</v>
      </c>
      <c r="F11" s="694"/>
      <c r="G11" s="694"/>
      <c r="H11" s="784"/>
      <c r="I11" s="688">
        <f t="shared" si="0"/>
        <v>0</v>
      </c>
      <c r="J11" s="718" t="str">
        <f>'SUMMARY BRL'!J14</f>
        <v>1,9%/5,1%</v>
      </c>
      <c r="K11" s="711" t="e">
        <f t="shared" si="1"/>
        <v>#VALUE!</v>
      </c>
      <c r="L11" s="692" t="e">
        <f t="shared" si="2"/>
        <v>#VALUE!</v>
      </c>
      <c r="M11" s="693"/>
      <c r="N11" s="693"/>
      <c r="O11" s="693"/>
      <c r="P11" s="693"/>
      <c r="R11" s="175"/>
    </row>
    <row r="12" spans="2:20" ht="13.5" hidden="1" thickBot="1">
      <c r="B12" s="1553"/>
      <c r="C12" s="1533"/>
      <c r="D12" s="1470" t="s">
        <v>24</v>
      </c>
      <c r="E12" s="1579"/>
      <c r="F12" s="1005">
        <f>SUM(F7:F11)</f>
        <v>0</v>
      </c>
      <c r="G12" s="1005">
        <f>SUM(G7:G11)</f>
        <v>0</v>
      </c>
      <c r="H12" s="698">
        <f>SUM(H7:H11)</f>
        <v>0</v>
      </c>
      <c r="I12" s="698">
        <f>SUM(I7:I11)</f>
        <v>0</v>
      </c>
      <c r="J12" s="702">
        <f>IF(ISERROR(-L12/I12),0,IF(-L12/I12&lt;0,100%,IF(-L12/I12&gt;100%,100%,-L12/I12)))</f>
        <v>0</v>
      </c>
      <c r="K12" s="698" t="e">
        <f>SUM(K7:K11)</f>
        <v>#VALUE!</v>
      </c>
      <c r="L12" s="698" t="e">
        <f>SUM(L7:L11)</f>
        <v>#VALUE!</v>
      </c>
      <c r="M12" s="704"/>
      <c r="N12" s="1002"/>
      <c r="O12" s="1002"/>
      <c r="P12" s="1003" t="e">
        <f>-L12+M12</f>
        <v>#VALUE!</v>
      </c>
      <c r="R12" s="175"/>
    </row>
    <row r="13" spans="2:20" ht="13.5" hidden="1" thickBot="1">
      <c r="B13" s="1553"/>
      <c r="C13" s="1534"/>
      <c r="D13" s="913" t="s">
        <v>9</v>
      </c>
      <c r="E13" s="914"/>
      <c r="F13" s="1006">
        <f>F12+F6</f>
        <v>0</v>
      </c>
      <c r="G13" s="1006">
        <f>G12+G6</f>
        <v>0</v>
      </c>
      <c r="H13" s="1006">
        <f>H12+H6</f>
        <v>0</v>
      </c>
      <c r="I13" s="1006">
        <f>I12+I6</f>
        <v>0</v>
      </c>
      <c r="J13" s="915">
        <f>IF(ISERROR(-L13/I13),0,IF(-L13/I13&lt;0,100%,IF(-L13/I13&gt;100%,100%,-L13/I13)))</f>
        <v>0</v>
      </c>
      <c r="K13" s="1006" t="e">
        <f>K12+K6</f>
        <v>#VALUE!</v>
      </c>
      <c r="L13" s="1006" t="e">
        <f>L12+L6</f>
        <v>#VALUE!</v>
      </c>
      <c r="M13" s="1007">
        <f>SUM(M12,M6)</f>
        <v>0</v>
      </c>
      <c r="N13" s="1007"/>
      <c r="O13" s="1007"/>
      <c r="P13" s="1007" t="e">
        <f>SUM(P12,P6)</f>
        <v>#VALUE!</v>
      </c>
      <c r="Q13" s="31"/>
    </row>
    <row r="14" spans="2:20">
      <c r="B14" s="1553"/>
      <c r="C14" s="1552" t="s">
        <v>13</v>
      </c>
      <c r="D14" s="1390" t="s">
        <v>6</v>
      </c>
      <c r="E14" s="676" t="s">
        <v>37</v>
      </c>
      <c r="F14" s="778">
        <f>INPUT!B87</f>
        <v>234.02475000000001</v>
      </c>
      <c r="G14" s="678">
        <v>0</v>
      </c>
      <c r="H14" s="679">
        <v>0</v>
      </c>
      <c r="I14" s="680">
        <f>F14+G14+H14</f>
        <v>234.02475000000001</v>
      </c>
      <c r="J14" s="681">
        <f>'SUMMARY BRL'!J6</f>
        <v>1</v>
      </c>
      <c r="K14" s="682">
        <f>IF((F14+G14+L14)&lt;0,0,(F14+G14+L14))</f>
        <v>0</v>
      </c>
      <c r="L14" s="683">
        <f>IF((-I14*J14)&gt;=0,0,(-I14*J14))</f>
        <v>-234.02475000000001</v>
      </c>
      <c r="M14" s="684"/>
      <c r="N14" s="684"/>
      <c r="O14" s="684"/>
      <c r="P14" s="684"/>
    </row>
    <row r="15" spans="2:20">
      <c r="B15" s="1553"/>
      <c r="C15" s="1553"/>
      <c r="D15" s="1391"/>
      <c r="E15" s="685" t="s">
        <v>38</v>
      </c>
      <c r="F15" s="781">
        <v>0</v>
      </c>
      <c r="G15" s="687">
        <v>0</v>
      </c>
      <c r="H15" s="688">
        <v>0</v>
      </c>
      <c r="I15" s="689">
        <f>F15+G15+H15</f>
        <v>0</v>
      </c>
      <c r="J15" s="690">
        <v>0.9</v>
      </c>
      <c r="K15" s="691">
        <f>IF((F15+G15+L15)&lt;0,0,(F15+G15+L15))</f>
        <v>0</v>
      </c>
      <c r="L15" s="692">
        <f>IF((-I15*J15)&gt;=0,0,(-I15*J15))</f>
        <v>0</v>
      </c>
      <c r="M15" s="693"/>
      <c r="N15" s="693"/>
      <c r="O15" s="693"/>
      <c r="P15" s="693"/>
    </row>
    <row r="16" spans="2:20" ht="13.5" thickBot="1">
      <c r="B16" s="1553"/>
      <c r="C16" s="1553"/>
      <c r="D16" s="1474"/>
      <c r="E16" s="685" t="s">
        <v>36</v>
      </c>
      <c r="F16" s="781">
        <v>0</v>
      </c>
      <c r="G16" s="687">
        <v>0</v>
      </c>
      <c r="H16" s="688">
        <v>0</v>
      </c>
      <c r="I16" s="695">
        <f>F16+G16+H16</f>
        <v>0</v>
      </c>
      <c r="J16" s="696">
        <v>0.9</v>
      </c>
      <c r="K16" s="693">
        <f>IF((F16+G16+L16)&lt;0,0,(F16+G16+L16))</f>
        <v>0</v>
      </c>
      <c r="L16" s="692">
        <f>IF((-I16*J16)&gt;=0,0,(-I16*J16))</f>
        <v>0</v>
      </c>
      <c r="M16" s="697"/>
      <c r="N16" s="697"/>
      <c r="O16" s="697"/>
      <c r="P16" s="693"/>
    </row>
    <row r="17" spans="2:17" ht="13.5" thickBot="1">
      <c r="B17" s="1553"/>
      <c r="C17" s="1553"/>
      <c r="D17" s="1470" t="s">
        <v>23</v>
      </c>
      <c r="E17" s="1471"/>
      <c r="F17" s="698">
        <f>SUM(F14:F16)</f>
        <v>234.02475000000001</v>
      </c>
      <c r="G17" s="699">
        <f>SUM(G14:G16)</f>
        <v>0</v>
      </c>
      <c r="H17" s="700"/>
      <c r="I17" s="701">
        <f>SUM(I14:I16)</f>
        <v>234.02475000000001</v>
      </c>
      <c r="J17" s="702">
        <f>IF(ISERROR(-L17/I17),0,IF(-L17/I17&lt;0,100%,IF(-L17/I17&gt;100%,100%,-L17/I17)))</f>
        <v>1</v>
      </c>
      <c r="K17" s="701">
        <f>SUM(K14:K16)</f>
        <v>0</v>
      </c>
      <c r="L17" s="703">
        <f>SUM(L14:L16)</f>
        <v>-234.02475000000001</v>
      </c>
      <c r="M17" s="704">
        <v>0</v>
      </c>
      <c r="N17" s="704"/>
      <c r="O17" s="704">
        <f>N17+M17</f>
        <v>0</v>
      </c>
      <c r="P17" s="774">
        <f>-L17+M17</f>
        <v>234.02475000000001</v>
      </c>
      <c r="Q17" s="179"/>
    </row>
    <row r="18" spans="2:17">
      <c r="B18" s="1553"/>
      <c r="C18" s="1553"/>
      <c r="D18" s="1390" t="s">
        <v>4</v>
      </c>
      <c r="E18" s="705" t="s">
        <v>39</v>
      </c>
      <c r="F18" s="778"/>
      <c r="G18" s="679">
        <v>0</v>
      </c>
      <c r="H18" s="679">
        <v>0</v>
      </c>
      <c r="I18" s="679">
        <f>F18+G18+H18</f>
        <v>0</v>
      </c>
      <c r="J18" s="681">
        <f>INPUT!T6</f>
        <v>0.6</v>
      </c>
      <c r="K18" s="707">
        <f>IF((F18+G18+L18)&lt;0,0,(F18+G18+L18))</f>
        <v>0</v>
      </c>
      <c r="L18" s="683">
        <f>IF((-I18*J18)&gt;=0,0,(-I18*J18))</f>
        <v>0</v>
      </c>
      <c r="M18" s="693"/>
      <c r="N18" s="693"/>
      <c r="O18" s="693"/>
      <c r="P18" s="693"/>
    </row>
    <row r="19" spans="2:17">
      <c r="B19" s="1553"/>
      <c r="C19" s="1553"/>
      <c r="D19" s="1391"/>
      <c r="E19" s="709" t="s">
        <v>33</v>
      </c>
      <c r="F19" s="781">
        <f>INPUT!B88</f>
        <v>59.275740000000006</v>
      </c>
      <c r="G19" s="688">
        <v>0</v>
      </c>
      <c r="H19" s="688">
        <v>0</v>
      </c>
      <c r="I19" s="688">
        <f>F19+G19+H19</f>
        <v>59.275740000000006</v>
      </c>
      <c r="J19" s="690">
        <f>INPUT!T6</f>
        <v>0.6</v>
      </c>
      <c r="K19" s="711">
        <f>IF((F19+G19+L19)&lt;0,0,(F19+G19+L19))</f>
        <v>23.710296000000007</v>
      </c>
      <c r="L19" s="692">
        <f>IF((-I19*J19)&gt;=0,0,(-I19*J19))</f>
        <v>-35.565443999999999</v>
      </c>
      <c r="M19" s="693"/>
      <c r="N19" s="693"/>
      <c r="O19" s="693"/>
      <c r="P19" s="693"/>
    </row>
    <row r="20" spans="2:17" ht="13.5" thickBot="1">
      <c r="B20" s="1553"/>
      <c r="C20" s="1553"/>
      <c r="D20" s="1472"/>
      <c r="E20" s="712" t="s">
        <v>1</v>
      </c>
      <c r="F20" s="785"/>
      <c r="G20" s="713">
        <v>0</v>
      </c>
      <c r="H20" s="713">
        <v>0</v>
      </c>
      <c r="I20" s="713">
        <f>F20+G20+H20</f>
        <v>0</v>
      </c>
      <c r="J20" s="696">
        <f>INPUT!T6</f>
        <v>0.6</v>
      </c>
      <c r="K20" s="715">
        <f>IF((F20+G20+L20)&lt;0,0,(F20+G20+L20))</f>
        <v>0</v>
      </c>
      <c r="L20" s="716">
        <f>IF((-I20*J20)&gt;=0,0,(-I20*J20))</f>
        <v>0</v>
      </c>
      <c r="M20" s="693"/>
      <c r="N20" s="693"/>
      <c r="O20" s="693"/>
      <c r="P20" s="693"/>
    </row>
    <row r="21" spans="2:17">
      <c r="B21" s="1553"/>
      <c r="C21" s="1553"/>
      <c r="D21" s="1473" t="s">
        <v>40</v>
      </c>
      <c r="E21" s="685" t="s">
        <v>33</v>
      </c>
      <c r="F21" s="781">
        <v>0</v>
      </c>
      <c r="G21" s="688">
        <v>0</v>
      </c>
      <c r="H21" s="688">
        <v>0</v>
      </c>
      <c r="I21" s="688">
        <f>F21+G21+H21</f>
        <v>0</v>
      </c>
      <c r="J21" s="1218">
        <f>INPUT!T5</f>
        <v>1.9E-2</v>
      </c>
      <c r="K21" s="711">
        <f>IF((F21+G21+L21)&lt;0,0,(F21+G21+L21))</f>
        <v>0</v>
      </c>
      <c r="L21" s="692">
        <f>IF((-I21*J21)&gt;=0,0,(-I21*J21))</f>
        <v>0</v>
      </c>
      <c r="M21" s="693"/>
      <c r="N21" s="693"/>
      <c r="O21" s="693"/>
      <c r="P21" s="693"/>
    </row>
    <row r="22" spans="2:17" ht="13.5" thickBot="1">
      <c r="B22" s="1553"/>
      <c r="C22" s="1553"/>
      <c r="D22" s="1474"/>
      <c r="E22" s="685" t="s">
        <v>41</v>
      </c>
      <c r="F22" s="781">
        <f>INPUT!B88</f>
        <v>59.275740000000006</v>
      </c>
      <c r="G22" s="688">
        <v>0</v>
      </c>
      <c r="H22" s="688">
        <v>0</v>
      </c>
      <c r="I22" s="688">
        <f>F22+G22+H22</f>
        <v>59.275740000000006</v>
      </c>
      <c r="J22" s="1218">
        <f>INPUT!T5</f>
        <v>1.9E-2</v>
      </c>
      <c r="K22" s="711">
        <f>IF((F22+G22+L22)&lt;0,0,(F22+G22+L22))</f>
        <v>58.149500940000003</v>
      </c>
      <c r="L22" s="692">
        <f>IF((-I22*J22)&gt;=0,0,(-I22*J22))</f>
        <v>-1.1262390600000001</v>
      </c>
      <c r="M22" s="697"/>
      <c r="N22" s="697"/>
      <c r="O22" s="697"/>
      <c r="P22" s="693"/>
    </row>
    <row r="23" spans="2:17" ht="13.5" thickBot="1">
      <c r="B23" s="1553"/>
      <c r="C23" s="1553"/>
      <c r="D23" s="1470" t="s">
        <v>24</v>
      </c>
      <c r="E23" s="1471"/>
      <c r="F23" s="698">
        <f>SUM(F18:F22)</f>
        <v>118.55148000000001</v>
      </c>
      <c r="G23" s="698">
        <f>SUM(G18:G22)</f>
        <v>0</v>
      </c>
      <c r="H23" s="698">
        <f>SUM(H18:H22)</f>
        <v>0</v>
      </c>
      <c r="I23" s="698">
        <f>SUM(I18:I22)</f>
        <v>118.55148000000001</v>
      </c>
      <c r="J23" s="702">
        <f>IF(ISERROR(-L23/I23),0,IF(-L23/I23&lt;0,100%,IF(-L23/I23&gt;100%,100%,-L23/I23)))</f>
        <v>0.3095</v>
      </c>
      <c r="K23" s="698">
        <f>SUM(K18:K22)</f>
        <v>81.85979694000001</v>
      </c>
      <c r="L23" s="719">
        <f>SUM(L18:L22)</f>
        <v>-36.691683060000003</v>
      </c>
      <c r="M23" s="704">
        <v>0</v>
      </c>
      <c r="N23" s="704"/>
      <c r="O23" s="704"/>
      <c r="P23" s="774">
        <f>-L23+M23</f>
        <v>36.691683060000003</v>
      </c>
      <c r="Q23" s="179"/>
    </row>
    <row r="24" spans="2:17" ht="13.5" thickBot="1">
      <c r="B24" s="1553"/>
      <c r="C24" s="1554"/>
      <c r="D24" s="749" t="s">
        <v>9</v>
      </c>
      <c r="E24" s="750"/>
      <c r="F24" s="751">
        <f>F17+F23</f>
        <v>352.57623000000001</v>
      </c>
      <c r="G24" s="751">
        <f>G17+G23</f>
        <v>0</v>
      </c>
      <c r="H24" s="751">
        <f>H17+H23</f>
        <v>0</v>
      </c>
      <c r="I24" s="751">
        <f>I17+I23</f>
        <v>352.57623000000001</v>
      </c>
      <c r="J24" s="752">
        <f>IF(ISERROR(-L24/I24),0,IF(-L24/I24&lt;0,100%,IF(-L24/I24&gt;100%,100%,-L24/I24)))</f>
        <v>0.7678238350327814</v>
      </c>
      <c r="K24" s="751">
        <f>K17+K23</f>
        <v>81.85979694000001</v>
      </c>
      <c r="L24" s="751">
        <f>L17+L23</f>
        <v>-270.71643305999999</v>
      </c>
      <c r="M24" s="753">
        <f>SUM(M17,M23)</f>
        <v>0</v>
      </c>
      <c r="N24" s="753"/>
      <c r="O24" s="753"/>
      <c r="P24" s="753">
        <f>SUM(P17,P23)</f>
        <v>270.71643305999999</v>
      </c>
      <c r="Q24" s="31"/>
    </row>
    <row r="25" spans="2:17" ht="13.5" hidden="1" thickBot="1">
      <c r="B25" s="1553"/>
      <c r="C25" s="1532" t="s">
        <v>15</v>
      </c>
      <c r="D25" s="1390" t="s">
        <v>6</v>
      </c>
      <c r="E25" s="676" t="s">
        <v>37</v>
      </c>
      <c r="F25" s="778"/>
      <c r="G25" s="779"/>
      <c r="H25" s="679"/>
      <c r="I25" s="679">
        <f>F25+G25+H25</f>
        <v>0</v>
      </c>
      <c r="J25" s="780">
        <f>'SUMMARY BRL'!J6</f>
        <v>1</v>
      </c>
      <c r="K25" s="707">
        <f>F25+G25+L25</f>
        <v>0</v>
      </c>
      <c r="L25" s="683">
        <f>IF((-I25*J25)&gt;=0,0,(-I25*J25))</f>
        <v>0</v>
      </c>
      <c r="M25" s="684"/>
      <c r="N25" s="684"/>
      <c r="O25" s="684"/>
      <c r="P25" s="684"/>
    </row>
    <row r="26" spans="2:17" ht="13.5" hidden="1" thickBot="1">
      <c r="B26" s="1553"/>
      <c r="C26" s="1533"/>
      <c r="D26" s="1391"/>
      <c r="E26" s="685" t="s">
        <v>38</v>
      </c>
      <c r="F26" s="781"/>
      <c r="G26" s="782"/>
      <c r="H26" s="688"/>
      <c r="I26" s="688">
        <f>F26+G26+H26</f>
        <v>0</v>
      </c>
      <c r="J26" s="717">
        <f>'SUMMARY BRL'!J7</f>
        <v>0.9</v>
      </c>
      <c r="K26" s="711">
        <f>F26+G26+L26</f>
        <v>0</v>
      </c>
      <c r="L26" s="692">
        <f>IF((-I26*J26)&gt;=0,0,(-I26*J26))</f>
        <v>0</v>
      </c>
      <c r="M26" s="693"/>
      <c r="N26" s="693"/>
      <c r="O26" s="693"/>
      <c r="P26" s="693"/>
    </row>
    <row r="27" spans="2:17" ht="13.5" hidden="1" thickBot="1">
      <c r="B27" s="1553"/>
      <c r="C27" s="1533"/>
      <c r="D27" s="1535"/>
      <c r="E27" s="685" t="s">
        <v>36</v>
      </c>
      <c r="F27" s="781"/>
      <c r="G27" s="782"/>
      <c r="H27" s="688"/>
      <c r="I27" s="688">
        <f>F27+G27+H27</f>
        <v>0</v>
      </c>
      <c r="J27" s="717">
        <f>'SUMMARY BRL'!J8</f>
        <v>0.9</v>
      </c>
      <c r="K27" s="711">
        <f>F27+G27+L27</f>
        <v>0</v>
      </c>
      <c r="L27" s="692">
        <f>IF((-I27*J27)&gt;=0,0,(-I27*J27))</f>
        <v>0</v>
      </c>
      <c r="M27" s="693"/>
      <c r="N27" s="693"/>
      <c r="O27" s="693"/>
      <c r="P27" s="693"/>
    </row>
    <row r="28" spans="2:17" ht="13.5" hidden="1" thickBot="1">
      <c r="B28" s="1553"/>
      <c r="C28" s="1533"/>
      <c r="D28" s="1536" t="s">
        <v>23</v>
      </c>
      <c r="E28" s="1537"/>
      <c r="F28" s="698">
        <f>SUM(F25:F27)</f>
        <v>0</v>
      </c>
      <c r="G28" s="699">
        <f>SUM(G25:G27)</f>
        <v>0</v>
      </c>
      <c r="H28" s="700"/>
      <c r="I28" s="701">
        <f>SUM(I25:I27)</f>
        <v>0</v>
      </c>
      <c r="J28" s="702">
        <f>IF(ISERROR(-L28/I28),0,IF(-L28/I28&lt;0,100%,IF(-L28/I28&gt;100%,100%,-L28/I28)))</f>
        <v>0</v>
      </c>
      <c r="K28" s="701">
        <f>SUM(K25:K27)</f>
        <v>0</v>
      </c>
      <c r="L28" s="703">
        <f>SUM(L25:L27)</f>
        <v>0</v>
      </c>
      <c r="M28" s="774"/>
      <c r="N28" s="774"/>
      <c r="O28" s="774"/>
      <c r="P28" s="774">
        <f>-L28+M28</f>
        <v>0</v>
      </c>
    </row>
    <row r="29" spans="2:17" ht="13.5" hidden="1" thickBot="1">
      <c r="B29" s="1553"/>
      <c r="C29" s="1533"/>
      <c r="D29" s="1390" t="s">
        <v>4</v>
      </c>
      <c r="E29" s="705" t="s">
        <v>39</v>
      </c>
      <c r="F29" s="778"/>
      <c r="G29" s="783"/>
      <c r="H29" s="679"/>
      <c r="I29" s="679">
        <f>F29+G29+H29</f>
        <v>0</v>
      </c>
      <c r="J29" s="706">
        <f>'SUMMARY BRL'!J10</f>
        <v>0.6</v>
      </c>
      <c r="K29" s="707">
        <f>F29+G29+L29</f>
        <v>0</v>
      </c>
      <c r="L29" s="683">
        <f>IF((-I29*J29)&gt;=0,0,(-I29*J29))</f>
        <v>0</v>
      </c>
      <c r="M29" s="693"/>
      <c r="N29" s="693"/>
      <c r="O29" s="693"/>
      <c r="P29" s="693"/>
    </row>
    <row r="30" spans="2:17" ht="13.5" hidden="1" thickBot="1">
      <c r="B30" s="1553"/>
      <c r="C30" s="1533"/>
      <c r="D30" s="1391"/>
      <c r="E30" s="709" t="s">
        <v>33</v>
      </c>
      <c r="F30" s="781"/>
      <c r="G30" s="784"/>
      <c r="H30" s="688"/>
      <c r="I30" s="688">
        <f>F30+G30+H30</f>
        <v>0</v>
      </c>
      <c r="J30" s="710">
        <f>'SUMMARY BRL'!J11</f>
        <v>0.6</v>
      </c>
      <c r="K30" s="711">
        <f>F30+G30+L30</f>
        <v>0</v>
      </c>
      <c r="L30" s="692">
        <f>IF((-I30*J30)&gt;=0,0,(-I30*J30))</f>
        <v>0</v>
      </c>
      <c r="M30" s="693"/>
      <c r="N30" s="693"/>
      <c r="O30" s="693"/>
      <c r="P30" s="693"/>
    </row>
    <row r="31" spans="2:17" ht="13.5" hidden="1" thickBot="1">
      <c r="B31" s="1553"/>
      <c r="C31" s="1533"/>
      <c r="D31" s="1472"/>
      <c r="E31" s="712" t="s">
        <v>1</v>
      </c>
      <c r="F31" s="785"/>
      <c r="G31" s="786"/>
      <c r="H31" s="713"/>
      <c r="I31" s="713">
        <f>F31+G31+H31</f>
        <v>0</v>
      </c>
      <c r="J31" s="714">
        <f>'SUMMARY BRL'!J12</f>
        <v>0.6</v>
      </c>
      <c r="K31" s="715">
        <f>F31+G31+L31</f>
        <v>0</v>
      </c>
      <c r="L31" s="716">
        <f>IF((-I31*J31)&gt;=0,0,(-I31*J31))</f>
        <v>0</v>
      </c>
      <c r="M31" s="693"/>
      <c r="N31" s="693"/>
      <c r="O31" s="693"/>
      <c r="P31" s="693"/>
    </row>
    <row r="32" spans="2:17" ht="13.5" hidden="1" thickBot="1">
      <c r="B32" s="1553"/>
      <c r="C32" s="1533"/>
      <c r="D32" s="1473" t="s">
        <v>40</v>
      </c>
      <c r="E32" s="685" t="s">
        <v>33</v>
      </c>
      <c r="F32" s="781"/>
      <c r="G32" s="784"/>
      <c r="H32" s="688"/>
      <c r="I32" s="688">
        <f>F32+G32+H32</f>
        <v>0</v>
      </c>
      <c r="J32" s="717" t="str">
        <f>'SUMMARY BRL'!J13</f>
        <v>1,9%/5,1%</v>
      </c>
      <c r="K32" s="711" t="e">
        <f>F32+G32+L32</f>
        <v>#VALUE!</v>
      </c>
      <c r="L32" s="692" t="e">
        <f>IF((-I32*J32)&gt;=0,0,(-I32*J32))</f>
        <v>#VALUE!</v>
      </c>
      <c r="M32" s="693"/>
      <c r="N32" s="693"/>
      <c r="O32" s="693"/>
      <c r="P32" s="693"/>
    </row>
    <row r="33" spans="2:19" ht="13.5" hidden="1" thickBot="1">
      <c r="B33" s="1553"/>
      <c r="C33" s="1533"/>
      <c r="D33" s="1474"/>
      <c r="E33" s="685" t="s">
        <v>41</v>
      </c>
      <c r="F33" s="781"/>
      <c r="G33" s="784"/>
      <c r="H33" s="688"/>
      <c r="I33" s="688">
        <f>F33+G33+H33</f>
        <v>0</v>
      </c>
      <c r="J33" s="718" t="str">
        <f>'SUMMARY BRL'!J14</f>
        <v>1,9%/5,1%</v>
      </c>
      <c r="K33" s="711" t="e">
        <f>F33+G33+L33</f>
        <v>#VALUE!</v>
      </c>
      <c r="L33" s="692" t="e">
        <f>IF((-I33*J33)&gt;=0,0,(-I33*J33))</f>
        <v>#VALUE!</v>
      </c>
      <c r="M33" s="693"/>
      <c r="N33" s="693"/>
      <c r="O33" s="693"/>
      <c r="P33" s="693"/>
    </row>
    <row r="34" spans="2:19" ht="13.5" hidden="1" thickBot="1">
      <c r="B34" s="1553"/>
      <c r="C34" s="1533"/>
      <c r="D34" s="1536" t="s">
        <v>24</v>
      </c>
      <c r="E34" s="1537"/>
      <c r="F34" s="698">
        <f>SUM(F29:F33)</f>
        <v>0</v>
      </c>
      <c r="G34" s="698">
        <f>SUM(G29:G33)</f>
        <v>0</v>
      </c>
      <c r="H34" s="698">
        <f>SUM(H29:H33)</f>
        <v>0</v>
      </c>
      <c r="I34" s="698">
        <f>SUM(I29:I33)</f>
        <v>0</v>
      </c>
      <c r="J34" s="702">
        <f>IF(ISERROR(-L34/I34),0,IF(-L34/I34&lt;0,100%,IF(-L34/I34&gt;100%,100%,-L34/I34)))</f>
        <v>0</v>
      </c>
      <c r="K34" s="698" t="e">
        <f>SUM(K29:K33)</f>
        <v>#VALUE!</v>
      </c>
      <c r="L34" s="719" t="e">
        <f>SUM(L29:L33)</f>
        <v>#VALUE!</v>
      </c>
      <c r="M34" s="774"/>
      <c r="N34" s="774"/>
      <c r="O34" s="774"/>
      <c r="P34" s="774" t="e">
        <f>-L34+M34</f>
        <v>#VALUE!</v>
      </c>
    </row>
    <row r="35" spans="2:19" ht="13.5" hidden="1" thickBot="1">
      <c r="B35" s="1553"/>
      <c r="C35" s="1534"/>
      <c r="D35" s="720" t="s">
        <v>9</v>
      </c>
      <c r="E35" s="721"/>
      <c r="F35" s="722">
        <f>F28+F34</f>
        <v>0</v>
      </c>
      <c r="G35" s="722">
        <f>G28+G34</f>
        <v>0</v>
      </c>
      <c r="H35" s="722">
        <f>H28+H34</f>
        <v>0</v>
      </c>
      <c r="I35" s="722">
        <f>I28+I34</f>
        <v>0</v>
      </c>
      <c r="J35" s="723">
        <f>IF(ISERROR(-L35/I35),0,IF(-L35/I35&lt;0,100%,IF(-L35/I35&gt;100%,100%,-L35/I35)))</f>
        <v>0</v>
      </c>
      <c r="K35" s="722" t="e">
        <f>K28+K34</f>
        <v>#VALUE!</v>
      </c>
      <c r="L35" s="722" t="e">
        <f>L28+L34</f>
        <v>#VALUE!</v>
      </c>
      <c r="M35" s="724">
        <f>SUM(M28,M34)</f>
        <v>0</v>
      </c>
      <c r="N35" s="724"/>
      <c r="O35" s="724"/>
      <c r="P35" s="724" t="e">
        <f>SUM(P28,P34)</f>
        <v>#VALUE!</v>
      </c>
      <c r="Q35" s="31"/>
    </row>
    <row r="36" spans="2:19" ht="15.75" customHeight="1" thickBot="1">
      <c r="B36" s="1554"/>
      <c r="C36" s="1547" t="s">
        <v>17</v>
      </c>
      <c r="D36" s="1548"/>
      <c r="E36" s="1549"/>
      <c r="F36" s="828">
        <f>F13+F24+F35</f>
        <v>352.57623000000001</v>
      </c>
      <c r="G36" s="829">
        <f>G35+G24+G13</f>
        <v>0</v>
      </c>
      <c r="H36" s="830">
        <f>H35+H24+H13</f>
        <v>0</v>
      </c>
      <c r="I36" s="830">
        <f>I35+I24+I13</f>
        <v>352.57623000000001</v>
      </c>
      <c r="J36" s="831">
        <f>IF(ISERROR(-L36/I36),0,IF(-L36/I36&lt;0,100%,IF(-L36/I36&gt;100%,100%,-L36/I36)))</f>
        <v>0</v>
      </c>
      <c r="K36" s="832" t="e">
        <f>K35+K24+K13</f>
        <v>#VALUE!</v>
      </c>
      <c r="L36" s="832" t="e">
        <f>L35+L24+L13</f>
        <v>#VALUE!</v>
      </c>
      <c r="M36" s="834">
        <f>M35+M24+M13</f>
        <v>0</v>
      </c>
      <c r="N36" s="834"/>
      <c r="O36" s="834"/>
      <c r="P36" s="832" t="e">
        <f>P35+P24+P13</f>
        <v>#VALUE!</v>
      </c>
      <c r="Q36" s="31"/>
    </row>
    <row r="37" spans="2:19" s="129" customFormat="1">
      <c r="B37" s="932"/>
      <c r="C37" s="787"/>
      <c r="D37" s="788"/>
      <c r="E37" s="789"/>
      <c r="F37" s="789"/>
      <c r="G37" s="789"/>
      <c r="H37" s="789"/>
      <c r="I37" s="789"/>
      <c r="J37" s="835"/>
      <c r="K37" s="836"/>
      <c r="L37" s="836"/>
      <c r="M37" s="836"/>
      <c r="N37" s="836"/>
      <c r="O37" s="836"/>
      <c r="P37" s="837"/>
      <c r="Q37" s="177"/>
      <c r="R37" s="130"/>
      <c r="S37" s="130"/>
    </row>
    <row r="38" spans="2:19" s="129" customFormat="1">
      <c r="B38" s="932"/>
      <c r="C38" s="787"/>
      <c r="D38" s="788"/>
      <c r="E38" s="789"/>
      <c r="F38" s="789"/>
      <c r="G38" s="789"/>
      <c r="H38" s="789"/>
      <c r="I38" s="789"/>
      <c r="J38" s="838" t="s">
        <v>25</v>
      </c>
      <c r="K38" s="839"/>
      <c r="L38" s="841" t="s">
        <v>14</v>
      </c>
      <c r="M38" s="841" t="s">
        <v>158</v>
      </c>
      <c r="N38" s="841" t="s">
        <v>159</v>
      </c>
      <c r="O38" s="841" t="s">
        <v>22</v>
      </c>
      <c r="P38" s="975" t="s">
        <v>16</v>
      </c>
      <c r="Q38" s="177"/>
      <c r="R38" s="130"/>
      <c r="S38" s="130"/>
    </row>
    <row r="39" spans="2:19" s="129" customFormat="1">
      <c r="B39" s="932"/>
      <c r="C39" s="787"/>
      <c r="D39" s="788"/>
      <c r="E39" s="789"/>
      <c r="F39" s="789"/>
      <c r="G39" s="789"/>
      <c r="H39" s="789"/>
      <c r="I39" s="789"/>
      <c r="J39" s="843" t="s">
        <v>26</v>
      </c>
      <c r="K39" s="844"/>
      <c r="L39" s="174">
        <f>+L6+L17+L28</f>
        <v>-234.02475000000001</v>
      </c>
      <c r="M39" s="174">
        <f>+M6+M17+M28</f>
        <v>0</v>
      </c>
      <c r="N39" s="174">
        <f>+N6+N17+N28</f>
        <v>0</v>
      </c>
      <c r="O39" s="174">
        <f>+O6+O17+O28</f>
        <v>0</v>
      </c>
      <c r="P39" s="845">
        <f>+P6+P17+P28</f>
        <v>234.02475000000001</v>
      </c>
      <c r="Q39" s="177"/>
      <c r="R39" s="130"/>
      <c r="S39" s="130"/>
    </row>
    <row r="40" spans="2:19" s="129" customFormat="1" ht="15">
      <c r="B40" s="932"/>
      <c r="C40" s="787"/>
      <c r="D40" s="788"/>
      <c r="E40" s="789"/>
      <c r="F40" s="789"/>
      <c r="G40" s="789"/>
      <c r="H40" s="789"/>
      <c r="I40" s="789"/>
      <c r="J40" s="843" t="s">
        <v>27</v>
      </c>
      <c r="K40" s="844"/>
      <c r="L40" s="846" t="e">
        <f>+L12+L23+L34</f>
        <v>#VALUE!</v>
      </c>
      <c r="M40" s="846">
        <f>+M12+M23+M34</f>
        <v>0</v>
      </c>
      <c r="N40" s="846">
        <f>+N12+N23+N34</f>
        <v>0</v>
      </c>
      <c r="O40" s="846">
        <f>+O12+O23+O34</f>
        <v>0</v>
      </c>
      <c r="P40" s="847" t="e">
        <f>+P12+P23+P34</f>
        <v>#VALUE!</v>
      </c>
      <c r="Q40" s="177"/>
      <c r="R40" s="130"/>
      <c r="S40" s="130"/>
    </row>
    <row r="41" spans="2:19" s="129" customFormat="1" ht="13.5" thickBot="1">
      <c r="B41" s="932"/>
      <c r="C41" s="787"/>
      <c r="D41" s="788"/>
      <c r="E41" s="789"/>
      <c r="F41" s="789"/>
      <c r="G41" s="789"/>
      <c r="H41" s="789"/>
      <c r="I41" s="789"/>
      <c r="J41" s="843" t="s">
        <v>28</v>
      </c>
      <c r="K41" s="848"/>
      <c r="L41" s="849" t="e">
        <f>SUM(L39:L40)</f>
        <v>#VALUE!</v>
      </c>
      <c r="M41" s="849">
        <f>SUM(M39:M40)</f>
        <v>0</v>
      </c>
      <c r="N41" s="849">
        <f>SUM(N39:N40)</f>
        <v>0</v>
      </c>
      <c r="O41" s="849">
        <f>SUM(O39:O40)</f>
        <v>0</v>
      </c>
      <c r="P41" s="850" t="e">
        <f>SUM(P39:P40)</f>
        <v>#VALUE!</v>
      </c>
      <c r="Q41" s="177"/>
      <c r="R41" s="130"/>
      <c r="S41" s="130"/>
    </row>
    <row r="42" spans="2:19" s="129" customFormat="1" ht="14.25" thickTop="1" thickBot="1">
      <c r="B42" s="932"/>
      <c r="C42" s="787"/>
      <c r="D42" s="788"/>
      <c r="E42" s="789"/>
      <c r="F42" s="789"/>
      <c r="G42" s="789"/>
      <c r="H42" s="789"/>
      <c r="I42" s="789"/>
      <c r="J42" s="851"/>
      <c r="K42" s="852"/>
      <c r="L42" s="853"/>
      <c r="M42" s="853"/>
      <c r="N42" s="853"/>
      <c r="O42" s="853"/>
      <c r="P42" s="854"/>
      <c r="Q42" s="177"/>
      <c r="R42" s="130"/>
      <c r="S42" s="130"/>
    </row>
    <row r="43" spans="2:19" hidden="1"/>
    <row r="44" spans="2:19" ht="13.5" hidden="1" thickBot="1">
      <c r="D44" s="157" t="s">
        <v>21</v>
      </c>
      <c r="E44" s="157" t="s">
        <v>5</v>
      </c>
      <c r="F44" s="158" t="s">
        <v>12</v>
      </c>
      <c r="G44" s="158" t="s">
        <v>11</v>
      </c>
      <c r="H44" s="158" t="s">
        <v>3</v>
      </c>
      <c r="I44" s="158" t="s">
        <v>10</v>
      </c>
      <c r="J44" s="158" t="s">
        <v>0</v>
      </c>
      <c r="K44" s="162" t="s">
        <v>2</v>
      </c>
      <c r="L44" s="160" t="s">
        <v>14</v>
      </c>
      <c r="M44" s="163" t="s">
        <v>22</v>
      </c>
      <c r="N44" s="163"/>
      <c r="O44" s="163"/>
      <c r="P44" s="160" t="s">
        <v>16</v>
      </c>
      <c r="R44" s="32"/>
      <c r="S44" s="30"/>
    </row>
    <row r="45" spans="2:19" hidden="1">
      <c r="B45" s="1544" t="s">
        <v>19</v>
      </c>
      <c r="C45" s="1524" t="s">
        <v>8</v>
      </c>
      <c r="D45" s="131" t="s">
        <v>1</v>
      </c>
      <c r="E45" s="132" t="s">
        <v>1</v>
      </c>
      <c r="F45" s="45"/>
      <c r="G45" s="45">
        <v>0</v>
      </c>
      <c r="H45" s="45">
        <v>0</v>
      </c>
      <c r="I45" s="133">
        <f>+F45</f>
        <v>0</v>
      </c>
      <c r="J45" s="197">
        <f>'SUMMARY BRL'!J19</f>
        <v>2.3E-2</v>
      </c>
      <c r="K45" s="134">
        <f>F45+G45+L45</f>
        <v>0</v>
      </c>
      <c r="L45" s="135">
        <f>IF((-I45*J45)&gt;=0,0,(-I45*J45))</f>
        <v>0</v>
      </c>
      <c r="S45" s="30"/>
    </row>
    <row r="46" spans="2:19" hidden="1">
      <c r="B46" s="1545"/>
      <c r="C46" s="1525"/>
      <c r="D46" s="503" t="s">
        <v>7</v>
      </c>
      <c r="E46" s="137" t="s">
        <v>34</v>
      </c>
      <c r="F46" s="138">
        <v>0</v>
      </c>
      <c r="G46" s="138">
        <v>0</v>
      </c>
      <c r="H46" s="138">
        <v>0</v>
      </c>
      <c r="I46" s="138">
        <f>+F46</f>
        <v>0</v>
      </c>
      <c r="J46" s="306">
        <f>'SUMMARY BRL'!J20</f>
        <v>2.3E-2</v>
      </c>
      <c r="K46" s="139">
        <f>F46+G46+L46</f>
        <v>0</v>
      </c>
      <c r="L46" s="140">
        <f>IF((-I46*J46)&gt;=0,0,(-I46*J46))</f>
        <v>0</v>
      </c>
      <c r="M46" s="41"/>
      <c r="N46" s="41"/>
      <c r="O46" s="41"/>
      <c r="P46" s="41"/>
      <c r="R46" s="30"/>
      <c r="S46" s="30"/>
    </row>
    <row r="47" spans="2:19" ht="13.5" hidden="1" thickBot="1">
      <c r="B47" s="1545"/>
      <c r="C47" s="1525"/>
      <c r="D47" s="141" t="s">
        <v>9</v>
      </c>
      <c r="E47" s="142"/>
      <c r="F47" s="51">
        <f>SUM(F45:F46)</f>
        <v>0</v>
      </c>
      <c r="G47" s="51">
        <f>SUM(G45:G46)</f>
        <v>0</v>
      </c>
      <c r="H47" s="51">
        <f>SUM(H45:H46)</f>
        <v>0</v>
      </c>
      <c r="I47" s="51">
        <f>SUM(I45:I46)</f>
        <v>0</v>
      </c>
      <c r="J47" s="309">
        <v>0.01</v>
      </c>
      <c r="K47" s="143">
        <f>SUM(K45:K46)</f>
        <v>0</v>
      </c>
      <c r="L47" s="144">
        <f>SUM(L45:L46)</f>
        <v>0</v>
      </c>
      <c r="M47" s="145">
        <f>L47</f>
        <v>0</v>
      </c>
      <c r="N47" s="145"/>
      <c r="O47" s="145"/>
      <c r="P47" s="55">
        <f>+M47-L47</f>
        <v>0</v>
      </c>
      <c r="Q47" s="31"/>
      <c r="R47" s="30"/>
      <c r="S47" s="30"/>
    </row>
    <row r="48" spans="2:19" hidden="1">
      <c r="B48" s="1545"/>
      <c r="C48" s="1524" t="s">
        <v>13</v>
      </c>
      <c r="D48" s="146" t="s">
        <v>1</v>
      </c>
      <c r="E48" s="147" t="s">
        <v>1</v>
      </c>
      <c r="F48" s="148"/>
      <c r="G48" s="148">
        <v>0</v>
      </c>
      <c r="H48" s="148">
        <v>0</v>
      </c>
      <c r="I48" s="148">
        <f>+F48</f>
        <v>0</v>
      </c>
      <c r="J48" s="314">
        <f>'SUMMARY BRL'!J19</f>
        <v>2.3E-2</v>
      </c>
      <c r="K48" s="149">
        <f>F48+G48+L48</f>
        <v>0</v>
      </c>
      <c r="L48" s="150">
        <f>IF((-I48*J48)&gt;=0,0,(-I48*J48))</f>
        <v>0</v>
      </c>
      <c r="M48" s="41"/>
      <c r="N48" s="41"/>
      <c r="O48" s="41"/>
      <c r="P48" s="41"/>
      <c r="R48" s="30"/>
      <c r="S48" s="30"/>
    </row>
    <row r="49" spans="2:19" hidden="1">
      <c r="B49" s="1545"/>
      <c r="C49" s="1525"/>
      <c r="D49" s="502" t="s">
        <v>7</v>
      </c>
      <c r="E49" s="147" t="s">
        <v>34</v>
      </c>
      <c r="F49" s="148">
        <v>0</v>
      </c>
      <c r="G49" s="148">
        <v>0</v>
      </c>
      <c r="H49" s="148">
        <v>0</v>
      </c>
      <c r="I49" s="148">
        <f>+F49</f>
        <v>0</v>
      </c>
      <c r="J49" s="314">
        <f>'SUMMARY BRL'!J20</f>
        <v>2.3E-2</v>
      </c>
      <c r="K49" s="149">
        <f>F49+G49+L49</f>
        <v>0</v>
      </c>
      <c r="L49" s="150">
        <f>IF((-I49*J49)&gt;=0,0,(-I49*J49))</f>
        <v>0</v>
      </c>
      <c r="M49" s="41"/>
      <c r="N49" s="41"/>
      <c r="O49" s="41"/>
      <c r="P49" s="41"/>
      <c r="R49" s="30"/>
      <c r="S49" s="30"/>
    </row>
    <row r="50" spans="2:19" ht="13.5" hidden="1" thickBot="1">
      <c r="B50" s="1545"/>
      <c r="C50" s="1525"/>
      <c r="D50" s="152" t="s">
        <v>9</v>
      </c>
      <c r="E50" s="153"/>
      <c r="F50" s="75">
        <f>SUM(F48:F49)</f>
        <v>0</v>
      </c>
      <c r="G50" s="75">
        <f>SUM(G48:G49)</f>
        <v>0</v>
      </c>
      <c r="H50" s="75">
        <f>SUM(H48:H49)</f>
        <v>0</v>
      </c>
      <c r="I50" s="75">
        <f>SUM(I48:I49)</f>
        <v>0</v>
      </c>
      <c r="J50" s="154">
        <v>0.01</v>
      </c>
      <c r="K50" s="82">
        <f>SUM(K48:K49)</f>
        <v>0</v>
      </c>
      <c r="L50" s="155">
        <f>SUM(L48:L49)</f>
        <v>0</v>
      </c>
      <c r="M50" s="156">
        <f>L50</f>
        <v>0</v>
      </c>
      <c r="N50" s="156"/>
      <c r="O50" s="156"/>
      <c r="P50" s="156">
        <f>+M50-L50</f>
        <v>0</v>
      </c>
      <c r="Q50" s="31"/>
      <c r="R50" s="30"/>
      <c r="S50" s="30"/>
    </row>
    <row r="51" spans="2:19" ht="13.5" hidden="1" thickBot="1">
      <c r="B51" s="1546"/>
      <c r="C51" s="1529" t="s">
        <v>18</v>
      </c>
      <c r="D51" s="1530"/>
      <c r="E51" s="1531"/>
      <c r="F51" s="15">
        <f>+F50+F47</f>
        <v>0</v>
      </c>
      <c r="G51" s="15">
        <f>+G50+G47</f>
        <v>0</v>
      </c>
      <c r="H51" s="15">
        <f>+H50+H47</f>
        <v>0</v>
      </c>
      <c r="I51" s="15">
        <f>+I50+I47</f>
        <v>0</v>
      </c>
      <c r="J51" s="126">
        <f>IF(ISERROR(-L51/I51),0,IF(-L51/I51&lt;0,100%,IF(-L51/I51&gt;100%,100%,-L51/I51)))</f>
        <v>0</v>
      </c>
      <c r="K51" s="15">
        <f>F51+G51+L51</f>
        <v>0</v>
      </c>
      <c r="L51" s="20">
        <f>SUM(L50,L47)</f>
        <v>0</v>
      </c>
      <c r="M51" s="20">
        <f>SUM(M50,M47)</f>
        <v>0</v>
      </c>
      <c r="N51" s="14"/>
      <c r="O51" s="14"/>
      <c r="P51" s="11">
        <f>SUM(P50,P47)</f>
        <v>0</v>
      </c>
      <c r="Q51" s="31"/>
      <c r="S51" s="30"/>
    </row>
    <row r="52" spans="2:19">
      <c r="L52" s="31"/>
      <c r="Q52" s="41"/>
      <c r="S52" s="30"/>
    </row>
    <row r="53" spans="2:19" ht="13.5" thickBot="1">
      <c r="D53" s="180"/>
      <c r="E53" s="180"/>
      <c r="F53" s="180"/>
      <c r="H53" s="180"/>
    </row>
    <row r="54" spans="2:19" ht="13.5" thickBot="1">
      <c r="D54" s="1486" t="s">
        <v>23</v>
      </c>
      <c r="E54" s="1487"/>
      <c r="F54" s="484">
        <f>F6+F17+F28+G6+G17+G28</f>
        <v>234.02475000000001</v>
      </c>
      <c r="G54" s="484">
        <v>0</v>
      </c>
      <c r="H54" s="222">
        <f>ROUND((F54-G54)*1000,4)</f>
        <v>234024.75</v>
      </c>
    </row>
  </sheetData>
  <mergeCells count="28">
    <mergeCell ref="E1:L1"/>
    <mergeCell ref="B2:C2"/>
    <mergeCell ref="Q2:R2"/>
    <mergeCell ref="B3:B36"/>
    <mergeCell ref="C3:C13"/>
    <mergeCell ref="D3:D5"/>
    <mergeCell ref="D6:E6"/>
    <mergeCell ref="D7:D9"/>
    <mergeCell ref="D10:D11"/>
    <mergeCell ref="D12:E12"/>
    <mergeCell ref="C14:C24"/>
    <mergeCell ref="D14:D16"/>
    <mergeCell ref="D17:E17"/>
    <mergeCell ref="D18:D20"/>
    <mergeCell ref="D21:D22"/>
    <mergeCell ref="D54:E54"/>
    <mergeCell ref="D23:E23"/>
    <mergeCell ref="B45:B51"/>
    <mergeCell ref="C45:C47"/>
    <mergeCell ref="C48:C50"/>
    <mergeCell ref="C51:E51"/>
    <mergeCell ref="C25:C35"/>
    <mergeCell ref="D25:D27"/>
    <mergeCell ref="D28:E28"/>
    <mergeCell ref="D29:D31"/>
    <mergeCell ref="D32:D33"/>
    <mergeCell ref="D34:E34"/>
    <mergeCell ref="C36:E36"/>
  </mergeCells>
  <pageMargins left="0.2" right="0.23622047244094491" top="0.48" bottom="0.36" header="0.31496062992125984" footer="0.31496062992125984"/>
  <pageSetup scale="6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B1:T55"/>
  <sheetViews>
    <sheetView showGridLines="0" zoomScale="90" zoomScaleNormal="90" workbookViewId="0">
      <selection activeCell="J58" sqref="J58"/>
    </sheetView>
  </sheetViews>
  <sheetFormatPr defaultRowHeight="12.75"/>
  <cols>
    <col min="1" max="1" width="1.85546875" style="180" customWidth="1"/>
    <col min="2" max="2" width="4.42578125" style="180" customWidth="1"/>
    <col min="3" max="3" width="4.85546875" style="180" customWidth="1"/>
    <col min="4" max="4" width="9.7109375" style="180" bestFit="1" customWidth="1"/>
    <col min="5" max="5" width="25.42578125" style="180" bestFit="1" customWidth="1"/>
    <col min="6" max="6" width="11" style="180" bestFit="1" customWidth="1"/>
    <col min="7" max="7" width="10.5703125" style="180" bestFit="1" customWidth="1"/>
    <col min="8" max="8" width="10.140625" style="180" bestFit="1" customWidth="1"/>
    <col min="9" max="9" width="12.85546875" style="180" bestFit="1" customWidth="1"/>
    <col min="10" max="10" width="16.140625" style="180" bestFit="1" customWidth="1"/>
    <col min="11" max="11" width="8.28515625" style="180" bestFit="1" customWidth="1"/>
    <col min="12" max="12" width="15" style="180" bestFit="1" customWidth="1"/>
    <col min="13" max="14" width="15" style="180" customWidth="1"/>
    <col min="15" max="15" width="14.85546875" style="180" bestFit="1" customWidth="1"/>
    <col min="16" max="16" width="11.7109375" style="180" bestFit="1" customWidth="1"/>
    <col min="17" max="17" width="4.7109375" style="339" bestFit="1" customWidth="1"/>
    <col min="18" max="18" width="17.140625" style="191" bestFit="1" customWidth="1"/>
    <col min="19" max="19" width="14.85546875" style="180" bestFit="1" customWidth="1"/>
    <col min="20" max="20" width="5.28515625" style="180" bestFit="1" customWidth="1"/>
    <col min="21" max="21" width="7.85546875" style="180" customWidth="1"/>
    <col min="22" max="16384" width="9.140625" style="180"/>
  </cols>
  <sheetData>
    <row r="1" spans="2:20" ht="21.75" thickBot="1">
      <c r="C1" s="330"/>
      <c r="D1" s="225"/>
      <c r="E1" s="1488" t="s">
        <v>145</v>
      </c>
      <c r="F1" s="1488"/>
      <c r="G1" s="1488"/>
      <c r="H1" s="1488"/>
      <c r="I1" s="1488"/>
      <c r="J1" s="1488"/>
      <c r="K1" s="1488"/>
      <c r="L1" s="1488"/>
      <c r="M1" s="530"/>
      <c r="N1" s="530"/>
      <c r="O1" s="181"/>
      <c r="P1" s="181"/>
      <c r="Q1" s="331"/>
      <c r="R1" s="182"/>
      <c r="S1" s="181"/>
    </row>
    <row r="2" spans="2:20" ht="15.75" thickBot="1">
      <c r="B2" s="1449" t="s">
        <v>108</v>
      </c>
      <c r="C2" s="1450"/>
      <c r="D2" s="157" t="s">
        <v>21</v>
      </c>
      <c r="E2" s="157" t="s">
        <v>5</v>
      </c>
      <c r="F2" s="157" t="s">
        <v>12</v>
      </c>
      <c r="G2" s="158" t="s">
        <v>11</v>
      </c>
      <c r="H2" s="158" t="s">
        <v>3</v>
      </c>
      <c r="I2" s="158" t="s">
        <v>10</v>
      </c>
      <c r="J2" s="158" t="s">
        <v>0</v>
      </c>
      <c r="K2" s="159" t="s">
        <v>2</v>
      </c>
      <c r="L2" s="160" t="s">
        <v>14</v>
      </c>
      <c r="M2" s="526" t="s">
        <v>155</v>
      </c>
      <c r="N2" s="526" t="s">
        <v>164</v>
      </c>
      <c r="O2" s="160" t="s">
        <v>22</v>
      </c>
      <c r="P2" s="161" t="s">
        <v>16</v>
      </c>
      <c r="Q2" s="332"/>
      <c r="R2" s="182"/>
      <c r="S2" s="181"/>
    </row>
    <row r="3" spans="2:20">
      <c r="B3" s="1583" t="s">
        <v>20</v>
      </c>
      <c r="C3" s="1380" t="s">
        <v>43</v>
      </c>
      <c r="D3" s="1513" t="s">
        <v>6</v>
      </c>
      <c r="E3" s="607" t="s">
        <v>37</v>
      </c>
      <c r="F3" s="608">
        <f>INPUT!B18</f>
        <v>27.717239999999997</v>
      </c>
      <c r="G3" s="638">
        <f>INPUT!D18</f>
        <v>0</v>
      </c>
      <c r="H3" s="858">
        <v>0</v>
      </c>
      <c r="I3" s="446">
        <f t="shared" ref="I3:I11" si="0">F3+G3+H3</f>
        <v>27.717239999999997</v>
      </c>
      <c r="J3" s="609">
        <f>'SUMMARY BRL'!J6</f>
        <v>1</v>
      </c>
      <c r="K3" s="429">
        <f>IF((F3+G3+L3)&lt;0,0,(F3+G3+L3))</f>
        <v>0</v>
      </c>
      <c r="L3" s="430">
        <f t="shared" ref="L3:L10" si="1">IF((-I3*J3)&gt;=0,0,(-I3*J3))</f>
        <v>-27.717239999999997</v>
      </c>
      <c r="M3" s="540"/>
      <c r="N3" s="540"/>
      <c r="O3" s="190"/>
      <c r="P3" s="190"/>
      <c r="Q3" s="332"/>
      <c r="S3" s="191"/>
      <c r="T3" s="191"/>
    </row>
    <row r="4" spans="2:20">
      <c r="B4" s="1584"/>
      <c r="C4" s="1383"/>
      <c r="D4" s="1514"/>
      <c r="E4" s="610" t="s">
        <v>38</v>
      </c>
      <c r="F4" s="611">
        <f>INPUT!B19</f>
        <v>0</v>
      </c>
      <c r="G4" s="639">
        <f>INPUT!D19</f>
        <v>0</v>
      </c>
      <c r="H4" s="859">
        <v>0</v>
      </c>
      <c r="I4" s="446">
        <f t="shared" si="0"/>
        <v>0</v>
      </c>
      <c r="J4" s="612">
        <v>0.9</v>
      </c>
      <c r="K4" s="436">
        <f>IF((F4+G4+L4)&lt;0,0,(F4+G4+L4))</f>
        <v>0</v>
      </c>
      <c r="L4" s="437">
        <f t="shared" si="1"/>
        <v>0</v>
      </c>
      <c r="M4" s="448"/>
      <c r="N4" s="448"/>
      <c r="O4" s="200"/>
      <c r="P4" s="200"/>
      <c r="Q4" s="332"/>
      <c r="S4" s="191"/>
      <c r="T4" s="191"/>
    </row>
    <row r="5" spans="2:20" ht="13.5" thickBot="1">
      <c r="B5" s="1584"/>
      <c r="C5" s="1383"/>
      <c r="D5" s="1515"/>
      <c r="E5" s="610" t="s">
        <v>36</v>
      </c>
      <c r="F5" s="613">
        <f>INPUT!B20</f>
        <v>0</v>
      </c>
      <c r="G5" s="639">
        <f>INPUT!D20</f>
        <v>0</v>
      </c>
      <c r="H5" s="859">
        <v>0</v>
      </c>
      <c r="I5" s="453">
        <f>F5+G5+H5</f>
        <v>0</v>
      </c>
      <c r="J5" s="614">
        <v>0.9</v>
      </c>
      <c r="K5" s="436">
        <f>IF((F5+G5+L5)&lt;0,0,(F5+G5+L5))</f>
        <v>0</v>
      </c>
      <c r="L5" s="437">
        <f t="shared" si="1"/>
        <v>0</v>
      </c>
      <c r="M5" s="448"/>
      <c r="N5" s="448"/>
      <c r="O5" s="298"/>
      <c r="P5" s="200"/>
      <c r="Q5" s="332"/>
      <c r="S5" s="191"/>
      <c r="T5" s="191"/>
    </row>
    <row r="6" spans="2:20" ht="13.5" thickBot="1">
      <c r="B6" s="1584"/>
      <c r="C6" s="1383"/>
      <c r="D6" s="1400" t="s">
        <v>23</v>
      </c>
      <c r="E6" s="1401"/>
      <c r="F6" s="462">
        <f>SUM(F3:F5)</f>
        <v>27.717239999999997</v>
      </c>
      <c r="G6" s="462">
        <f>SUM(G3:G5)</f>
        <v>0</v>
      </c>
      <c r="H6" s="857"/>
      <c r="I6" s="537">
        <f>SUM(I3:I5)</f>
        <v>27.717239999999997</v>
      </c>
      <c r="J6" s="616">
        <f>IF(ISERROR(-L6/I6),0,IF(-L6/I6&lt;0,100%,IF(-L6/I6&gt;100%,100%,-L6/I6)))</f>
        <v>1</v>
      </c>
      <c r="K6" s="615">
        <f>SUM(K3:K5)</f>
        <v>0</v>
      </c>
      <c r="L6" s="1161">
        <f>SUM(L3:L5)</f>
        <v>-27.717239999999997</v>
      </c>
      <c r="M6" s="567">
        <f>INPUT!N8/1000</f>
        <v>-27.717410000000001</v>
      </c>
      <c r="N6" s="640">
        <v>0</v>
      </c>
      <c r="O6" s="641">
        <f>M6+N6</f>
        <v>-27.717410000000001</v>
      </c>
      <c r="P6" s="641">
        <f>O6-L6</f>
        <v>-1.7000000000422233E-4</v>
      </c>
      <c r="Q6" s="334"/>
      <c r="S6" s="191"/>
      <c r="T6" s="191"/>
    </row>
    <row r="7" spans="2:20">
      <c r="B7" s="1584"/>
      <c r="C7" s="1383"/>
      <c r="D7" s="1514" t="s">
        <v>4</v>
      </c>
      <c r="E7" s="617" t="s">
        <v>39</v>
      </c>
      <c r="F7" s="618">
        <f>INPUT!$B$21+INPUT!$B$22+INPUT!$B$23</f>
        <v>0</v>
      </c>
      <c r="G7" s="618">
        <f>INPUT!D21+INPUT!D22+INPUT!D23</f>
        <v>0</v>
      </c>
      <c r="H7" s="618">
        <f>INPUT!F21+INPUT!F22+INPUT!F23</f>
        <v>0</v>
      </c>
      <c r="I7" s="446">
        <f>F7+G7+H7</f>
        <v>0</v>
      </c>
      <c r="J7" s="609">
        <f>INPUT!$T$6</f>
        <v>0.6</v>
      </c>
      <c r="K7" s="1160">
        <f>IF((F7+G7+L7)&lt;0,0,(F7+G7+L7))</f>
        <v>0</v>
      </c>
      <c r="L7" s="1163">
        <f t="shared" si="1"/>
        <v>0</v>
      </c>
      <c r="M7" s="448"/>
      <c r="N7" s="448"/>
      <c r="O7" s="539"/>
      <c r="P7" s="200"/>
      <c r="Q7" s="332"/>
      <c r="S7" s="191"/>
      <c r="T7" s="191"/>
    </row>
    <row r="8" spans="2:20">
      <c r="B8" s="1584"/>
      <c r="C8" s="1383"/>
      <c r="D8" s="1514"/>
      <c r="E8" s="617" t="s">
        <v>33</v>
      </c>
      <c r="F8" s="618">
        <f>INPUT!B24</f>
        <v>0</v>
      </c>
      <c r="G8" s="618">
        <f>INPUT!D24</f>
        <v>0</v>
      </c>
      <c r="H8" s="618">
        <f>INPUT!F24</f>
        <v>0</v>
      </c>
      <c r="I8" s="446">
        <f>F8+G8+H8</f>
        <v>0</v>
      </c>
      <c r="J8" s="612">
        <f>INPUT!$T$6</f>
        <v>0.6</v>
      </c>
      <c r="K8" s="1160">
        <f>IF((F8+G8+L8)&lt;0,0,(F8+G8+L8))</f>
        <v>0</v>
      </c>
      <c r="L8" s="446">
        <f t="shared" si="1"/>
        <v>0</v>
      </c>
      <c r="M8" s="448"/>
      <c r="N8" s="448"/>
      <c r="O8" s="200"/>
      <c r="P8" s="200"/>
      <c r="Q8" s="332"/>
      <c r="S8" s="191"/>
      <c r="T8" s="191"/>
    </row>
    <row r="9" spans="2:20">
      <c r="B9" s="1584"/>
      <c r="C9" s="1383"/>
      <c r="D9" s="1518"/>
      <c r="E9" s="619" t="s">
        <v>1</v>
      </c>
      <c r="F9" s="620">
        <f>INPUT!B25</f>
        <v>0</v>
      </c>
      <c r="G9" s="620">
        <f>INPUT!D25</f>
        <v>0</v>
      </c>
      <c r="H9" s="620">
        <f>INPUT!F25</f>
        <v>0</v>
      </c>
      <c r="I9" s="453">
        <f t="shared" si="0"/>
        <v>0</v>
      </c>
      <c r="J9" s="614">
        <f>INPUT!$T$6</f>
        <v>0.6</v>
      </c>
      <c r="K9" s="468">
        <f>IF((F9+G9+L9)&lt;0,0,(F9+G9+L9))</f>
        <v>0</v>
      </c>
      <c r="L9" s="453">
        <f t="shared" si="1"/>
        <v>0</v>
      </c>
      <c r="M9" s="448"/>
      <c r="N9" s="448"/>
      <c r="O9" s="200"/>
      <c r="P9" s="200"/>
      <c r="Q9" s="332"/>
      <c r="S9" s="191"/>
      <c r="T9" s="191"/>
    </row>
    <row r="10" spans="2:20">
      <c r="B10" s="1584"/>
      <c r="C10" s="1383"/>
      <c r="D10" s="1398" t="s">
        <v>40</v>
      </c>
      <c r="E10" s="610" t="s">
        <v>33</v>
      </c>
      <c r="F10" s="622">
        <f>INPUT!B26</f>
        <v>0</v>
      </c>
      <c r="G10" s="622">
        <f>INPUT!D26</f>
        <v>0</v>
      </c>
      <c r="H10" s="622">
        <f>INPUT!F26</f>
        <v>0</v>
      </c>
      <c r="I10" s="435">
        <f t="shared" si="0"/>
        <v>0</v>
      </c>
      <c r="J10" s="1217">
        <f>INPUT!T5</f>
        <v>1.9E-2</v>
      </c>
      <c r="K10" s="1160">
        <f>IF((F10+G10+L10)&lt;0,0,(F10+G10+L10))</f>
        <v>0</v>
      </c>
      <c r="L10" s="446">
        <f t="shared" si="1"/>
        <v>0</v>
      </c>
      <c r="M10" s="448"/>
      <c r="N10" s="448"/>
      <c r="O10" s="200"/>
      <c r="P10" s="200"/>
      <c r="Q10" s="332"/>
      <c r="S10" s="191"/>
      <c r="T10" s="191"/>
    </row>
    <row r="11" spans="2:20" ht="13.5" thickBot="1">
      <c r="B11" s="1584"/>
      <c r="C11" s="1383"/>
      <c r="D11" s="1514"/>
      <c r="E11" s="610" t="s">
        <v>41</v>
      </c>
      <c r="F11" s="618">
        <f>INPUT!B27</f>
        <v>0</v>
      </c>
      <c r="G11" s="1200">
        <f>INPUT!L8+INPUT!D27</f>
        <v>-0.40467000000000003</v>
      </c>
      <c r="H11" s="618">
        <f>INPUT!F27</f>
        <v>0</v>
      </c>
      <c r="I11" s="435">
        <f t="shared" si="0"/>
        <v>-0.40467000000000003</v>
      </c>
      <c r="J11" s="1217">
        <f>INPUT!T5</f>
        <v>1.9E-2</v>
      </c>
      <c r="K11" s="1160">
        <f>IF((F11+G11+L11)&lt;0,0,(F11+G11+L11))</f>
        <v>0</v>
      </c>
      <c r="L11" s="453">
        <f>IF((-I11*J11)&gt;=0,0,(-I11*J11))</f>
        <v>0</v>
      </c>
      <c r="M11" s="191"/>
      <c r="N11" s="448"/>
      <c r="O11" s="294"/>
      <c r="P11" s="200" t="e">
        <f>P13-'[10]Funnel File'!$P$13</f>
        <v>#REF!</v>
      </c>
      <c r="Q11" s="332"/>
      <c r="S11" s="191"/>
      <c r="T11" s="191"/>
    </row>
    <row r="12" spans="2:20" ht="13.5" thickBot="1">
      <c r="B12" s="1584"/>
      <c r="C12" s="1383"/>
      <c r="D12" s="1400" t="s">
        <v>24</v>
      </c>
      <c r="E12" s="1401"/>
      <c r="F12" s="462">
        <f>SUM(F7:F11)</f>
        <v>0</v>
      </c>
      <c r="G12" s="462">
        <f>SUM(G7:G11)</f>
        <v>-0.40467000000000003</v>
      </c>
      <c r="H12" s="462">
        <f>SUM(H7:H11)</f>
        <v>0</v>
      </c>
      <c r="I12" s="462">
        <f>SUM(I7:I11)</f>
        <v>-0.40467000000000003</v>
      </c>
      <c r="J12" s="616">
        <f>IF(ISERROR(-L12/I12),0,IF(-L12/I12&lt;0,100%,IF(-L12/I12&gt;100%,100%,-L12/I12)))</f>
        <v>0</v>
      </c>
      <c r="K12" s="462">
        <f>SUM(K7:K11)</f>
        <v>0</v>
      </c>
      <c r="L12" s="1162">
        <f>SUM(L7:L11)</f>
        <v>0</v>
      </c>
      <c r="M12" s="567">
        <f>INPUT!O8/1000</f>
        <v>0</v>
      </c>
      <c r="N12" s="567">
        <f>INPUT!P8/1000</f>
        <v>0</v>
      </c>
      <c r="O12" s="1221">
        <f>M12+N12</f>
        <v>0</v>
      </c>
      <c r="P12" s="641">
        <f>O12-L12</f>
        <v>0</v>
      </c>
      <c r="Q12" s="334" t="s">
        <v>132</v>
      </c>
      <c r="S12" s="191"/>
      <c r="T12" s="191"/>
    </row>
    <row r="13" spans="2:20" ht="13.5" thickBot="1">
      <c r="B13" s="1584"/>
      <c r="C13" s="1384"/>
      <c r="D13" s="860" t="s">
        <v>9</v>
      </c>
      <c r="E13" s="861"/>
      <c r="F13" s="862">
        <f>F12+F6</f>
        <v>27.717239999999997</v>
      </c>
      <c r="G13" s="862">
        <f>G12+G6</f>
        <v>-0.40467000000000003</v>
      </c>
      <c r="H13" s="862">
        <f>H12+H6</f>
        <v>0</v>
      </c>
      <c r="I13" s="862">
        <f>I12+I6</f>
        <v>27.312569999999997</v>
      </c>
      <c r="J13" s="863">
        <f>IF(ISERROR(-L13/I13),0,IF(-L13/I13&lt;0,100%,IF(-L13/I13&gt;100%,100%,-L13/I13)))</f>
        <v>1</v>
      </c>
      <c r="K13" s="862">
        <f>K12+K6</f>
        <v>0</v>
      </c>
      <c r="L13" s="864">
        <f>L12+L6</f>
        <v>-27.717239999999997</v>
      </c>
      <c r="M13" s="865">
        <f>M12</f>
        <v>0</v>
      </c>
      <c r="N13" s="865">
        <f>N12</f>
        <v>0</v>
      </c>
      <c r="O13" s="866">
        <f>SUM(O12,O6)</f>
        <v>-27.717410000000001</v>
      </c>
      <c r="P13" s="866">
        <f>SUM(P12,P6)</f>
        <v>-1.7000000000422233E-4</v>
      </c>
      <c r="Q13" s="334"/>
      <c r="S13" s="191"/>
      <c r="T13" s="191"/>
    </row>
    <row r="14" spans="2:20" hidden="1">
      <c r="B14" s="1584"/>
      <c r="C14" s="1380" t="s">
        <v>13</v>
      </c>
      <c r="D14" s="1507" t="s">
        <v>6</v>
      </c>
      <c r="E14" s="226" t="s">
        <v>37</v>
      </c>
      <c r="F14" s="227"/>
      <c r="G14" s="321"/>
      <c r="H14" s="186">
        <v>0</v>
      </c>
      <c r="I14" s="228">
        <f>F14+G14+H14</f>
        <v>0</v>
      </c>
      <c r="J14" s="72">
        <f>'SUMMARY BRL'!J6</f>
        <v>1</v>
      </c>
      <c r="K14" s="229">
        <f>F14+G14+L14</f>
        <v>0</v>
      </c>
      <c r="L14" s="230">
        <f>IF((-I14*J14)&gt;=0,0,(-I14*J14))</f>
        <v>0</v>
      </c>
      <c r="M14" s="324"/>
      <c r="N14" s="324"/>
      <c r="O14" s="342"/>
      <c r="P14" s="190"/>
      <c r="Q14" s="332"/>
      <c r="S14" s="191"/>
      <c r="T14" s="191"/>
    </row>
    <row r="15" spans="2:20" hidden="1">
      <c r="B15" s="1584"/>
      <c r="C15" s="1383"/>
      <c r="D15" s="1508"/>
      <c r="E15" s="231" t="s">
        <v>38</v>
      </c>
      <c r="F15" s="232"/>
      <c r="G15" s="322"/>
      <c r="H15" s="195">
        <v>0</v>
      </c>
      <c r="I15" s="233">
        <f>F15+G15+H15</f>
        <v>0</v>
      </c>
      <c r="J15" s="73">
        <f>'SUMMARY BRL'!J7</f>
        <v>0.9</v>
      </c>
      <c r="K15" s="234">
        <f>F15+G15+L15</f>
        <v>0</v>
      </c>
      <c r="L15" s="235">
        <f>IF((-I15*J15)&gt;=0,0,(-I15*J15))</f>
        <v>0</v>
      </c>
      <c r="M15" s="324"/>
      <c r="N15" s="324"/>
      <c r="O15" s="343"/>
      <c r="P15" s="200"/>
      <c r="Q15" s="332"/>
      <c r="S15" s="191"/>
      <c r="T15" s="191"/>
    </row>
    <row r="16" spans="2:20" ht="13.5" hidden="1" thickBot="1">
      <c r="B16" s="1584"/>
      <c r="C16" s="1383"/>
      <c r="D16" s="1511"/>
      <c r="E16" s="231" t="s">
        <v>36</v>
      </c>
      <c r="F16" s="232"/>
      <c r="G16" s="322"/>
      <c r="H16" s="195">
        <v>0</v>
      </c>
      <c r="I16" s="236">
        <f>F16+G16+H16</f>
        <v>0</v>
      </c>
      <c r="J16" s="74">
        <f>'SUMMARY BRL'!J8</f>
        <v>0.9</v>
      </c>
      <c r="K16" s="237">
        <f>F16+G16+L16</f>
        <v>0</v>
      </c>
      <c r="L16" s="235">
        <f>IF((-I16*J16)&gt;=0,0,(-I16*J16))</f>
        <v>0</v>
      </c>
      <c r="M16" s="324"/>
      <c r="N16" s="324"/>
      <c r="O16" s="200"/>
      <c r="P16" s="200"/>
      <c r="Q16" s="332"/>
      <c r="S16" s="191"/>
      <c r="T16" s="191"/>
    </row>
    <row r="17" spans="2:19" ht="13.5" hidden="1" thickBot="1">
      <c r="B17" s="1584"/>
      <c r="C17" s="1383"/>
      <c r="D17" s="1505" t="s">
        <v>23</v>
      </c>
      <c r="E17" s="1506"/>
      <c r="F17" s="238">
        <f>SUM(F14:F16)</f>
        <v>0</v>
      </c>
      <c r="G17" s="239">
        <f>SUM(G14:G16)</f>
        <v>0</v>
      </c>
      <c r="H17" s="333"/>
      <c r="I17" s="240">
        <f>SUM(I14:I16)</f>
        <v>0</v>
      </c>
      <c r="J17" s="76">
        <f>IF(ISERROR(-L17/I17),0,IF(-L17/I17&lt;0,100%,IF(-L17/I17&gt;100%,100%,-L17/I17)))</f>
        <v>0</v>
      </c>
      <c r="K17" s="240">
        <f>SUM(K14:K16)</f>
        <v>0</v>
      </c>
      <c r="L17" s="241">
        <f>SUM(L14:L16)</f>
        <v>0</v>
      </c>
      <c r="M17" s="241"/>
      <c r="N17" s="241"/>
      <c r="O17" s="242"/>
      <c r="P17" s="242">
        <f>-L17+O17</f>
        <v>0</v>
      </c>
      <c r="Q17" s="332"/>
      <c r="S17" s="191"/>
    </row>
    <row r="18" spans="2:19" hidden="1">
      <c r="B18" s="1584"/>
      <c r="C18" s="1383"/>
      <c r="D18" s="1507" t="s">
        <v>4</v>
      </c>
      <c r="E18" s="244" t="s">
        <v>39</v>
      </c>
      <c r="F18" s="227"/>
      <c r="G18" s="323"/>
      <c r="H18" s="245"/>
      <c r="I18" s="245">
        <f>F18+G18+H18</f>
        <v>0</v>
      </c>
      <c r="J18" s="77">
        <f>'SUMMARY BRL'!J10</f>
        <v>0.6</v>
      </c>
      <c r="K18" s="246">
        <f>F18+G18+L18</f>
        <v>0</v>
      </c>
      <c r="L18" s="230">
        <f>IF((-I18*J18)&gt;=0,0,(-I18*J18))</f>
        <v>0</v>
      </c>
      <c r="M18" s="324"/>
      <c r="N18" s="324"/>
      <c r="O18" s="200"/>
      <c r="P18" s="200"/>
      <c r="Q18" s="332"/>
    </row>
    <row r="19" spans="2:19" hidden="1">
      <c r="B19" s="1584"/>
      <c r="C19" s="1383"/>
      <c r="D19" s="1508"/>
      <c r="E19" s="247" t="s">
        <v>33</v>
      </c>
      <c r="F19" s="232"/>
      <c r="G19" s="324"/>
      <c r="H19" s="249"/>
      <c r="I19" s="249">
        <f>F19+G19+H19</f>
        <v>0</v>
      </c>
      <c r="J19" s="78">
        <f>'SUMMARY BRL'!J11</f>
        <v>0.6</v>
      </c>
      <c r="K19" s="250">
        <f>F19+G19+L19</f>
        <v>0</v>
      </c>
      <c r="L19" s="235">
        <f>IF((-I19*J19)&gt;=0,0,(-I19*J19))</f>
        <v>0</v>
      </c>
      <c r="M19" s="324"/>
      <c r="N19" s="324"/>
      <c r="O19" s="200"/>
      <c r="P19" s="200"/>
      <c r="Q19" s="332"/>
    </row>
    <row r="20" spans="2:19" hidden="1">
      <c r="B20" s="1584"/>
      <c r="C20" s="1383"/>
      <c r="D20" s="1509"/>
      <c r="E20" s="251" t="s">
        <v>1</v>
      </c>
      <c r="F20" s="252"/>
      <c r="G20" s="325"/>
      <c r="H20" s="253"/>
      <c r="I20" s="253">
        <f>F20+G20+H20</f>
        <v>0</v>
      </c>
      <c r="J20" s="79">
        <f>'SUMMARY BRL'!J12</f>
        <v>0.6</v>
      </c>
      <c r="K20" s="254">
        <f>F20+G20+L20</f>
        <v>0</v>
      </c>
      <c r="L20" s="255">
        <f>IF((-I20*J20)&gt;=0,0,(-I20*J20))</f>
        <v>0</v>
      </c>
      <c r="M20" s="324"/>
      <c r="N20" s="324"/>
      <c r="O20" s="200"/>
      <c r="P20" s="200"/>
      <c r="Q20" s="332"/>
    </row>
    <row r="21" spans="2:19" hidden="1">
      <c r="B21" s="1584"/>
      <c r="C21" s="1383"/>
      <c r="D21" s="1510" t="s">
        <v>40</v>
      </c>
      <c r="E21" s="231" t="s">
        <v>33</v>
      </c>
      <c r="F21" s="232"/>
      <c r="G21" s="324"/>
      <c r="H21" s="232"/>
      <c r="I21" s="249">
        <f>F21+G21+H21</f>
        <v>0</v>
      </c>
      <c r="J21" s="80" t="str">
        <f>'SUMMARY BRL'!J13</f>
        <v>1,9%/5,1%</v>
      </c>
      <c r="K21" s="250" t="e">
        <f>F21+G21+L21</f>
        <v>#VALUE!</v>
      </c>
      <c r="L21" s="235" t="e">
        <f>IF((-I21*J21)&gt;=0,0,(-I21*J21))</f>
        <v>#VALUE!</v>
      </c>
      <c r="M21" s="324"/>
      <c r="N21" s="324"/>
      <c r="O21" s="200"/>
      <c r="P21" s="200"/>
      <c r="Q21" s="332"/>
    </row>
    <row r="22" spans="2:19" ht="13.5" hidden="1" thickBot="1">
      <c r="B22" s="1584"/>
      <c r="C22" s="1383"/>
      <c r="D22" s="1511"/>
      <c r="E22" s="231" t="s">
        <v>41</v>
      </c>
      <c r="F22" s="232"/>
      <c r="G22" s="248"/>
      <c r="H22" s="232"/>
      <c r="I22" s="249">
        <f>F22+G22+H22</f>
        <v>0</v>
      </c>
      <c r="J22" s="81" t="str">
        <f>'SUMMARY BRL'!J14</f>
        <v>1,9%/5,1%</v>
      </c>
      <c r="K22" s="250" t="e">
        <f>F22+G22+L22</f>
        <v>#VALUE!</v>
      </c>
      <c r="L22" s="235" t="e">
        <f>IF((-I22*J22)&gt;=0,0,(-I22*J22))</f>
        <v>#VALUE!</v>
      </c>
      <c r="M22" s="324"/>
      <c r="N22" s="324"/>
      <c r="O22" s="200"/>
      <c r="P22" s="200"/>
      <c r="Q22" s="332"/>
    </row>
    <row r="23" spans="2:19" ht="13.5" hidden="1" thickBot="1">
      <c r="B23" s="1584"/>
      <c r="C23" s="1383"/>
      <c r="D23" s="1505" t="s">
        <v>24</v>
      </c>
      <c r="E23" s="1506"/>
      <c r="F23" s="238">
        <f>SUM(F18:F22)</f>
        <v>0</v>
      </c>
      <c r="G23" s="238">
        <f>SUM(G18:G22)</f>
        <v>0</v>
      </c>
      <c r="H23" s="238">
        <f>SUM(H18:H22)</f>
        <v>0</v>
      </c>
      <c r="I23" s="238">
        <f>SUM(I18:I22)</f>
        <v>0</v>
      </c>
      <c r="J23" s="76">
        <f>IF(ISERROR(-L23/I23),0,IF(-L23/I23&lt;0,100%,IF(-L23/I23&gt;100%,100%,-L23/I23)))</f>
        <v>0</v>
      </c>
      <c r="K23" s="238" t="e">
        <f>SUM(K18:K22)</f>
        <v>#VALUE!</v>
      </c>
      <c r="L23" s="256" t="e">
        <f>SUM(L18:L22)</f>
        <v>#VALUE!</v>
      </c>
      <c r="M23" s="239"/>
      <c r="N23" s="239"/>
      <c r="O23" s="242"/>
      <c r="P23" s="242" t="e">
        <f>-L23+O23</f>
        <v>#VALUE!</v>
      </c>
      <c r="Q23" s="332"/>
    </row>
    <row r="24" spans="2:19" ht="13.5" hidden="1" thickBot="1">
      <c r="B24" s="1584"/>
      <c r="C24" s="1384"/>
      <c r="D24" s="83" t="s">
        <v>9</v>
      </c>
      <c r="E24" s="84"/>
      <c r="F24" s="257">
        <f>F17+F23</f>
        <v>0</v>
      </c>
      <c r="G24" s="257">
        <f>G17+G23</f>
        <v>0</v>
      </c>
      <c r="H24" s="257">
        <f>H17+H23</f>
        <v>0</v>
      </c>
      <c r="I24" s="257">
        <f>I17+I23</f>
        <v>0</v>
      </c>
      <c r="J24" s="85">
        <f>IF(ISERROR(-L24/I24),0,IF(-L24/I24&lt;0,100%,IF(-L24/I24&gt;100%,100%,-L24/I24)))</f>
        <v>0</v>
      </c>
      <c r="K24" s="257" t="e">
        <f>K17+K23</f>
        <v>#VALUE!</v>
      </c>
      <c r="L24" s="257" t="e">
        <f>L17+L23</f>
        <v>#VALUE!</v>
      </c>
      <c r="M24" s="531"/>
      <c r="N24" s="531"/>
      <c r="O24" s="258">
        <f>SUM(O17,O23)</f>
        <v>0</v>
      </c>
      <c r="P24" s="258" t="e">
        <f>SUM(P17,P23)</f>
        <v>#VALUE!</v>
      </c>
      <c r="Q24" s="334"/>
    </row>
    <row r="25" spans="2:19" hidden="1">
      <c r="B25" s="1584"/>
      <c r="C25" s="1380" t="s">
        <v>15</v>
      </c>
      <c r="D25" s="1478" t="s">
        <v>6</v>
      </c>
      <c r="E25" s="259" t="s">
        <v>37</v>
      </c>
      <c r="F25" s="260"/>
      <c r="G25" s="261"/>
      <c r="H25" s="186"/>
      <c r="I25" s="262">
        <f>F25+G25+H25</f>
        <v>0</v>
      </c>
      <c r="J25" s="90">
        <f>'SUMMARY BRL'!J6</f>
        <v>1</v>
      </c>
      <c r="K25" s="263">
        <f>F25+G25+L25</f>
        <v>0</v>
      </c>
      <c r="L25" s="264">
        <f>IF((-I25*J25)&gt;=0,0,(-I25*J25))</f>
        <v>0</v>
      </c>
      <c r="M25" s="277"/>
      <c r="N25" s="277"/>
      <c r="O25" s="190"/>
      <c r="P25" s="190"/>
      <c r="Q25" s="332"/>
    </row>
    <row r="26" spans="2:19" hidden="1">
      <c r="B26" s="1584"/>
      <c r="C26" s="1383"/>
      <c r="D26" s="1479"/>
      <c r="E26" s="265" t="s">
        <v>38</v>
      </c>
      <c r="F26" s="266"/>
      <c r="G26" s="267"/>
      <c r="H26" s="195"/>
      <c r="I26" s="268">
        <f>F26+G26+H26</f>
        <v>0</v>
      </c>
      <c r="J26" s="97">
        <f>'SUMMARY BRL'!J7</f>
        <v>0.9</v>
      </c>
      <c r="K26" s="269">
        <f>F26+G26+L26</f>
        <v>0</v>
      </c>
      <c r="L26" s="270">
        <f>IF((-I26*J26)&gt;=0,0,(-I26*J26))</f>
        <v>0</v>
      </c>
      <c r="M26" s="279"/>
      <c r="N26" s="279"/>
      <c r="O26" s="200"/>
      <c r="P26" s="200"/>
      <c r="Q26" s="332"/>
    </row>
    <row r="27" spans="2:19" ht="13.5" hidden="1" thickBot="1">
      <c r="B27" s="1584"/>
      <c r="C27" s="1383"/>
      <c r="D27" s="1512"/>
      <c r="E27" s="265" t="s">
        <v>36</v>
      </c>
      <c r="F27" s="266"/>
      <c r="G27" s="267"/>
      <c r="H27" s="195"/>
      <c r="I27" s="268">
        <f>F27+G27+H27</f>
        <v>0</v>
      </c>
      <c r="J27" s="97">
        <f>'SUMMARY BRL'!J8</f>
        <v>0.9</v>
      </c>
      <c r="K27" s="269">
        <f>F27+G27+L27</f>
        <v>0</v>
      </c>
      <c r="L27" s="270">
        <f>IF((-I27*J27)&gt;=0,0,(-I27*J27))</f>
        <v>0</v>
      </c>
      <c r="M27" s="279"/>
      <c r="N27" s="279"/>
      <c r="O27" s="200"/>
      <c r="P27" s="200"/>
      <c r="Q27" s="332"/>
    </row>
    <row r="28" spans="2:19" ht="13.5" hidden="1" thickBot="1">
      <c r="B28" s="1584"/>
      <c r="C28" s="1383"/>
      <c r="D28" s="1481" t="s">
        <v>23</v>
      </c>
      <c r="E28" s="1482"/>
      <c r="F28" s="271">
        <f>SUM(F25:F27)</f>
        <v>0</v>
      </c>
      <c r="G28" s="272">
        <f>SUM(G25:G27)</f>
        <v>0</v>
      </c>
      <c r="H28" s="333"/>
      <c r="I28" s="273">
        <f>SUM(I25:I27)</f>
        <v>0</v>
      </c>
      <c r="J28" s="103">
        <f>IF(ISERROR(-L28/I28),0,IF(-L28/I28&lt;0,100%,IF(-L28/I28&gt;100%,100%,-L28/I28)))</f>
        <v>0</v>
      </c>
      <c r="K28" s="273">
        <f>SUM(K25:K27)</f>
        <v>0</v>
      </c>
      <c r="L28" s="274">
        <f>SUM(L25:L27)</f>
        <v>0</v>
      </c>
      <c r="M28" s="274"/>
      <c r="N28" s="274"/>
      <c r="O28" s="275"/>
      <c r="P28" s="275">
        <f>-L28+O28</f>
        <v>0</v>
      </c>
      <c r="Q28" s="332"/>
    </row>
    <row r="29" spans="2:19" hidden="1">
      <c r="B29" s="1584"/>
      <c r="C29" s="1383"/>
      <c r="D29" s="1478" t="s">
        <v>4</v>
      </c>
      <c r="E29" s="276" t="s">
        <v>39</v>
      </c>
      <c r="F29" s="260"/>
      <c r="G29" s="277"/>
      <c r="H29" s="262"/>
      <c r="I29" s="262">
        <f>F29+G29+H29</f>
        <v>0</v>
      </c>
      <c r="J29" s="108">
        <f>'SUMMARY BRL'!J10</f>
        <v>0.6</v>
      </c>
      <c r="K29" s="263">
        <f>F29+G29+L29</f>
        <v>0</v>
      </c>
      <c r="L29" s="264">
        <f>IF((-I29*J29)&gt;=0,0,(-I29*J29))</f>
        <v>0</v>
      </c>
      <c r="M29" s="279"/>
      <c r="N29" s="279"/>
      <c r="O29" s="200"/>
      <c r="P29" s="200"/>
      <c r="Q29" s="332"/>
    </row>
    <row r="30" spans="2:19" hidden="1">
      <c r="B30" s="1584"/>
      <c r="C30" s="1383"/>
      <c r="D30" s="1479"/>
      <c r="E30" s="278" t="s">
        <v>33</v>
      </c>
      <c r="F30" s="266"/>
      <c r="G30" s="279"/>
      <c r="H30" s="268"/>
      <c r="I30" s="268">
        <f>F30+G30+H30</f>
        <v>0</v>
      </c>
      <c r="J30" s="111">
        <f>'SUMMARY BRL'!J11</f>
        <v>0.6</v>
      </c>
      <c r="K30" s="269">
        <f>F30+G30+L30</f>
        <v>0</v>
      </c>
      <c r="L30" s="270">
        <f>IF((-I30*J30)&gt;=0,0,(-I30*J30))</f>
        <v>0</v>
      </c>
      <c r="M30" s="279"/>
      <c r="N30" s="279"/>
      <c r="O30" s="200"/>
      <c r="P30" s="200"/>
      <c r="Q30" s="332"/>
    </row>
    <row r="31" spans="2:19" hidden="1">
      <c r="B31" s="1584"/>
      <c r="C31" s="1383"/>
      <c r="D31" s="1483"/>
      <c r="E31" s="280" t="s">
        <v>1</v>
      </c>
      <c r="F31" s="281"/>
      <c r="G31" s="282"/>
      <c r="H31" s="283"/>
      <c r="I31" s="283">
        <f>F31+G31+H31</f>
        <v>0</v>
      </c>
      <c r="J31" s="116">
        <f>'SUMMARY BRL'!J12</f>
        <v>0.6</v>
      </c>
      <c r="K31" s="284">
        <f>F31+G31+L31</f>
        <v>0</v>
      </c>
      <c r="L31" s="285">
        <f>IF((-I31*J31)&gt;=0,0,(-I31*J31))</f>
        <v>0</v>
      </c>
      <c r="M31" s="279"/>
      <c r="N31" s="279"/>
      <c r="O31" s="200"/>
      <c r="P31" s="200"/>
      <c r="Q31" s="332"/>
    </row>
    <row r="32" spans="2:19" hidden="1">
      <c r="B32" s="1584"/>
      <c r="C32" s="1383"/>
      <c r="D32" s="1484" t="s">
        <v>40</v>
      </c>
      <c r="E32" s="265" t="s">
        <v>33</v>
      </c>
      <c r="F32" s="266"/>
      <c r="G32" s="279"/>
      <c r="H32" s="268"/>
      <c r="I32" s="268">
        <f>F32+G32+H32</f>
        <v>0</v>
      </c>
      <c r="J32" s="97" t="str">
        <f>'SUMMARY BRL'!J13</f>
        <v>1,9%/5,1%</v>
      </c>
      <c r="K32" s="269" t="e">
        <f>F32+G32+L32</f>
        <v>#VALUE!</v>
      </c>
      <c r="L32" s="270" t="e">
        <f>IF((-I32*J32)&gt;=0,0,(-I32*J32))</f>
        <v>#VALUE!</v>
      </c>
      <c r="M32" s="279"/>
      <c r="N32" s="279"/>
      <c r="O32" s="200"/>
      <c r="P32" s="200"/>
      <c r="Q32" s="332"/>
    </row>
    <row r="33" spans="2:20" ht="13.5" hidden="1" thickBot="1">
      <c r="B33" s="1584"/>
      <c r="C33" s="1383"/>
      <c r="D33" s="1485"/>
      <c r="E33" s="265" t="s">
        <v>41</v>
      </c>
      <c r="F33" s="266"/>
      <c r="G33" s="279"/>
      <c r="H33" s="268"/>
      <c r="I33" s="268">
        <f>F33+G33+H33</f>
        <v>0</v>
      </c>
      <c r="J33" s="119" t="str">
        <f>'SUMMARY BRL'!J14</f>
        <v>1,9%/5,1%</v>
      </c>
      <c r="K33" s="269" t="e">
        <f>F33+G33+L33</f>
        <v>#VALUE!</v>
      </c>
      <c r="L33" s="270" t="e">
        <f>IF((-I33*J33)&gt;=0,0,(-I33*J33))</f>
        <v>#VALUE!</v>
      </c>
      <c r="M33" s="279"/>
      <c r="N33" s="279"/>
      <c r="O33" s="200"/>
      <c r="P33" s="200"/>
      <c r="Q33" s="332"/>
    </row>
    <row r="34" spans="2:20" ht="13.5" hidden="1" thickBot="1">
      <c r="B34" s="1584"/>
      <c r="C34" s="1383"/>
      <c r="D34" s="1481" t="s">
        <v>24</v>
      </c>
      <c r="E34" s="1482"/>
      <c r="F34" s="271">
        <f>SUM(F29:F33)</f>
        <v>0</v>
      </c>
      <c r="G34" s="271">
        <f>SUM(G29:G33)</f>
        <v>0</v>
      </c>
      <c r="H34" s="271">
        <f>SUM(H29:H33)</f>
        <v>0</v>
      </c>
      <c r="I34" s="271">
        <f>SUM(I29:I33)</f>
        <v>0</v>
      </c>
      <c r="J34" s="103">
        <f>IF(ISERROR(-L34/I34),0,IF(-L34/I34&lt;0,100%,IF(-L34/I34&gt;100%,100%,-L34/I34)))</f>
        <v>0</v>
      </c>
      <c r="K34" s="271" t="e">
        <f>SUM(K29:K33)</f>
        <v>#VALUE!</v>
      </c>
      <c r="L34" s="286" t="e">
        <f>SUM(L29:L33)</f>
        <v>#VALUE!</v>
      </c>
      <c r="M34" s="272"/>
      <c r="N34" s="272"/>
      <c r="O34" s="275"/>
      <c r="P34" s="275" t="e">
        <f>-L34+O34</f>
        <v>#VALUE!</v>
      </c>
      <c r="Q34" s="332"/>
    </row>
    <row r="35" spans="2:20" ht="13.5" hidden="1" thickBot="1">
      <c r="B35" s="1584"/>
      <c r="C35" s="1384"/>
      <c r="D35" s="121" t="s">
        <v>9</v>
      </c>
      <c r="E35" s="122"/>
      <c r="F35" s="287">
        <f>F28+F34</f>
        <v>0</v>
      </c>
      <c r="G35" s="287">
        <f>G28+G34</f>
        <v>0</v>
      </c>
      <c r="H35" s="287">
        <f>H28+H34</f>
        <v>0</v>
      </c>
      <c r="I35" s="287">
        <f>I28+I34</f>
        <v>0</v>
      </c>
      <c r="J35" s="124">
        <f>IF(ISERROR(-L35/I35),0,IF(-L35/I35&lt;0,100%,IF(-L35/I35&gt;100%,100%,-L35/I35)))</f>
        <v>0</v>
      </c>
      <c r="K35" s="287" t="e">
        <f>K28+K34</f>
        <v>#VALUE!</v>
      </c>
      <c r="L35" s="287" t="e">
        <f>L28+L34</f>
        <v>#VALUE!</v>
      </c>
      <c r="M35" s="532"/>
      <c r="N35" s="532"/>
      <c r="O35" s="288">
        <f>SUM(O28,O34)</f>
        <v>0</v>
      </c>
      <c r="P35" s="288" t="e">
        <f>SUM(P28,P34)</f>
        <v>#VALUE!</v>
      </c>
      <c r="Q35" s="334"/>
    </row>
    <row r="36" spans="2:20" ht="13.5" thickBot="1">
      <c r="B36" s="1585"/>
      <c r="C36" s="1580" t="s">
        <v>17</v>
      </c>
      <c r="D36" s="1581"/>
      <c r="E36" s="1582"/>
      <c r="F36" s="541">
        <f>F13+F24+F35</f>
        <v>27.717239999999997</v>
      </c>
      <c r="G36" s="542">
        <f>G35+G24+G13</f>
        <v>-0.40467000000000003</v>
      </c>
      <c r="H36" s="543">
        <f>H35+H24+H13</f>
        <v>0</v>
      </c>
      <c r="I36" s="543">
        <f>I35+I24+I13</f>
        <v>27.312569999999997</v>
      </c>
      <c r="J36" s="544">
        <f>IF(ISERROR(-L36/I36),0,IF(-L36/I36&lt;0,100%,IF(-L36/I36&gt;100%,100%,-L36/I36)))</f>
        <v>0</v>
      </c>
      <c r="K36" s="545" t="e">
        <f>K35+K24+K13</f>
        <v>#VALUE!</v>
      </c>
      <c r="L36" s="545" t="e">
        <f>L35+L24+L13</f>
        <v>#VALUE!</v>
      </c>
      <c r="M36" s="546">
        <f>M13+M6</f>
        <v>-27.717410000000001</v>
      </c>
      <c r="N36" s="546">
        <f>N13+N6</f>
        <v>0</v>
      </c>
      <c r="O36" s="546">
        <f>O35+O24+O13</f>
        <v>-27.717410000000001</v>
      </c>
      <c r="P36" s="545" t="e">
        <f>P35+P24+P13</f>
        <v>#VALUE!</v>
      </c>
      <c r="Q36" s="335"/>
    </row>
    <row r="37" spans="2:20" s="298" customFormat="1">
      <c r="B37" s="127"/>
      <c r="C37" s="293"/>
      <c r="D37" s="294"/>
      <c r="E37" s="295"/>
      <c r="F37" s="295"/>
      <c r="G37" s="295"/>
      <c r="H37" s="295"/>
      <c r="I37" s="295"/>
      <c r="J37" s="547"/>
      <c r="K37" s="548"/>
      <c r="L37" s="548"/>
      <c r="M37" s="548"/>
      <c r="N37" s="548"/>
      <c r="O37" s="548"/>
      <c r="P37" s="549"/>
      <c r="Q37" s="331"/>
      <c r="R37" s="191"/>
      <c r="S37" s="180"/>
      <c r="T37" s="180"/>
    </row>
    <row r="38" spans="2:20" s="298" customFormat="1">
      <c r="B38" s="127"/>
      <c r="C38" s="293"/>
      <c r="D38" s="294"/>
      <c r="E38" s="295"/>
      <c r="F38" s="295"/>
      <c r="G38" s="295"/>
      <c r="H38" s="295"/>
      <c r="I38" s="295"/>
      <c r="J38" s="550" t="s">
        <v>25</v>
      </c>
      <c r="K38" s="551"/>
      <c r="L38" s="552" t="s">
        <v>14</v>
      </c>
      <c r="M38" s="552" t="s">
        <v>158</v>
      </c>
      <c r="N38" s="552" t="s">
        <v>159</v>
      </c>
      <c r="O38" s="552" t="s">
        <v>22</v>
      </c>
      <c r="P38" s="553" t="s">
        <v>16</v>
      </c>
      <c r="Q38" s="336"/>
      <c r="R38" s="297"/>
    </row>
    <row r="39" spans="2:20" s="298" customFormat="1">
      <c r="B39" s="127"/>
      <c r="C39" s="293"/>
      <c r="D39" s="294"/>
      <c r="E39" s="295"/>
      <c r="F39" s="295"/>
      <c r="G39" s="295"/>
      <c r="H39" s="295"/>
      <c r="I39" s="295"/>
      <c r="J39" s="554" t="s">
        <v>26</v>
      </c>
      <c r="K39" s="555"/>
      <c r="L39" s="324">
        <f>+L6+L17+L28</f>
        <v>-27.717239999999997</v>
      </c>
      <c r="M39" s="324">
        <f>+M6+M17+M28</f>
        <v>-27.717410000000001</v>
      </c>
      <c r="N39" s="324">
        <f>N6</f>
        <v>0</v>
      </c>
      <c r="O39" s="324">
        <f>M39+N39</f>
        <v>-27.717410000000001</v>
      </c>
      <c r="P39" s="556">
        <f>+P6+P17+P28</f>
        <v>-1.7000000000422233E-4</v>
      </c>
      <c r="Q39" s="337"/>
      <c r="R39" s="297"/>
    </row>
    <row r="40" spans="2:20" s="298" customFormat="1" ht="15">
      <c r="B40" s="127"/>
      <c r="C40" s="293"/>
      <c r="D40" s="294"/>
      <c r="E40" s="295"/>
      <c r="F40" s="295"/>
      <c r="G40" s="295"/>
      <c r="H40" s="295"/>
      <c r="I40" s="295"/>
      <c r="J40" s="554" t="s">
        <v>27</v>
      </c>
      <c r="K40" s="555"/>
      <c r="L40" s="557" t="e">
        <f>+L12+L23+L34</f>
        <v>#VALUE!</v>
      </c>
      <c r="M40" s="557">
        <f>+M12+M23+M34</f>
        <v>0</v>
      </c>
      <c r="N40" s="557">
        <f>N13</f>
        <v>0</v>
      </c>
      <c r="O40" s="557">
        <f>M40+N40</f>
        <v>0</v>
      </c>
      <c r="P40" s="558" t="e">
        <f>+P12+P23+P34</f>
        <v>#VALUE!</v>
      </c>
      <c r="Q40" s="338"/>
      <c r="R40" s="297"/>
    </row>
    <row r="41" spans="2:20" s="298" customFormat="1" ht="13.5" thickBot="1">
      <c r="B41" s="127"/>
      <c r="C41" s="293"/>
      <c r="D41" s="294"/>
      <c r="E41" s="295"/>
      <c r="F41" s="295"/>
      <c r="G41" s="295"/>
      <c r="H41" s="295"/>
      <c r="I41" s="295"/>
      <c r="J41" s="554" t="s">
        <v>28</v>
      </c>
      <c r="K41" s="559"/>
      <c r="L41" s="560" t="e">
        <f>SUM(L39:L40)</f>
        <v>#VALUE!</v>
      </c>
      <c r="M41" s="560">
        <f>SUM(M39:M40)</f>
        <v>-27.717410000000001</v>
      </c>
      <c r="N41" s="560">
        <f>SUM(N39:N40)</f>
        <v>0</v>
      </c>
      <c r="O41" s="560">
        <f>SUM(O39:O40)</f>
        <v>-27.717410000000001</v>
      </c>
      <c r="P41" s="561" t="e">
        <f>SUM(P39:P40)</f>
        <v>#VALUE!</v>
      </c>
      <c r="Q41" s="335"/>
      <c r="R41" s="297"/>
    </row>
    <row r="42" spans="2:20" s="298" customFormat="1" ht="14.25" thickTop="1" thickBot="1">
      <c r="B42" s="127"/>
      <c r="C42" s="293"/>
      <c r="D42" s="294"/>
      <c r="E42" s="295"/>
      <c r="F42" s="295"/>
      <c r="G42" s="295"/>
      <c r="H42" s="295"/>
      <c r="I42" s="295"/>
      <c r="J42" s="562"/>
      <c r="K42" s="563"/>
      <c r="L42" s="564"/>
      <c r="M42" s="564"/>
      <c r="N42" s="564"/>
      <c r="O42" s="564"/>
      <c r="P42" s="565"/>
      <c r="Q42" s="335"/>
      <c r="R42" s="297"/>
    </row>
    <row r="43" spans="2:20" ht="13.5" hidden="1" thickBot="1">
      <c r="R43" s="297"/>
      <c r="S43" s="298"/>
      <c r="T43" s="298"/>
    </row>
    <row r="44" spans="2:20" ht="13.5" hidden="1" thickBot="1">
      <c r="C44" s="180" t="s">
        <v>42</v>
      </c>
      <c r="D44" s="157" t="s">
        <v>21</v>
      </c>
      <c r="E44" s="157" t="s">
        <v>5</v>
      </c>
      <c r="F44" s="158" t="s">
        <v>12</v>
      </c>
      <c r="G44" s="158" t="s">
        <v>11</v>
      </c>
      <c r="H44" s="158" t="s">
        <v>3</v>
      </c>
      <c r="I44" s="158" t="s">
        <v>10</v>
      </c>
      <c r="J44" s="158" t="s">
        <v>0</v>
      </c>
      <c r="K44" s="162" t="s">
        <v>2</v>
      </c>
      <c r="L44" s="160" t="s">
        <v>14</v>
      </c>
      <c r="M44" s="163"/>
      <c r="N44" s="163"/>
      <c r="O44" s="163" t="s">
        <v>22</v>
      </c>
      <c r="P44" s="160" t="s">
        <v>16</v>
      </c>
      <c r="Q44" s="164"/>
    </row>
    <row r="45" spans="2:20" hidden="1">
      <c r="B45" s="1544" t="s">
        <v>19</v>
      </c>
      <c r="C45" s="1524" t="s">
        <v>8</v>
      </c>
      <c r="D45" s="299" t="s">
        <v>1</v>
      </c>
      <c r="E45" s="300" t="s">
        <v>1</v>
      </c>
      <c r="F45" s="196"/>
      <c r="G45" s="196">
        <v>0</v>
      </c>
      <c r="H45" s="196">
        <v>0</v>
      </c>
      <c r="I45" s="301">
        <f>+F45</f>
        <v>0</v>
      </c>
      <c r="J45" s="197">
        <f>'SUMMARY BRL'!J19</f>
        <v>2.3E-2</v>
      </c>
      <c r="K45" s="302">
        <f>F45+G45+L45</f>
        <v>0</v>
      </c>
      <c r="L45" s="303">
        <f>IF((-I45*J45)&gt;=0,0,(-I45*J45))</f>
        <v>0</v>
      </c>
      <c r="M45" s="533"/>
      <c r="N45" s="533"/>
      <c r="R45" s="180"/>
    </row>
    <row r="46" spans="2:20" ht="13.5" hidden="1" thickBot="1">
      <c r="B46" s="1545"/>
      <c r="C46" s="1525"/>
      <c r="D46" s="136" t="s">
        <v>7</v>
      </c>
      <c r="E46" s="304" t="s">
        <v>34</v>
      </c>
      <c r="F46" s="305"/>
      <c r="G46" s="305">
        <v>0</v>
      </c>
      <c r="H46" s="305">
        <v>0</v>
      </c>
      <c r="I46" s="305">
        <f>+F46</f>
        <v>0</v>
      </c>
      <c r="J46" s="306">
        <f>'SUMMARY BRL'!J20</f>
        <v>2.3E-2</v>
      </c>
      <c r="K46" s="307">
        <f>F46+G46+L46</f>
        <v>0</v>
      </c>
      <c r="L46" s="308">
        <f>IF((-I46*J46)&gt;=0,0,(-I46*J46))</f>
        <v>0</v>
      </c>
      <c r="M46" s="533"/>
      <c r="N46" s="533"/>
      <c r="O46" s="191"/>
      <c r="P46" s="191"/>
      <c r="Q46" s="340"/>
      <c r="R46" s="180"/>
    </row>
    <row r="47" spans="2:20" ht="13.5" hidden="1" thickBot="1">
      <c r="B47" s="1545"/>
      <c r="C47" s="1525"/>
      <c r="D47" s="141" t="s">
        <v>9</v>
      </c>
      <c r="E47" s="142"/>
      <c r="F47" s="222"/>
      <c r="G47" s="222">
        <f>SUM(G45:G46)</f>
        <v>0</v>
      </c>
      <c r="H47" s="222">
        <f>SUM(H45:H46)</f>
        <v>0</v>
      </c>
      <c r="I47" s="222">
        <f>SUM(I45:I46)</f>
        <v>0</v>
      </c>
      <c r="J47" s="309">
        <v>0</v>
      </c>
      <c r="K47" s="310">
        <f>SUM(K45:K46)</f>
        <v>0</v>
      </c>
      <c r="L47" s="208">
        <f>SUM(L45:L46)</f>
        <v>0</v>
      </c>
      <c r="M47" s="311"/>
      <c r="N47" s="311"/>
      <c r="O47" s="311"/>
      <c r="P47" s="209"/>
      <c r="Q47" s="334"/>
      <c r="R47" s="180"/>
    </row>
    <row r="48" spans="2:20" hidden="1">
      <c r="B48" s="1545"/>
      <c r="C48" s="1524" t="s">
        <v>13</v>
      </c>
      <c r="D48" s="151" t="s">
        <v>1</v>
      </c>
      <c r="E48" s="312" t="s">
        <v>1</v>
      </c>
      <c r="F48" s="313"/>
      <c r="G48" s="313">
        <v>0</v>
      </c>
      <c r="H48" s="313">
        <v>0</v>
      </c>
      <c r="I48" s="313">
        <f>+F48</f>
        <v>0</v>
      </c>
      <c r="J48" s="314">
        <f>'SUMMARY BRL'!J19</f>
        <v>2.3E-2</v>
      </c>
      <c r="K48" s="315">
        <f>F48+G48+L48</f>
        <v>0</v>
      </c>
      <c r="L48" s="316">
        <f>IF((-I48*J48)&gt;=0,0,(-I48*J48))</f>
        <v>0</v>
      </c>
      <c r="M48" s="237"/>
      <c r="N48" s="237"/>
      <c r="O48" s="191"/>
      <c r="P48" s="191"/>
      <c r="Q48" s="340"/>
      <c r="R48" s="180"/>
    </row>
    <row r="49" spans="2:18" ht="13.5" hidden="1" thickBot="1">
      <c r="B49" s="1545"/>
      <c r="C49" s="1525"/>
      <c r="D49" s="151" t="s">
        <v>7</v>
      </c>
      <c r="E49" s="312" t="s">
        <v>34</v>
      </c>
      <c r="F49" s="313"/>
      <c r="G49" s="313">
        <v>0</v>
      </c>
      <c r="H49" s="313">
        <v>0</v>
      </c>
      <c r="I49" s="313">
        <f>+F49</f>
        <v>0</v>
      </c>
      <c r="J49" s="314">
        <f>'SUMMARY BRL'!J20</f>
        <v>2.3E-2</v>
      </c>
      <c r="K49" s="315">
        <f>F49+G49+L49</f>
        <v>0</v>
      </c>
      <c r="L49" s="316">
        <f>IF((-I49*J49)&gt;=0,0,(-I49*J49))</f>
        <v>0</v>
      </c>
      <c r="M49" s="237"/>
      <c r="N49" s="237"/>
      <c r="O49" s="191"/>
      <c r="P49" s="191"/>
      <c r="Q49" s="340"/>
      <c r="R49" s="180"/>
    </row>
    <row r="50" spans="2:18" ht="13.5" hidden="1" thickBot="1">
      <c r="B50" s="1545"/>
      <c r="C50" s="1525"/>
      <c r="D50" s="152" t="s">
        <v>9</v>
      </c>
      <c r="E50" s="153"/>
      <c r="F50" s="238">
        <f>SUM(F48:F49)</f>
        <v>0</v>
      </c>
      <c r="G50" s="238">
        <f>SUM(G48:G49)</f>
        <v>0</v>
      </c>
      <c r="H50" s="238">
        <f>SUM(H48:H49)</f>
        <v>0</v>
      </c>
      <c r="I50" s="238">
        <f>SUM(I48:I49)</f>
        <v>0</v>
      </c>
      <c r="J50" s="317">
        <v>0</v>
      </c>
      <c r="K50" s="256">
        <f>SUM(K48:K49)</f>
        <v>0</v>
      </c>
      <c r="L50" s="318">
        <f>SUM(L48:L49)</f>
        <v>0</v>
      </c>
      <c r="M50" s="534"/>
      <c r="N50" s="534"/>
      <c r="O50" s="319">
        <f>L50</f>
        <v>0</v>
      </c>
      <c r="P50" s="319">
        <f>+O50-L50</f>
        <v>0</v>
      </c>
      <c r="Q50" s="334"/>
      <c r="R50" s="180"/>
    </row>
    <row r="51" spans="2:18" ht="13.5" hidden="1" thickBot="1">
      <c r="B51" s="1546"/>
      <c r="C51" s="1558" t="s">
        <v>18</v>
      </c>
      <c r="D51" s="1559"/>
      <c r="E51" s="341"/>
      <c r="F51" s="289">
        <f>+F50+F47</f>
        <v>0</v>
      </c>
      <c r="G51" s="289">
        <f>+G50+G47</f>
        <v>0</v>
      </c>
      <c r="H51" s="289">
        <f>+H50+H47</f>
        <v>0</v>
      </c>
      <c r="I51" s="289">
        <f>+I50+I47</f>
        <v>0</v>
      </c>
      <c r="J51" s="290">
        <f>IF(ISERROR(-L51/I51),0,IF(-L51/I51&lt;0,100%,IF(-L51/I51&gt;100%,100%,-L51/I51)))</f>
        <v>0</v>
      </c>
      <c r="K51" s="289">
        <f>F51+G51+L51</f>
        <v>0</v>
      </c>
      <c r="L51" s="320">
        <f>SUM(L50,L47)</f>
        <v>0</v>
      </c>
      <c r="M51" s="320"/>
      <c r="N51" s="320"/>
      <c r="O51" s="320">
        <f>SUM(O50,O47)</f>
        <v>0</v>
      </c>
      <c r="P51" s="291">
        <f>SUM(P50,P47)</f>
        <v>0</v>
      </c>
      <c r="Q51" s="335"/>
      <c r="R51" s="180"/>
    </row>
    <row r="52" spans="2:18">
      <c r="L52" s="225"/>
      <c r="M52" s="225"/>
      <c r="N52" s="225"/>
      <c r="O52" s="225"/>
      <c r="R52" s="180"/>
    </row>
    <row r="53" spans="2:18" ht="13.5" thickBot="1">
      <c r="P53" s="225"/>
      <c r="R53" s="180"/>
    </row>
    <row r="54" spans="2:18" ht="13.5" thickBot="1">
      <c r="D54" s="1486" t="s">
        <v>23</v>
      </c>
      <c r="E54" s="1487"/>
      <c r="F54" s="538">
        <f>F6+F17+F28+G6+G17+G28</f>
        <v>27.717239999999997</v>
      </c>
      <c r="G54" s="222">
        <f>INPUT!Q8/1000</f>
        <v>411.51796000000002</v>
      </c>
      <c r="H54" s="566">
        <f>(F54-G54)*1000</f>
        <v>-383800.72000000003</v>
      </c>
    </row>
    <row r="55" spans="2:18">
      <c r="F55" s="180" t="s">
        <v>132</v>
      </c>
      <c r="G55" s="180" t="s">
        <v>132</v>
      </c>
      <c r="H55" s="180" t="s">
        <v>132</v>
      </c>
    </row>
  </sheetData>
  <mergeCells count="27">
    <mergeCell ref="D54:E54"/>
    <mergeCell ref="E1:L1"/>
    <mergeCell ref="B3:B36"/>
    <mergeCell ref="C3:C13"/>
    <mergeCell ref="D3:D5"/>
    <mergeCell ref="D6:E6"/>
    <mergeCell ref="D7:D9"/>
    <mergeCell ref="D10:D11"/>
    <mergeCell ref="D12:E12"/>
    <mergeCell ref="C14:C24"/>
    <mergeCell ref="D14:D16"/>
    <mergeCell ref="B2:C2"/>
    <mergeCell ref="B45:B51"/>
    <mergeCell ref="C45:C47"/>
    <mergeCell ref="C48:C50"/>
    <mergeCell ref="D17:E17"/>
    <mergeCell ref="C51:D51"/>
    <mergeCell ref="C36:E36"/>
    <mergeCell ref="D18:D20"/>
    <mergeCell ref="D21:D22"/>
    <mergeCell ref="D23:E23"/>
    <mergeCell ref="C25:C35"/>
    <mergeCell ref="D25:D27"/>
    <mergeCell ref="D28:E28"/>
    <mergeCell ref="D29:D31"/>
    <mergeCell ref="D32:D33"/>
    <mergeCell ref="D34:E34"/>
  </mergeCells>
  <pageMargins left="0.2" right="0.23622047244094491" top="0.48" bottom="0.36" header="0.31496062992125984" footer="0.31496062992125984"/>
  <pageSetup scale="64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R30"/>
  <sheetViews>
    <sheetView showGridLines="0" topLeftCell="E1" zoomScaleNormal="100" workbookViewId="0">
      <selection activeCell="N16" sqref="N16"/>
    </sheetView>
  </sheetViews>
  <sheetFormatPr defaultRowHeight="12.75"/>
  <cols>
    <col min="1" max="1" width="3.5703125" style="180" customWidth="1"/>
    <col min="2" max="2" width="6.42578125" style="180" bestFit="1" customWidth="1"/>
    <col min="3" max="3" width="8.85546875" style="180" hidden="1" customWidth="1"/>
    <col min="4" max="4" width="12" style="180" customWidth="1"/>
    <col min="5" max="5" width="24.5703125" style="180" bestFit="1" customWidth="1"/>
    <col min="6" max="6" width="12" style="423" bestFit="1" customWidth="1"/>
    <col min="7" max="7" width="9.140625" style="180" bestFit="1" customWidth="1"/>
    <col min="8" max="8" width="10.42578125" style="180" customWidth="1"/>
    <col min="9" max="9" width="13.140625" style="180" bestFit="1" customWidth="1"/>
    <col min="10" max="11" width="10" style="180" bestFit="1" customWidth="1"/>
    <col min="12" max="12" width="13.42578125" style="180" customWidth="1"/>
    <col min="13" max="13" width="11.5703125" style="180" bestFit="1" customWidth="1"/>
    <col min="14" max="14" width="13.7109375" style="180" bestFit="1" customWidth="1"/>
    <col min="15" max="15" width="13.5703125" style="191" bestFit="1" customWidth="1"/>
    <col min="16" max="16" width="10" style="191" bestFit="1" customWidth="1"/>
    <col min="17" max="17" width="9" style="180" bestFit="1" customWidth="1"/>
    <col min="18" max="16384" width="9.140625" style="180"/>
  </cols>
  <sheetData>
    <row r="3" spans="1:18" ht="15" customHeight="1">
      <c r="A3" s="1105"/>
      <c r="B3" s="1238" t="s">
        <v>174</v>
      </c>
      <c r="C3" s="1238"/>
      <c r="D3" s="1238"/>
      <c r="E3" s="1238"/>
      <c r="F3" s="1239" t="s">
        <v>213</v>
      </c>
      <c r="G3" s="1238"/>
      <c r="H3" s="1238"/>
      <c r="I3" s="1238"/>
      <c r="J3" s="1238"/>
      <c r="K3" s="1238"/>
      <c r="L3" s="1238"/>
      <c r="M3" s="1238"/>
      <c r="N3" s="1238"/>
      <c r="O3" s="1238"/>
      <c r="P3" s="180"/>
    </row>
    <row r="4" spans="1:18" ht="13.5" thickBot="1">
      <c r="K4" s="424"/>
      <c r="L4" s="225"/>
      <c r="M4" s="225"/>
      <c r="N4" s="225"/>
      <c r="P4" s="180"/>
    </row>
    <row r="5" spans="1:18" ht="26.25" thickBot="1">
      <c r="B5" s="1406" t="s">
        <v>108</v>
      </c>
      <c r="C5" s="1407"/>
      <c r="D5" s="1124" t="s">
        <v>21</v>
      </c>
      <c r="E5" s="1125" t="s">
        <v>5</v>
      </c>
      <c r="F5" s="1126" t="s">
        <v>12</v>
      </c>
      <c r="G5" s="1126" t="s">
        <v>11</v>
      </c>
      <c r="H5" s="1126" t="s">
        <v>3</v>
      </c>
      <c r="I5" s="1126" t="s">
        <v>10</v>
      </c>
      <c r="J5" s="1127" t="s">
        <v>0</v>
      </c>
      <c r="K5" s="1128" t="s">
        <v>2</v>
      </c>
      <c r="L5" s="1129" t="s">
        <v>14</v>
      </c>
      <c r="M5" s="1129" t="s">
        <v>22</v>
      </c>
      <c r="N5" s="1130" t="s">
        <v>47</v>
      </c>
      <c r="P5" s="180"/>
    </row>
    <row r="6" spans="1:18" ht="15.75" customHeight="1">
      <c r="B6" s="1408" t="s">
        <v>46</v>
      </c>
      <c r="C6" s="1380" t="s">
        <v>29</v>
      </c>
      <c r="D6" s="1402" t="s">
        <v>6</v>
      </c>
      <c r="E6" s="1099" t="s">
        <v>37</v>
      </c>
      <c r="F6" s="905">
        <f>'BAD DEBT All Business'!F8+'BAD DEBT All Business'!F19+'BAD DEBT All Business'!F30+'BAD DEBT All Business'!F41+'BAD DEBT All Business'!F52</f>
        <v>344725.18606000004</v>
      </c>
      <c r="G6" s="905">
        <f>'BAD DEBT All Business'!G8+'BAD DEBT All Business'!G19+'BAD DEBT All Business'!G30+'BAD DEBT All Business'!G41+'BAD DEBT All Business'!G52</f>
        <v>-17537.223630000004</v>
      </c>
      <c r="H6" s="905">
        <f>'BAD DEBT All Business'!H8+'BAD DEBT All Business'!H19+'BAD DEBT All Business'!H30+'BAD DEBT All Business'!H41+'BAD DEBT All Business'!H52</f>
        <v>0</v>
      </c>
      <c r="I6" s="905">
        <f>'BAD DEBT All Business'!I8+'BAD DEBT All Business'!I19+'BAD DEBT All Business'!I30+'BAD DEBT All Business'!I41+'BAD DEBT All Business'!I52</f>
        <v>326953.93768000003</v>
      </c>
      <c r="J6" s="1102">
        <v>1</v>
      </c>
      <c r="K6" s="905">
        <f>'BAD DEBT 9115'!K3+'BAD DEBT 9130'!K3+'BAD DEBT 4168 9280'!K14+'BAD DEBT 4168 9282'!K14+'BAD DEBT 4168 9290'!K14+'BAD DEBT 4188 9117'!K25+'BAD DEBT 4188 9280'!K14+'BAD DEBT 4188 9282'!K14</f>
        <v>0</v>
      </c>
      <c r="L6" s="905">
        <f>'BAD DEBT 9115'!L3+'BAD DEBT 9130'!L3+'BAD DEBT 4168 9280'!L14+'BAD DEBT 4168 9282'!L14+'BAD DEBT 4168 9290'!L14+'BAD DEBT 4188 9117'!L25+'BAD DEBT 4188 9280'!L14+'BAD DEBT 4188 9282'!L14</f>
        <v>-328484.93767999997</v>
      </c>
      <c r="M6" s="200"/>
      <c r="N6" s="190"/>
      <c r="P6" s="431"/>
    </row>
    <row r="7" spans="1:18" ht="15.75" customHeight="1">
      <c r="B7" s="1411"/>
      <c r="C7" s="1383"/>
      <c r="D7" s="1403"/>
      <c r="E7" s="1100" t="s">
        <v>38</v>
      </c>
      <c r="F7" s="433">
        <f>'BAD DEBT All Business'!F9+'BAD DEBT All Business'!F20+'BAD DEBT All Business'!F31+'BAD DEBT All Business'!F42+'BAD DEBT All Business'!F53</f>
        <v>4416.8165799999997</v>
      </c>
      <c r="G7" s="433">
        <f>'BAD DEBT All Business'!G9+'BAD DEBT All Business'!G20+'BAD DEBT All Business'!G31+'BAD DEBT All Business'!G42+'BAD DEBT All Business'!G53</f>
        <v>0</v>
      </c>
      <c r="H7" s="433">
        <f>'BAD DEBT All Business'!H9+'BAD DEBT All Business'!H20+'BAD DEBT All Business'!H31+'BAD DEBT All Business'!H42+'BAD DEBT All Business'!H53</f>
        <v>0</v>
      </c>
      <c r="I7" s="433">
        <f>'BAD DEBT All Business'!I9+'BAD DEBT All Business'!I20+'BAD DEBT All Business'!I31+'BAD DEBT All Business'!I42+'BAD DEBT All Business'!I53</f>
        <v>4416.8165799999997</v>
      </c>
      <c r="J7" s="1103">
        <v>0.9</v>
      </c>
      <c r="K7" s="433">
        <f>'BAD DEBT 9115'!K4+'BAD DEBT 9130'!K4+'BAD DEBT 4168 9280'!K15+'BAD DEBT 4168 9282'!K15+'BAD DEBT 4168 9290'!K15+'BAD DEBT 4188 9117'!K26+'BAD DEBT 4188 9280'!K15+'BAD DEBT 4188 9282'!K15</f>
        <v>441.68165799999986</v>
      </c>
      <c r="L7" s="433">
        <f>'BAD DEBT 9115'!L4+'BAD DEBT 9130'!L4+'BAD DEBT 4168 9280'!L15+'BAD DEBT 4168 9282'!L15+'BAD DEBT 4168 9290'!L15+'BAD DEBT 4188 9117'!L26+'BAD DEBT 4188 9280'!L15+'BAD DEBT 4188 9282'!L15</f>
        <v>-3975.1349219999997</v>
      </c>
      <c r="M7" s="200"/>
      <c r="N7" s="200"/>
      <c r="P7" s="431"/>
      <c r="Q7" s="1209"/>
      <c r="R7" s="1209"/>
    </row>
    <row r="8" spans="1:18" ht="15.75" customHeight="1" thickBot="1">
      <c r="B8" s="1411"/>
      <c r="C8" s="1383"/>
      <c r="D8" s="1404"/>
      <c r="E8" s="1101" t="s">
        <v>36</v>
      </c>
      <c r="F8" s="452">
        <f>'BAD DEBT All Business'!F10+'BAD DEBT All Business'!F21+'BAD DEBT All Business'!F32+'BAD DEBT All Business'!F43+'BAD DEBT All Business'!F54</f>
        <v>0</v>
      </c>
      <c r="G8" s="452">
        <f>'BAD DEBT All Business'!G10+'BAD DEBT All Business'!G21+'BAD DEBT All Business'!G32+'BAD DEBT All Business'!G43+'BAD DEBT All Business'!G54</f>
        <v>0</v>
      </c>
      <c r="H8" s="452">
        <f>'BAD DEBT All Business'!H10+'BAD DEBT All Business'!H21+'BAD DEBT All Business'!H32+'BAD DEBT All Business'!H43+'BAD DEBT All Business'!H54</f>
        <v>0</v>
      </c>
      <c r="I8" s="452">
        <f>'BAD DEBT All Business'!I10+'BAD DEBT All Business'!I21+'BAD DEBT All Business'!I32+'BAD DEBT All Business'!I43+'BAD DEBT All Business'!I54</f>
        <v>0</v>
      </c>
      <c r="J8" s="1104">
        <v>0.9</v>
      </c>
      <c r="K8" s="452">
        <f>'BAD DEBT 9115'!K5+'BAD DEBT 9130'!K5+'BAD DEBT 4168 9280'!K16+'BAD DEBT 4168 9282'!K16+'BAD DEBT 4168 9290'!K16+'BAD DEBT 4188 9117'!K27+'BAD DEBT 4188 9280'!K16+'BAD DEBT 4188 9282'!K16</f>
        <v>0</v>
      </c>
      <c r="L8" s="452">
        <f>'BAD DEBT 9115'!L5+'BAD DEBT 9130'!L5+'BAD DEBT 4168 9280'!L16+'BAD DEBT 4168 9282'!L16+'BAD DEBT 4168 9290'!L16+'BAD DEBT 4188 9117'!L27+'BAD DEBT 4188 9280'!L16+'BAD DEBT 4188 9282'!L16</f>
        <v>0</v>
      </c>
      <c r="M8" s="200"/>
      <c r="N8" s="200"/>
      <c r="P8" s="180"/>
      <c r="Q8" s="191"/>
      <c r="R8" s="225"/>
    </row>
    <row r="9" spans="1:18" ht="15.75" customHeight="1" thickBot="1">
      <c r="B9" s="1411"/>
      <c r="C9" s="1389"/>
      <c r="D9" s="1393" t="s">
        <v>23</v>
      </c>
      <c r="E9" s="1405"/>
      <c r="F9" s="1094">
        <f>SUM(F6:F8)</f>
        <v>349142.00264000002</v>
      </c>
      <c r="G9" s="1095">
        <f>SUM(G6:G8)</f>
        <v>-17537.223630000004</v>
      </c>
      <c r="H9" s="1096">
        <f>SUM(H6:H8)</f>
        <v>0</v>
      </c>
      <c r="I9" s="1098">
        <f>SUM(I6:I8)</f>
        <v>331370.75426000002</v>
      </c>
      <c r="J9" s="441">
        <v>0.98955780399951176</v>
      </c>
      <c r="K9" s="440">
        <f>SUM(K6:K8)</f>
        <v>441.68165799999986</v>
      </c>
      <c r="L9" s="442">
        <f>SUM(L6:L8)</f>
        <v>-332460.07260199997</v>
      </c>
      <c r="M9" s="1263">
        <f>'BAD DEBT All Business'!N11+'BAD DEBT All Business'!N22+'BAD DEBT All Business'!N33+'BAD DEBT All Business'!N44+'BAD DEBT All Business'!N55</f>
        <v>-335633.92436</v>
      </c>
      <c r="N9" s="443">
        <f>-L9+M9</f>
        <v>-3173.8517580000334</v>
      </c>
      <c r="P9" s="180"/>
      <c r="Q9" s="191"/>
      <c r="R9" s="225"/>
    </row>
    <row r="10" spans="1:18" ht="15.75" customHeight="1">
      <c r="B10" s="1411"/>
      <c r="C10" s="1389"/>
      <c r="D10" s="1395" t="s">
        <v>4</v>
      </c>
      <c r="E10" s="1097" t="s">
        <v>39</v>
      </c>
      <c r="F10" s="905">
        <f>'BAD DEBT All Business'!F12+'BAD DEBT All Business'!F23+'BAD DEBT All Business'!F34+'BAD DEBT All Business'!F45+'BAD DEBT All Business'!F56</f>
        <v>113173.65982999999</v>
      </c>
      <c r="G10" s="905">
        <f>'BAD DEBT All Business'!G12+'BAD DEBT All Business'!G23+'BAD DEBT All Business'!G34+'BAD DEBT All Business'!G45+'BAD DEBT All Business'!G56</f>
        <v>-2058.0686900000001</v>
      </c>
      <c r="H10" s="905">
        <f>'BAD DEBT All Business'!H12+'BAD DEBT All Business'!H23+'BAD DEBT All Business'!H34+'BAD DEBT All Business'!H45+'BAD DEBT All Business'!H56</f>
        <v>-18078.263599999995</v>
      </c>
      <c r="I10" s="905">
        <f>'BAD DEBT All Business'!I12+'BAD DEBT All Business'!I23+'BAD DEBT All Business'!I34+'BAD DEBT All Business'!I45+'BAD DEBT All Business'!I56</f>
        <v>93037.327539999998</v>
      </c>
      <c r="J10" s="1102">
        <v>0.6</v>
      </c>
      <c r="K10" s="905">
        <f>'BAD DEBT 9115'!K7+'BAD DEBT 9130'!K7+'BAD DEBT 4168 9280'!K18+'BAD DEBT 4168 9282'!K18+'BAD DEBT 4168 9290'!K18+'BAD DEBT 4188 9117'!K29+'BAD DEBT 4188 9280'!K18+'BAD DEBT 4188 9282'!K18</f>
        <v>37039.935003826999</v>
      </c>
      <c r="L10" s="905">
        <f>'BAD DEBT 9115'!L7+'BAD DEBT 9130'!L7+'BAD DEBT 4168 9280'!L18+'BAD DEBT 4168 9282'!L18+'BAD DEBT 4168 9290'!L18+'BAD DEBT 4188 9117'!L29+'BAD DEBT 4188 9280'!L18+'BAD DEBT 4188 9282'!L18</f>
        <v>-74075.656136172984</v>
      </c>
      <c r="M10" s="1262"/>
      <c r="N10" s="450"/>
      <c r="P10" s="431"/>
      <c r="Q10" s="191"/>
      <c r="R10" s="225"/>
    </row>
    <row r="11" spans="1:18" ht="15.75" customHeight="1">
      <c r="B11" s="1411"/>
      <c r="C11" s="1383"/>
      <c r="D11" s="1396"/>
      <c r="E11" s="445" t="s">
        <v>33</v>
      </c>
      <c r="F11" s="433">
        <f>'BAD DEBT All Business'!F13+'BAD DEBT All Business'!F24+'BAD DEBT All Business'!F35+'BAD DEBT All Business'!F46+'BAD DEBT All Business'!F53</f>
        <v>59.275740000000006</v>
      </c>
      <c r="G11" s="433">
        <f>'BAD DEBT All Business'!G13+'BAD DEBT All Business'!G24+'BAD DEBT All Business'!G35+'BAD DEBT All Business'!G46+'BAD DEBT All Business'!G53</f>
        <v>0</v>
      </c>
      <c r="H11" s="433">
        <f>'BAD DEBT All Business'!H13+'BAD DEBT All Business'!H24+'BAD DEBT All Business'!H35+'BAD DEBT All Business'!H46+'BAD DEBT All Business'!H53</f>
        <v>0</v>
      </c>
      <c r="I11" s="433">
        <f>'BAD DEBT All Business'!I13+'BAD DEBT All Business'!I24+'BAD DEBT All Business'!I35+'BAD DEBT All Business'!I46+'BAD DEBT All Business'!I53</f>
        <v>59.275740000000006</v>
      </c>
      <c r="J11" s="1103">
        <v>0.6</v>
      </c>
      <c r="K11" s="433">
        <f>'BAD DEBT 9115'!K8+'BAD DEBT 9130'!K8+'BAD DEBT 4168 9280'!K19+'BAD DEBT 4168 9282'!K19+'BAD DEBT 4168 9290'!K19+'BAD DEBT 4188 9117'!K30+'BAD DEBT 4188 9280'!K19+'BAD DEBT 4188 9282'!K19</f>
        <v>23.710296000000007</v>
      </c>
      <c r="L11" s="433">
        <f>'BAD DEBT 9115'!L8+'BAD DEBT 9130'!L8+'BAD DEBT 4168 9280'!L19+'BAD DEBT 4168 9282'!L19+'BAD DEBT 4168 9290'!L19+'BAD DEBT 4188 9117'!L30+'BAD DEBT 4188 9280'!L19+'BAD DEBT 4188 9282'!L19</f>
        <v>-35.565443999999999</v>
      </c>
      <c r="M11" s="200"/>
      <c r="N11" s="200"/>
      <c r="P11" s="431"/>
      <c r="Q11" s="191"/>
      <c r="R11" s="225"/>
    </row>
    <row r="12" spans="1:18" ht="15.75" customHeight="1">
      <c r="B12" s="1411"/>
      <c r="C12" s="1383"/>
      <c r="D12" s="1397"/>
      <c r="E12" s="451" t="s">
        <v>1</v>
      </c>
      <c r="F12" s="452">
        <f>'BAD DEBT All Business'!F14+'BAD DEBT All Business'!F25+'BAD DEBT All Business'!F36+'BAD DEBT All Business'!G47+'BAD DEBT All Business'!G58</f>
        <v>0</v>
      </c>
      <c r="G12" s="452">
        <f>'BAD DEBT All Business'!G14+'BAD DEBT All Business'!G25+'BAD DEBT All Business'!G36+'BAD DEBT All Business'!H47+'BAD DEBT All Business'!H58</f>
        <v>0</v>
      </c>
      <c r="H12" s="452">
        <f>'BAD DEBT All Business'!H14+'BAD DEBT All Business'!H25+'BAD DEBT All Business'!H36+'BAD DEBT All Business'!I47+'BAD DEBT All Business'!I58</f>
        <v>0</v>
      </c>
      <c r="I12" s="452">
        <f>'BAD DEBT All Business'!I14+'BAD DEBT All Business'!I25+'BAD DEBT All Business'!I36+'BAD DEBT All Business'!J47+'BAD DEBT All Business'!J58</f>
        <v>1.2</v>
      </c>
      <c r="J12" s="1104">
        <v>0.6</v>
      </c>
      <c r="K12" s="452">
        <f>'BAD DEBT 9115'!K9+'BAD DEBT 9130'!K9+'BAD DEBT 4168 9280'!K20+'BAD DEBT 4168 9282'!K20+'BAD DEBT 4168 9290'!K20+'BAD DEBT 4188 9117'!K31+'BAD DEBT 4188 9280'!K20+'BAD DEBT 4188 9282'!K20</f>
        <v>0</v>
      </c>
      <c r="L12" s="452">
        <f>'BAD DEBT 9115'!L9+'BAD DEBT 9130'!L9+'BAD DEBT 4168 9280'!L20+'BAD DEBT 4168 9282'!L20+'BAD DEBT 4168 9290'!L20+'BAD DEBT 4188 9117'!L31+'BAD DEBT 4188 9280'!L20+'BAD DEBT 4188 9282'!L20</f>
        <v>0</v>
      </c>
      <c r="M12" s="200"/>
      <c r="N12" s="200"/>
      <c r="P12" s="431"/>
      <c r="Q12" s="225"/>
      <c r="R12" s="225"/>
    </row>
    <row r="13" spans="1:18" ht="15.75" customHeight="1">
      <c r="B13" s="1411"/>
      <c r="C13" s="1383"/>
      <c r="D13" s="1398" t="s">
        <v>40</v>
      </c>
      <c r="E13" s="457" t="s">
        <v>33</v>
      </c>
      <c r="F13" s="433">
        <f>'BAD DEBT All Business'!F15+'BAD DEBT All Business'!F26+'BAD DEBT All Business'!F37+'BAD DEBT All Business'!F48+'BAD DEBT All Business'!F59</f>
        <v>180163.99117999978</v>
      </c>
      <c r="G13" s="433">
        <f>'BAD DEBT All Business'!G15+'BAD DEBT All Business'!G26+'BAD DEBT All Business'!G37+'BAD DEBT All Business'!G48+'BAD DEBT All Business'!G59</f>
        <v>0</v>
      </c>
      <c r="H13" s="433">
        <f>'BAD DEBT All Business'!H15+'BAD DEBT All Business'!H26+'BAD DEBT All Business'!H37+'BAD DEBT All Business'!H48+'BAD DEBT All Business'!H59</f>
        <v>-32424.307710000026</v>
      </c>
      <c r="I13" s="433">
        <f>'BAD DEBT All Business'!I15+'BAD DEBT All Business'!I26+'BAD DEBT All Business'!I37+'BAD DEBT All Business'!I48+'BAD DEBT All Business'!I59</f>
        <v>147739.68346999979</v>
      </c>
      <c r="J13" s="1314" t="s">
        <v>206</v>
      </c>
      <c r="K13" s="433">
        <f>'BAD DEBT 9115'!K10+'BAD DEBT 9130'!K10+'BAD DEBT 4168 9280'!K21+'BAD DEBT 4168 9282'!K21+'BAD DEBT 4168 9290'!K21+'BAD DEBT 4188 9117'!K32+'BAD DEBT 4188 9280'!K21+'BAD DEBT 4188 9282'!K21</f>
        <v>176998.72504978735</v>
      </c>
      <c r="L13" s="433">
        <f>'BAD DEBT 9115'!L10+'BAD DEBT 9130'!L10+'BAD DEBT 4168 9280'!L21+'BAD DEBT 4168 9282'!L21+'BAD DEBT 4168 9290'!L21+'BAD DEBT 4188 9117'!L32+'BAD DEBT 4188 9280'!L21+'BAD DEBT 4188 9282'!L21</f>
        <v>-3165.2661302124602</v>
      </c>
      <c r="M13" s="200"/>
      <c r="N13" s="225"/>
      <c r="P13" s="431"/>
    </row>
    <row r="14" spans="1:18" ht="15.75" customHeight="1" thickBot="1">
      <c r="B14" s="1411"/>
      <c r="C14" s="1383"/>
      <c r="D14" s="1399"/>
      <c r="E14" s="457" t="s">
        <v>41</v>
      </c>
      <c r="F14" s="433">
        <f>'BAD DEBT All Business'!F16+'BAD DEBT All Business'!F27+'BAD DEBT All Business'!F38+'BAD DEBT All Business'!F49+'BAD DEBT All Business'!F60</f>
        <v>319877.63634999981</v>
      </c>
      <c r="G14" s="433">
        <f>'BAD DEBT All Business'!G16+'BAD DEBT All Business'!G27+'BAD DEBT All Business'!G38+'BAD DEBT All Business'!G49+'BAD DEBT All Business'!G60</f>
        <v>-274380.73662524193</v>
      </c>
      <c r="H14" s="433">
        <f>'BAD DEBT All Business'!H16+'BAD DEBT All Business'!H27+'BAD DEBT All Business'!H38+'BAD DEBT All Business'!H49+'BAD DEBT All Business'!H60</f>
        <v>-89987.588687921991</v>
      </c>
      <c r="I14" s="433">
        <f>'BAD DEBT All Business'!I16+'BAD DEBT All Business'!I27+'BAD DEBT All Business'!I38+'BAD DEBT All Business'!I49+'BAD DEBT All Business'!I60</f>
        <v>-44490.688963164095</v>
      </c>
      <c r="J14" s="1314" t="s">
        <v>206</v>
      </c>
      <c r="K14" s="433">
        <f>'BAD DEBT 9115'!K11+'BAD DEBT 9130'!K11+'BAD DEBT 4168 9280'!K22+'BAD DEBT 4168 9282'!K22+'BAD DEBT 4168 9290'!K22+'BAD DEBT 4188 9117'!K33+'BAD DEBT 4188 9280'!K22+'BAD DEBT 4188 9282'!K22</f>
        <v>158508.30539153551</v>
      </c>
      <c r="L14" s="433">
        <f>'BAD DEBT 9115'!L11+'BAD DEBT 9130'!L11+'BAD DEBT 4168 9280'!L22+'BAD DEBT 4168 9282'!L22+'BAD DEBT 4168 9290'!L22+'BAD DEBT 4188 9117'!L33+'BAD DEBT 4188 9280'!L22+'BAD DEBT 4188 9282'!L22</f>
        <v>-2062.2658647259263</v>
      </c>
      <c r="M14" s="895"/>
      <c r="N14" s="225"/>
      <c r="P14" s="431"/>
    </row>
    <row r="15" spans="1:18" ht="15.75" customHeight="1" thickBot="1">
      <c r="B15" s="1411"/>
      <c r="C15" s="1383"/>
      <c r="D15" s="1400" t="s">
        <v>24</v>
      </c>
      <c r="E15" s="1401"/>
      <c r="F15" s="461">
        <f>SUM(F10:F14)</f>
        <v>613274.56309999956</v>
      </c>
      <c r="G15" s="462">
        <f>SUM(G10:G14)</f>
        <v>-276438.80531524192</v>
      </c>
      <c r="H15" s="462">
        <f>SUM(H10:H14)</f>
        <v>-140490.15999792202</v>
      </c>
      <c r="I15" s="462">
        <f>SUM(I10:I14)</f>
        <v>196346.7977868357</v>
      </c>
      <c r="J15" s="1216">
        <f>IF(ISERROR(-L15/I15),0,IF(-L15/I15&lt;0,100%,IF(-L15/I15&gt;100%,100%,-L15/I15)))</f>
        <v>0.40407459897179304</v>
      </c>
      <c r="K15" s="462">
        <f>SUM(K10:K14)</f>
        <v>372570.67574114987</v>
      </c>
      <c r="L15" s="462">
        <f>SUM(L10:L14)</f>
        <v>-79338.753575111376</v>
      </c>
      <c r="M15" s="444">
        <f>'BAD DEBT All Business'!N17+'BAD DEBT All Business'!N28+'BAD DEBT All Business'!N39+'BAD DEBT All Business'!N50+'BAD DEBT All Business'!N61</f>
        <v>-91328.492193159997</v>
      </c>
      <c r="N15" s="444">
        <f>-L15+M15</f>
        <v>-11989.738618048621</v>
      </c>
      <c r="P15" s="431"/>
      <c r="Q15" s="225"/>
    </row>
    <row r="16" spans="1:18" ht="15.75" customHeight="1" thickBot="1">
      <c r="B16" s="1412"/>
      <c r="C16" s="1384"/>
      <c r="D16" s="1119" t="s">
        <v>9</v>
      </c>
      <c r="E16" s="1120"/>
      <c r="F16" s="1121">
        <f>F15+F9</f>
        <v>962416.56573999953</v>
      </c>
      <c r="G16" s="1121">
        <f>G15+G9</f>
        <v>-293976.02894524194</v>
      </c>
      <c r="H16" s="1121">
        <f>H15+H9</f>
        <v>-140490.15999792202</v>
      </c>
      <c r="I16" s="1121">
        <f>I15+I9</f>
        <v>527717.55204683566</v>
      </c>
      <c r="J16" s="1122">
        <f>IF(ISERROR(-L16/I16),0,IF(-L16/I16&lt;0,100%,IF(-L16/I16&gt;100%,100%,-L16/I16)))</f>
        <v>0.78033945351994594</v>
      </c>
      <c r="K16" s="1121">
        <f>K15+K9</f>
        <v>373012.35739914986</v>
      </c>
      <c r="L16" s="1121">
        <f>L15+L9</f>
        <v>-411798.82617711136</v>
      </c>
      <c r="M16" s="1123">
        <f>SUM(M15,M9)</f>
        <v>-426962.41655316</v>
      </c>
      <c r="N16" s="1123">
        <f>SUM(N15,N9)</f>
        <v>-15163.590376048654</v>
      </c>
      <c r="P16" s="431"/>
    </row>
    <row r="17" spans="2:16" ht="13.5" thickBot="1">
      <c r="F17" s="1244"/>
      <c r="G17" s="225"/>
      <c r="I17" s="225"/>
      <c r="J17" s="225"/>
      <c r="L17" s="191"/>
      <c r="M17" s="191"/>
      <c r="P17" s="431"/>
    </row>
    <row r="18" spans="2:16" ht="26.25" thickBot="1">
      <c r="B18" s="1406" t="s">
        <v>108</v>
      </c>
      <c r="C18" s="1407"/>
      <c r="D18" s="157" t="s">
        <v>21</v>
      </c>
      <c r="E18" s="157" t="s">
        <v>5</v>
      </c>
      <c r="F18" s="344" t="s">
        <v>12</v>
      </c>
      <c r="G18" s="158" t="s">
        <v>11</v>
      </c>
      <c r="H18" s="158" t="s">
        <v>3</v>
      </c>
      <c r="I18" s="158" t="s">
        <v>10</v>
      </c>
      <c r="J18" s="158" t="s">
        <v>0</v>
      </c>
      <c r="K18" s="162" t="s">
        <v>2</v>
      </c>
      <c r="L18" s="160" t="s">
        <v>14</v>
      </c>
      <c r="M18" s="163" t="s">
        <v>22</v>
      </c>
      <c r="N18" s="160" t="s">
        <v>47</v>
      </c>
      <c r="P18" s="431"/>
    </row>
    <row r="19" spans="2:16" ht="20.25" customHeight="1">
      <c r="B19" s="1408" t="s">
        <v>44</v>
      </c>
      <c r="C19" s="1380" t="s">
        <v>29</v>
      </c>
      <c r="D19" s="465" t="s">
        <v>1</v>
      </c>
      <c r="E19" s="466" t="s">
        <v>1</v>
      </c>
      <c r="F19" s="467">
        <f>'BAD DEBT All Business'!F72+'BAD DEBT All Business'!F76</f>
        <v>204169.76173</v>
      </c>
      <c r="G19" s="467">
        <f>'BAD DEBT All Business'!G72+'BAD DEBT All Business'!G76</f>
        <v>0</v>
      </c>
      <c r="H19" s="467">
        <f>'BAD DEBT All Business'!H72+'BAD DEBT All Business'!H76</f>
        <v>0</v>
      </c>
      <c r="I19" s="454">
        <f>+F19</f>
        <v>204169.76173</v>
      </c>
      <c r="J19" s="1210">
        <v>2.3E-2</v>
      </c>
      <c r="K19" s="468">
        <f>F19+G19+L19</f>
        <v>200290.53625713001</v>
      </c>
      <c r="L19" s="469">
        <f>'BAD DEBT All Business'!L72+'BAD DEBT All Business'!L76</f>
        <v>-3879.22547287</v>
      </c>
      <c r="M19" s="298"/>
      <c r="N19" s="298"/>
      <c r="P19" s="431"/>
    </row>
    <row r="20" spans="2:16" ht="20.25" customHeight="1">
      <c r="B20" s="1409"/>
      <c r="C20" s="1383"/>
      <c r="D20" s="422" t="s">
        <v>7</v>
      </c>
      <c r="E20" s="470" t="s">
        <v>35</v>
      </c>
      <c r="F20" s="471">
        <f>'BAD DEBT All Business'!F73+'BAD DEBT All Business'!F77</f>
        <v>16437.888209999997</v>
      </c>
      <c r="G20" s="471">
        <f>'BAD DEBT All Business'!G73+'BAD DEBT All Business'!G77</f>
        <v>0</v>
      </c>
      <c r="H20" s="471">
        <f>'BAD DEBT All Business'!H73+'BAD DEBT All Business'!H77</f>
        <v>0</v>
      </c>
      <c r="I20" s="472">
        <f>+F20</f>
        <v>16437.888209999997</v>
      </c>
      <c r="J20" s="1211">
        <v>2.3E-2</v>
      </c>
      <c r="K20" s="474">
        <f>F20+G20+L20</f>
        <v>16125.568334009997</v>
      </c>
      <c r="L20" s="469">
        <f>'BAD DEBT All Business'!L73+'BAD DEBT All Business'!L77</f>
        <v>-312.31987598999996</v>
      </c>
      <c r="M20" s="297"/>
      <c r="N20" s="297"/>
      <c r="P20" s="431"/>
    </row>
    <row r="21" spans="2:16" ht="20.25" customHeight="1" thickBot="1">
      <c r="B21" s="1409"/>
      <c r="C21" s="1383"/>
      <c r="D21" s="1195" t="s">
        <v>4</v>
      </c>
      <c r="E21" s="1197" t="s">
        <v>115</v>
      </c>
      <c r="F21" s="471">
        <f>'BAD DEBT All Business'!F74+'BAD DEBT All Business'!F78</f>
        <v>0</v>
      </c>
      <c r="G21" s="471">
        <f>'BAD DEBT All Business'!G74+'BAD DEBT All Business'!G78</f>
        <v>0</v>
      </c>
      <c r="H21" s="471">
        <f>'BAD DEBT All Business'!H74+'BAD DEBT All Business'!H78</f>
        <v>0</v>
      </c>
      <c r="I21" s="471">
        <f>F21+G21+H21</f>
        <v>0</v>
      </c>
      <c r="J21" s="1009">
        <v>0.55000000000000004</v>
      </c>
      <c r="K21" s="1198">
        <f>F21+G21+L21</f>
        <v>0</v>
      </c>
      <c r="L21" s="469">
        <f>'BAD DEBT All Business'!L74+'BAD DEBT All Business'!L78</f>
        <v>0</v>
      </c>
      <c r="M21" s="297"/>
      <c r="N21" s="297"/>
      <c r="P21" s="431"/>
    </row>
    <row r="22" spans="2:16" ht="18.75" customHeight="1" thickBot="1">
      <c r="B22" s="1410"/>
      <c r="C22" s="1384"/>
      <c r="D22" s="860" t="s">
        <v>9</v>
      </c>
      <c r="E22" s="1114"/>
      <c r="F22" s="1115">
        <f>SUM(F19:F21)</f>
        <v>220607.64994</v>
      </c>
      <c r="G22" s="862">
        <f>SUM(G19:G20)</f>
        <v>0</v>
      </c>
      <c r="H22" s="862">
        <f>SUM(H19:H20)</f>
        <v>0</v>
      </c>
      <c r="I22" s="862">
        <f>SUM(I19:I21)</f>
        <v>220607.64994</v>
      </c>
      <c r="J22" s="1237">
        <v>0</v>
      </c>
      <c r="K22" s="1117">
        <f>SUM(K19:K21)</f>
        <v>216416.10459114</v>
      </c>
      <c r="L22" s="1118">
        <f>SUM(L19:L21)</f>
        <v>-4191.5453488599996</v>
      </c>
      <c r="M22" s="866">
        <f>('BAD DEBT All Business'!N75+'BAD DEBT All Business'!N79)</f>
        <v>-9020.2991899999997</v>
      </c>
      <c r="N22" s="866">
        <f>+M22-L22</f>
        <v>-4828.7538411400001</v>
      </c>
      <c r="P22" s="431"/>
    </row>
    <row r="23" spans="2:16" s="298" customFormat="1" ht="13.5" thickBot="1">
      <c r="B23" s="294"/>
      <c r="C23" s="294"/>
      <c r="D23" s="345"/>
      <c r="E23" s="345"/>
      <c r="F23" s="476"/>
      <c r="G23" s="477"/>
      <c r="H23" s="477"/>
      <c r="I23" s="477"/>
      <c r="J23" s="478"/>
      <c r="K23" s="479"/>
      <c r="L23" s="479"/>
      <c r="M23" s="479"/>
      <c r="N23" s="479"/>
      <c r="O23" s="191"/>
      <c r="P23" s="431"/>
    </row>
    <row r="24" spans="2:16" s="298" customFormat="1" ht="15.75" customHeight="1" thickBot="1">
      <c r="B24" s="1106" t="s">
        <v>32</v>
      </c>
      <c r="C24" s="1106" t="s">
        <v>31</v>
      </c>
      <c r="D24" s="1107" t="s">
        <v>9</v>
      </c>
      <c r="E24" s="1108"/>
      <c r="F24" s="1109">
        <f>+F16+F22</f>
        <v>1183024.2156799994</v>
      </c>
      <c r="G24" s="1109">
        <f>+G16+G22</f>
        <v>-293976.02894524194</v>
      </c>
      <c r="H24" s="1109">
        <f>+H16+H22</f>
        <v>-140490.15999792202</v>
      </c>
      <c r="I24" s="1109">
        <f>I22+I16</f>
        <v>748325.20198683569</v>
      </c>
      <c r="J24" s="1110">
        <f>-L24/I24</f>
        <v>0.55589517822131196</v>
      </c>
      <c r="K24" s="1111">
        <f>K16+K22</f>
        <v>589428.46199028986</v>
      </c>
      <c r="L24" s="1112">
        <f>L16+L22</f>
        <v>-415990.37152597134</v>
      </c>
      <c r="M24" s="1113">
        <f>M16+M22</f>
        <v>-435982.71574315999</v>
      </c>
      <c r="N24" s="1373">
        <f>M24-L24</f>
        <v>-19992.344217188656</v>
      </c>
      <c r="O24" s="1265"/>
      <c r="P24" s="431"/>
    </row>
    <row r="25" spans="2:16" s="298" customFormat="1">
      <c r="B25" s="294"/>
      <c r="C25" s="345"/>
      <c r="D25" s="345"/>
      <c r="E25" s="345"/>
      <c r="F25" s="480"/>
      <c r="G25" s="480"/>
      <c r="H25" s="480"/>
      <c r="I25" s="477"/>
      <c r="J25" s="1251"/>
      <c r="K25" s="479"/>
      <c r="L25" s="479"/>
      <c r="M25" s="296"/>
      <c r="N25" s="1199"/>
      <c r="O25" s="191"/>
      <c r="P25" s="297"/>
    </row>
    <row r="26" spans="2:16">
      <c r="F26" s="501"/>
      <c r="G26" s="501"/>
      <c r="H26" s="501"/>
      <c r="I26" s="501"/>
      <c r="J26" s="501"/>
      <c r="K26" s="501"/>
      <c r="L26" s="910"/>
      <c r="M26" s="910"/>
      <c r="N26" s="1260"/>
      <c r="O26" s="895"/>
    </row>
    <row r="27" spans="2:16">
      <c r="L27" s="895"/>
      <c r="M27" s="1261"/>
      <c r="N27" s="895"/>
      <c r="O27" s="895"/>
    </row>
    <row r="28" spans="2:16">
      <c r="F28" s="482"/>
      <c r="G28" s="225"/>
      <c r="M28" s="225"/>
      <c r="N28" s="191"/>
    </row>
    <row r="29" spans="2:16">
      <c r="F29" s="483"/>
      <c r="M29" s="1236"/>
      <c r="N29" s="191"/>
    </row>
    <row r="30" spans="2:16">
      <c r="M30" s="1226"/>
      <c r="N30" s="191"/>
    </row>
  </sheetData>
  <mergeCells count="11">
    <mergeCell ref="B18:C18"/>
    <mergeCell ref="B19:B22"/>
    <mergeCell ref="C19:C22"/>
    <mergeCell ref="B5:C5"/>
    <mergeCell ref="B6:B16"/>
    <mergeCell ref="C6:C16"/>
    <mergeCell ref="D6:D8"/>
    <mergeCell ref="D9:E9"/>
    <mergeCell ref="D15:E15"/>
    <mergeCell ref="D10:D12"/>
    <mergeCell ref="D13:D14"/>
  </mergeCells>
  <pageMargins left="0" right="0" top="0.47244094488188981" bottom="0.35433070866141736" header="0.31496062992125984" footer="0.31496062992125984"/>
  <pageSetup scale="87" orientation="landscape" r:id="rId1"/>
  <ignoredErrors>
    <ignoredError sqref="I9 J16 J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zoomScale="90" zoomScaleNormal="90" workbookViewId="0">
      <selection activeCell="D5" sqref="D5:N5"/>
    </sheetView>
  </sheetViews>
  <sheetFormatPr defaultRowHeight="12.75"/>
  <cols>
    <col min="1" max="1" width="3.5703125" style="180" customWidth="1"/>
    <col min="2" max="2" width="6.42578125" style="180" bestFit="1" customWidth="1"/>
    <col min="3" max="3" width="8.85546875" style="180" hidden="1" customWidth="1"/>
    <col min="4" max="4" width="9.28515625" style="180" bestFit="1" customWidth="1"/>
    <col min="5" max="5" width="24.5703125" style="180" bestFit="1" customWidth="1"/>
    <col min="6" max="6" width="11" style="423" bestFit="1" customWidth="1"/>
    <col min="7" max="8" width="10.5703125" style="180" bestFit="1" customWidth="1"/>
    <col min="9" max="9" width="11" style="180" bestFit="1" customWidth="1"/>
    <col min="10" max="10" width="10.140625" style="180" bestFit="1" customWidth="1"/>
    <col min="11" max="11" width="10" style="180" bestFit="1" customWidth="1"/>
    <col min="12" max="13" width="10.5703125" style="180" bestFit="1" customWidth="1"/>
    <col min="14" max="14" width="12.42578125" style="180" bestFit="1" customWidth="1"/>
    <col min="15" max="15" width="13.5703125" style="191" bestFit="1" customWidth="1"/>
    <col min="16" max="16" width="9.140625" style="191" bestFit="1" customWidth="1"/>
    <col min="17" max="17" width="9.28515625" style="180" bestFit="1" customWidth="1"/>
    <col min="18" max="16384" width="9.140625" style="180"/>
  </cols>
  <sheetData>
    <row r="1" spans="1:16">
      <c r="K1" s="1137" t="s">
        <v>45</v>
      </c>
      <c r="L1" s="1137">
        <v>3.1983999999999999</v>
      </c>
    </row>
    <row r="2" spans="1:16">
      <c r="D2" s="1136"/>
      <c r="E2" s="1136"/>
    </row>
    <row r="3" spans="1:16">
      <c r="D3" s="1136"/>
      <c r="E3" s="1136"/>
    </row>
    <row r="4" spans="1:16">
      <c r="D4" s="1136"/>
      <c r="E4" s="1136"/>
    </row>
    <row r="5" spans="1:16" ht="21.75" thickBot="1">
      <c r="A5" s="1138"/>
      <c r="B5" s="1138"/>
      <c r="C5" s="1138"/>
      <c r="D5" s="1385" t="s">
        <v>205</v>
      </c>
      <c r="E5" s="1385"/>
      <c r="F5" s="1385"/>
      <c r="G5" s="1385"/>
      <c r="H5" s="1385"/>
      <c r="I5" s="1385"/>
      <c r="J5" s="1385"/>
      <c r="K5" s="1385"/>
      <c r="L5" s="1385"/>
      <c r="M5" s="1385"/>
      <c r="N5" s="1385"/>
      <c r="P5" s="180"/>
    </row>
    <row r="6" spans="1:16" ht="14.25" thickTop="1" thickBot="1">
      <c r="K6" s="424"/>
      <c r="L6" s="225"/>
      <c r="M6" s="225"/>
      <c r="N6" s="225"/>
      <c r="P6" s="180"/>
    </row>
    <row r="7" spans="1:16" ht="26.25" thickBot="1">
      <c r="B7" s="1378" t="s">
        <v>30</v>
      </c>
      <c r="C7" s="1379"/>
      <c r="D7" s="157" t="s">
        <v>21</v>
      </c>
      <c r="E7" s="157" t="s">
        <v>5</v>
      </c>
      <c r="F7" s="344" t="s">
        <v>12</v>
      </c>
      <c r="G7" s="158" t="s">
        <v>11</v>
      </c>
      <c r="H7" s="158" t="s">
        <v>3</v>
      </c>
      <c r="I7" s="158" t="s">
        <v>10</v>
      </c>
      <c r="J7" s="158" t="s">
        <v>0</v>
      </c>
      <c r="K7" s="159" t="s">
        <v>2</v>
      </c>
      <c r="L7" s="160" t="s">
        <v>14</v>
      </c>
      <c r="M7" s="160" t="s">
        <v>22</v>
      </c>
      <c r="N7" s="161" t="s">
        <v>47</v>
      </c>
      <c r="P7" s="180"/>
    </row>
    <row r="8" spans="1:16" ht="15.75" customHeight="1">
      <c r="B8" s="1386" t="s">
        <v>171</v>
      </c>
      <c r="C8" s="1380" t="s">
        <v>29</v>
      </c>
      <c r="D8" s="1390" t="s">
        <v>6</v>
      </c>
      <c r="E8" s="425" t="s">
        <v>37</v>
      </c>
      <c r="F8" s="426">
        <f>'[6]SUMMARY BRL'!F6/'SUMMARY USD Q3'!$L$1</f>
        <v>94184.064966858452</v>
      </c>
      <c r="G8" s="427">
        <f>'[6]SUMMARY BRL'!G6/'SUMMARY USD Q3'!$L$1</f>
        <v>-4667.5918709354673</v>
      </c>
      <c r="H8" s="428">
        <f>'[6]SUMMARY BRL'!H6/'SUMMARY USD Q3'!$L$1</f>
        <v>0</v>
      </c>
      <c r="I8" s="428">
        <f>'[6]SUMMARY BRL'!I6/'SUMMARY USD Q3'!$L$1</f>
        <v>89516.473095922993</v>
      </c>
      <c r="J8" s="1315">
        <v>1</v>
      </c>
      <c r="K8" s="429">
        <f>'[6]SUMMARY BRL'!K6/'SUMMARY USD Q3'!$L$1</f>
        <v>0</v>
      </c>
      <c r="L8" s="430">
        <f>'[6]SUMMARY BRL'!L6/'SUMMARY USD Q3'!$L$1</f>
        <v>-89516.473095922993</v>
      </c>
      <c r="M8" s="190"/>
      <c r="N8" s="190"/>
      <c r="P8" s="431"/>
    </row>
    <row r="9" spans="1:16" ht="15.75" customHeight="1">
      <c r="B9" s="1387"/>
      <c r="C9" s="1383"/>
      <c r="D9" s="1391"/>
      <c r="E9" s="432" t="s">
        <v>38</v>
      </c>
      <c r="F9" s="433">
        <f>'[6]SUMMARY BRL'!F7/'SUMMARY USD Q3'!$L$1</f>
        <v>0</v>
      </c>
      <c r="G9" s="434">
        <f>'[6]SUMMARY BRL'!G7/'SUMMARY USD Q3'!$L$1</f>
        <v>0</v>
      </c>
      <c r="H9" s="435">
        <f>'[6]SUMMARY BRL'!H7/'SUMMARY USD Q3'!$L$1</f>
        <v>0</v>
      </c>
      <c r="I9" s="435">
        <f>'[6]SUMMARY BRL'!I7/'SUMMARY USD Q3'!$L$1</f>
        <v>0</v>
      </c>
      <c r="J9" s="1316">
        <v>0.9</v>
      </c>
      <c r="K9" s="436">
        <f>'[6]SUMMARY BRL'!K7/'SUMMARY USD Q3'!$L$1</f>
        <v>0</v>
      </c>
      <c r="L9" s="437">
        <f>'[6]SUMMARY BRL'!L7/'SUMMARY USD Q3'!$L$1</f>
        <v>0</v>
      </c>
      <c r="M9" s="200"/>
      <c r="N9" s="200"/>
      <c r="P9" s="431"/>
    </row>
    <row r="10" spans="1:16" ht="15.75" customHeight="1" thickBot="1">
      <c r="B10" s="1387"/>
      <c r="C10" s="1383"/>
      <c r="D10" s="1392"/>
      <c r="E10" s="432" t="s">
        <v>36</v>
      </c>
      <c r="F10" s="433">
        <f>'[6]SUMMARY BRL'!F8/'SUMMARY USD Q3'!$L$1</f>
        <v>0</v>
      </c>
      <c r="G10" s="434">
        <f>'[6]SUMMARY BRL'!G8/'SUMMARY USD Q3'!$L$1</f>
        <v>0</v>
      </c>
      <c r="H10" s="435">
        <f>'[6]SUMMARY BRL'!H8/'SUMMARY USD Q3'!$L$1</f>
        <v>0</v>
      </c>
      <c r="I10" s="435">
        <f>'[6]SUMMARY BRL'!I8/'SUMMARY USD Q3'!$L$1</f>
        <v>0</v>
      </c>
      <c r="J10" s="1316">
        <v>0.9</v>
      </c>
      <c r="K10" s="436">
        <f>'[6]SUMMARY BRL'!K8/'SUMMARY USD Q3'!$L$1</f>
        <v>0</v>
      </c>
      <c r="L10" s="437">
        <f>'[6]SUMMARY BRL'!L8/'SUMMARY USD Q3'!$L$1</f>
        <v>0</v>
      </c>
      <c r="M10" s="200"/>
      <c r="N10" s="200"/>
      <c r="P10" s="431"/>
    </row>
    <row r="11" spans="1:16" ht="15.75" customHeight="1" thickBot="1">
      <c r="B11" s="1387"/>
      <c r="C11" s="1389"/>
      <c r="D11" s="1393" t="s">
        <v>23</v>
      </c>
      <c r="E11" s="1394"/>
      <c r="F11" s="438">
        <f>'[6]SUMMARY BRL'!F9/'SUMMARY USD Q3'!$L$1</f>
        <v>94184.064966858452</v>
      </c>
      <c r="G11" s="439">
        <f>'[6]SUMMARY BRL'!G9/'SUMMARY USD Q3'!$L$1</f>
        <v>-4667.5918709354673</v>
      </c>
      <c r="H11" s="440">
        <f>'[6]SUMMARY BRL'!H9/'SUMMARY USD Q3'!$L$1</f>
        <v>0</v>
      </c>
      <c r="I11" s="440">
        <f>'[6]SUMMARY BRL'!I9/'SUMMARY USD Q3'!$L$1</f>
        <v>89516.473095922993</v>
      </c>
      <c r="J11" s="1317">
        <v>0.98955780399951176</v>
      </c>
      <c r="K11" s="440">
        <f>'[6]SUMMARY BRL'!K9/'SUMMARY USD Q3'!$L$1</f>
        <v>0</v>
      </c>
      <c r="L11" s="442">
        <f>'[6]SUMMARY BRL'!L9/'SUMMARY USD Q3'!$L$1</f>
        <v>-89516.473095922993</v>
      </c>
      <c r="M11" s="443">
        <f>'[6]SUMMARY BRL'!M9/'SUMMARY USD Q3'!$L$1</f>
        <v>-91577.303595547783</v>
      </c>
      <c r="N11" s="444">
        <f>'[6]SUMMARY BRL'!N9/'SUMMARY USD Q3'!$L$1</f>
        <v>-2060.8304996247957</v>
      </c>
      <c r="P11" s="431"/>
    </row>
    <row r="12" spans="1:16" ht="15.75" customHeight="1">
      <c r="B12" s="1387"/>
      <c r="C12" s="1389"/>
      <c r="D12" s="1395" t="s">
        <v>4</v>
      </c>
      <c r="E12" s="445" t="s">
        <v>39</v>
      </c>
      <c r="F12" s="433">
        <f>'[6]SUMMARY BRL'!F10/'SUMMARY USD Q3'!$L$1</f>
        <v>30772.586068034027</v>
      </c>
      <c r="G12" s="446">
        <f>'[6]SUMMARY BRL'!G10/'SUMMARY USD Q3'!$L$1</f>
        <v>-95.662168584292132</v>
      </c>
      <c r="H12" s="446">
        <f>'[6]SUMMARY BRL'!H10/'SUMMARY USD Q3'!$L$1</f>
        <v>-3776.1429402201111</v>
      </c>
      <c r="I12" s="447">
        <f>'[6]SUMMARY BRL'!I10/'SUMMARY USD Q3'!$L$1</f>
        <v>26900.780959229622</v>
      </c>
      <c r="J12" s="1318">
        <v>0.6</v>
      </c>
      <c r="K12" s="448">
        <f>'[6]SUMMARY BRL'!K10/'SUMMARY USD Q3'!$L$1</f>
        <v>15881.494371873441</v>
      </c>
      <c r="L12" s="449">
        <f>'[6]SUMMARY BRL'!L10/'SUMMARY USD Q3'!$L$1</f>
        <v>-14795.429527576296</v>
      </c>
      <c r="M12" s="450"/>
      <c r="N12" s="450"/>
      <c r="P12" s="431"/>
    </row>
    <row r="13" spans="1:16" ht="15.75" customHeight="1">
      <c r="B13" s="1387"/>
      <c r="C13" s="1383"/>
      <c r="D13" s="1396"/>
      <c r="E13" s="445" t="s">
        <v>33</v>
      </c>
      <c r="F13" s="433">
        <f>'[6]SUMMARY BRL'!F11/'SUMMARY USD Q3'!$L$1</f>
        <v>0</v>
      </c>
      <c r="G13" s="446">
        <f>'[6]SUMMARY BRL'!G11/'SUMMARY USD Q3'!$L$1</f>
        <v>0</v>
      </c>
      <c r="H13" s="446">
        <f>'[6]SUMMARY BRL'!H11/'SUMMARY USD Q3'!$L$1</f>
        <v>0</v>
      </c>
      <c r="I13" s="446">
        <f>'[6]SUMMARY BRL'!I11/'SUMMARY USD Q3'!$L$1</f>
        <v>0</v>
      </c>
      <c r="J13" s="1318">
        <v>0.6</v>
      </c>
      <c r="K13" s="436">
        <f>'[6]SUMMARY BRL'!K11/'SUMMARY USD Q3'!$L$1</f>
        <v>0</v>
      </c>
      <c r="L13" s="449">
        <f>'[6]SUMMARY BRL'!L11/'SUMMARY USD Q3'!$L$1</f>
        <v>0</v>
      </c>
      <c r="M13" s="200"/>
      <c r="N13" s="200"/>
      <c r="P13" s="431"/>
    </row>
    <row r="14" spans="1:16" ht="15.75" customHeight="1">
      <c r="B14" s="1387"/>
      <c r="C14" s="1383"/>
      <c r="D14" s="1397"/>
      <c r="E14" s="451" t="s">
        <v>1</v>
      </c>
      <c r="F14" s="452">
        <f>'[6]SUMMARY BRL'!F12/'SUMMARY USD Q3'!$L$1</f>
        <v>0</v>
      </c>
      <c r="G14" s="453">
        <f>'[6]SUMMARY BRL'!G12/'SUMMARY USD Q3'!$L$1</f>
        <v>0</v>
      </c>
      <c r="H14" s="453">
        <f>'[6]SUMMARY BRL'!H12/'SUMMARY USD Q3'!$L$1</f>
        <v>18.532935217608806</v>
      </c>
      <c r="I14" s="454">
        <f>'[6]SUMMARY BRL'!I12/'SUMMARY USD Q3'!$L$1</f>
        <v>0.34392196098049027</v>
      </c>
      <c r="J14" s="1319">
        <v>0.6</v>
      </c>
      <c r="K14" s="455">
        <f>'[6]SUMMARY BRL'!K12/'SUMMARY USD Q3'!$L$1</f>
        <v>8.3398208479239635</v>
      </c>
      <c r="L14" s="456">
        <f>'[6]SUMMARY BRL'!L12/'SUMMARY USD Q3'!$L$1</f>
        <v>-10.193114369684844</v>
      </c>
      <c r="M14" s="200"/>
      <c r="N14" s="200"/>
      <c r="P14" s="431"/>
    </row>
    <row r="15" spans="1:16" ht="15.75" customHeight="1">
      <c r="B15" s="1387"/>
      <c r="C15" s="1383"/>
      <c r="D15" s="1398" t="s">
        <v>40</v>
      </c>
      <c r="E15" s="457" t="s">
        <v>33</v>
      </c>
      <c r="F15" s="433">
        <f>'[6]SUMMARY BRL'!F13/'SUMMARY USD Q3'!$L$1</f>
        <v>69154.545166333148</v>
      </c>
      <c r="G15" s="448">
        <f>'[6]SUMMARY BRL'!G13/'SUMMARY USD Q3'!$L$1</f>
        <v>0</v>
      </c>
      <c r="H15" s="435">
        <f>'[6]SUMMARY BRL'!H13/'SUMMARY USD Q3'!$L$1</f>
        <v>-25184.047958562311</v>
      </c>
      <c r="I15" s="435">
        <f>'[6]SUMMARY BRL'!I13/'SUMMARY USD Q3'!$L$1</f>
        <v>43970.49720777083</v>
      </c>
      <c r="J15" s="1312" t="s">
        <v>206</v>
      </c>
      <c r="K15" s="436">
        <f>'[6]SUMMARY BRL'!K13/'SUMMARY USD Q3'!$L$1</f>
        <v>67789.912583608646</v>
      </c>
      <c r="L15" s="458">
        <f>'[6]SUMMARY BRL'!L13/'SUMMARY USD Q3'!$L$1</f>
        <v>-1364.636237676978</v>
      </c>
      <c r="M15" s="200"/>
      <c r="N15" s="200"/>
      <c r="P15" s="431"/>
    </row>
    <row r="16" spans="1:16" ht="15.75" customHeight="1" thickBot="1">
      <c r="B16" s="1387"/>
      <c r="C16" s="1383"/>
      <c r="D16" s="1399"/>
      <c r="E16" s="457" t="s">
        <v>41</v>
      </c>
      <c r="F16" s="433">
        <f>'[6]SUMMARY BRL'!F14/'SUMMARY USD Q3'!$L$1</f>
        <v>150614.61621123066</v>
      </c>
      <c r="G16" s="459">
        <f>'[6]SUMMARY BRL'!G14/'SUMMARY USD Q3'!$L$1</f>
        <v>-17876.43792768021</v>
      </c>
      <c r="H16" s="435">
        <f>'[6]SUMMARY BRL'!H14/'SUMMARY USD Q3'!$L$1</f>
        <v>-47571.490978863942</v>
      </c>
      <c r="I16" s="435">
        <f>'[6]SUMMARY BRL'!I14/'SUMMARY USD Q3'!$L$1</f>
        <v>85166.687304686508</v>
      </c>
      <c r="J16" s="1313" t="s">
        <v>206</v>
      </c>
      <c r="K16" s="436">
        <f>'[6]SUMMARY BRL'!K14/'SUMMARY USD Q3'!$L$1</f>
        <v>136918.62137639572</v>
      </c>
      <c r="L16" s="460">
        <f>'[6]SUMMARY BRL'!L14/'SUMMARY USD Q3'!$L$1</f>
        <v>-2103.6549230858104</v>
      </c>
      <c r="M16" s="200"/>
      <c r="N16" s="200"/>
      <c r="P16" s="431"/>
    </row>
    <row r="17" spans="2:16" ht="15.75" customHeight="1" thickBot="1">
      <c r="B17" s="1387"/>
      <c r="C17" s="1383"/>
      <c r="D17" s="1400" t="s">
        <v>24</v>
      </c>
      <c r="E17" s="1401"/>
      <c r="F17" s="461">
        <f>'[6]SUMMARY BRL'!F15/'SUMMARY USD Q3'!$L$1</f>
        <v>250541.74744559784</v>
      </c>
      <c r="G17" s="462">
        <f>'[6]SUMMARY BRL'!G15/'SUMMARY USD Q3'!$L$1</f>
        <v>-17972.100096264501</v>
      </c>
      <c r="H17" s="462">
        <f>'[6]SUMMARY BRL'!H15/'SUMMARY USD Q3'!$L$1</f>
        <v>-76513.148942428757</v>
      </c>
      <c r="I17" s="462">
        <f>'[6]SUMMARY BRL'!I15/'SUMMARY USD Q3'!$L$1</f>
        <v>156038.30939364794</v>
      </c>
      <c r="J17" s="463">
        <f>IF(ISERROR(-L17/I17),0,IF(-L17/I17&lt;0,100%,IF(-L17/I17&gt;100%,100%,-L17/I17)))</f>
        <v>0.11711171361519936</v>
      </c>
      <c r="K17" s="462">
        <f>'[6]SUMMARY BRL'!K15/'SUMMARY USD Q3'!$L$1</f>
        <v>220598.36815272574</v>
      </c>
      <c r="L17" s="462">
        <f>'[6]SUMMARY BRL'!L15/'SUMMARY USD Q3'!$L$1</f>
        <v>-18273.913802708768</v>
      </c>
      <c r="M17" s="444">
        <f>'[6]SUMMARY BRL'!M15/'SUMMARY USD Q3'!$L$1</f>
        <v>-21673.727085417715</v>
      </c>
      <c r="N17" s="444">
        <f>'[6]SUMMARY BRL'!N15/'SUMMARY USD Q3'!$L$1</f>
        <v>-3399.8132827089448</v>
      </c>
      <c r="P17" s="431"/>
    </row>
    <row r="18" spans="2:16" ht="15.75" customHeight="1" thickBot="1">
      <c r="B18" s="1388"/>
      <c r="C18" s="1384"/>
      <c r="D18" s="860" t="s">
        <v>9</v>
      </c>
      <c r="E18" s="861"/>
      <c r="F18" s="1115">
        <f>'[6]SUMMARY BRL'!F16/'SUMMARY USD Q3'!$L$1</f>
        <v>344725.81241245626</v>
      </c>
      <c r="G18" s="862">
        <f>'[6]SUMMARY BRL'!G16/'SUMMARY USD Q3'!$L$1</f>
        <v>-22639.691967199971</v>
      </c>
      <c r="H18" s="862">
        <f>'[6]SUMMARY BRL'!H16/'SUMMARY USD Q3'!$L$1</f>
        <v>-76513.148942428757</v>
      </c>
      <c r="I18" s="862">
        <f>'[6]SUMMARY BRL'!I16/'SUMMARY USD Q3'!$L$1</f>
        <v>245554.78248957091</v>
      </c>
      <c r="J18" s="1116">
        <f>IF(ISERROR(-L18/I18),0,IF(-L18/I18&lt;0,100%,IF(-L18/I18&gt;100%,100%,-L18/I18)))</f>
        <v>0.43896675847968786</v>
      </c>
      <c r="K18" s="862">
        <f>'[6]SUMMARY BRL'!K16/'SUMMARY USD Q3'!$L$1</f>
        <v>220598.36815272574</v>
      </c>
      <c r="L18" s="862">
        <f>'[6]SUMMARY BRL'!L16/'SUMMARY USD Q3'!$L$1</f>
        <v>-107790.38689863175</v>
      </c>
      <c r="M18" s="866">
        <f>'[6]SUMMARY BRL'!M16/'SUMMARY USD Q3'!$L$1</f>
        <v>-113251.0306809655</v>
      </c>
      <c r="N18" s="866">
        <f>'[6]SUMMARY BRL'!N16/'SUMMARY USD Q3'!$L$1</f>
        <v>-5460.643782333741</v>
      </c>
      <c r="P18" s="431"/>
    </row>
    <row r="19" spans="2:16" ht="13.5" thickBot="1">
      <c r="F19" s="482"/>
      <c r="G19" s="191"/>
      <c r="H19" s="191"/>
      <c r="I19" s="191"/>
      <c r="J19" s="191"/>
      <c r="K19" s="191"/>
      <c r="L19" s="191"/>
      <c r="M19" s="191"/>
      <c r="N19" s="191"/>
      <c r="P19" s="431"/>
    </row>
    <row r="20" spans="2:16" ht="26.25" thickBot="1">
      <c r="B20" s="1378" t="s">
        <v>30</v>
      </c>
      <c r="C20" s="1379"/>
      <c r="D20" s="157" t="s">
        <v>21</v>
      </c>
      <c r="E20" s="157" t="s">
        <v>5</v>
      </c>
      <c r="F20" s="344" t="s">
        <v>12</v>
      </c>
      <c r="G20" s="158" t="s">
        <v>11</v>
      </c>
      <c r="H20" s="158" t="s">
        <v>3</v>
      </c>
      <c r="I20" s="158" t="s">
        <v>10</v>
      </c>
      <c r="J20" s="158" t="s">
        <v>0</v>
      </c>
      <c r="K20" s="162" t="s">
        <v>2</v>
      </c>
      <c r="L20" s="160" t="s">
        <v>14</v>
      </c>
      <c r="M20" s="163" t="s">
        <v>22</v>
      </c>
      <c r="N20" s="160" t="s">
        <v>47</v>
      </c>
      <c r="P20" s="431"/>
    </row>
    <row r="21" spans="2:16" ht="18" customHeight="1">
      <c r="B21" s="1380" t="s">
        <v>42</v>
      </c>
      <c r="C21" s="1380" t="s">
        <v>29</v>
      </c>
      <c r="D21" s="465" t="s">
        <v>1</v>
      </c>
      <c r="E21" s="466" t="s">
        <v>1</v>
      </c>
      <c r="F21" s="467">
        <f>'[6]SUMMARY BRL'!F19/'SUMMARY USD Q3'!$L$1</f>
        <v>49396.285642821415</v>
      </c>
      <c r="G21" s="435">
        <f>'[6]SUMMARY BRL'!G19/'SUMMARY USD Q3'!$L$1</f>
        <v>0</v>
      </c>
      <c r="H21" s="435">
        <f>'[6]SUMMARY BRL'!H19/'SUMMARY USD Q3'!$L$1</f>
        <v>0</v>
      </c>
      <c r="I21" s="454">
        <f>'[6]SUMMARY BRL'!I19/'SUMMARY USD Q3'!$L$1</f>
        <v>49396.285642821415</v>
      </c>
      <c r="J21" s="1228">
        <v>2.3E-2</v>
      </c>
      <c r="K21" s="468">
        <f>'[6]SUMMARY BRL'!K19/'SUMMARY USD Q3'!$L$1</f>
        <v>48260.171073036523</v>
      </c>
      <c r="L21" s="469">
        <f>'[6]SUMMARY BRL'!L19/'SUMMARY USD Q3'!$L$1</f>
        <v>-1136.1145697848926</v>
      </c>
      <c r="M21" s="298"/>
      <c r="N21" s="298"/>
      <c r="P21" s="431"/>
    </row>
    <row r="22" spans="2:16" ht="18" customHeight="1">
      <c r="B22" s="1381"/>
      <c r="C22" s="1383"/>
      <c r="D22" s="1291" t="s">
        <v>7</v>
      </c>
      <c r="E22" s="470" t="s">
        <v>35</v>
      </c>
      <c r="F22" s="471">
        <f>'[6]SUMMARY BRL'!F20/'SUMMARY USD Q3'!$L$1</f>
        <v>11139.753626813406</v>
      </c>
      <c r="G22" s="472">
        <f>'[6]SUMMARY BRL'!G20/'SUMMARY USD Q3'!$L$1</f>
        <v>0</v>
      </c>
      <c r="H22" s="472">
        <f>'[6]SUMMARY BRL'!H20/'SUMMARY USD Q3'!$L$1</f>
        <v>0</v>
      </c>
      <c r="I22" s="472">
        <f>'[6]SUMMARY BRL'!I20/'SUMMARY USD Q3'!$L$1</f>
        <v>11139.753626813406</v>
      </c>
      <c r="J22" s="1229">
        <v>2.3E-2</v>
      </c>
      <c r="K22" s="474">
        <f>'[6]SUMMARY BRL'!K20/'SUMMARY USD Q3'!$L$1</f>
        <v>10883.5392933967</v>
      </c>
      <c r="L22" s="475">
        <f>'[6]SUMMARY BRL'!L20/'SUMMARY USD Q3'!$L$1</f>
        <v>-256.21433341670837</v>
      </c>
      <c r="M22" s="297"/>
      <c r="N22" s="297"/>
      <c r="P22" s="431"/>
    </row>
    <row r="23" spans="2:16" ht="18" customHeight="1" thickBot="1">
      <c r="B23" s="1381"/>
      <c r="C23" s="1383"/>
      <c r="D23" s="1291">
        <f>'[4]BAL S&amp;T'!D21</f>
        <v>0</v>
      </c>
      <c r="E23" s="470" t="str">
        <f>'[5]SUMMARY BRL'!E21</f>
        <v>Critical Current</v>
      </c>
      <c r="F23" s="471">
        <f>'[6]SUMMARY BRL'!F21/'SUMMARY USD Q3'!$L$1</f>
        <v>0</v>
      </c>
      <c r="G23" s="471">
        <f>'[6]SUMMARY BRL'!G21/'SUMMARY USD Q3'!$L$1</f>
        <v>0</v>
      </c>
      <c r="H23" s="471">
        <f>'[6]SUMMARY BRL'!H21/'SUMMARY USD Q3'!$L$1</f>
        <v>0</v>
      </c>
      <c r="I23" s="471">
        <f>'[6]SUMMARY BRL'!I21/'SUMMARY USD Q3'!$L$1</f>
        <v>0</v>
      </c>
      <c r="J23" s="473">
        <v>0.55000000000000004</v>
      </c>
      <c r="K23" s="474">
        <f>'[6]SUMMARY BRL'!K21/'SUMMARY USD Q3'!$L$1</f>
        <v>0</v>
      </c>
      <c r="L23" s="475">
        <f>'[6]SUMMARY BRL'!L21/'SUMMARY USD Q3'!$L$1</f>
        <v>0</v>
      </c>
      <c r="M23" s="297"/>
      <c r="N23" s="297"/>
      <c r="P23" s="431"/>
    </row>
    <row r="24" spans="2:16" ht="18" customHeight="1" thickBot="1">
      <c r="B24" s="1382"/>
      <c r="C24" s="1384"/>
      <c r="D24" s="860" t="s">
        <v>9</v>
      </c>
      <c r="E24" s="1114"/>
      <c r="F24" s="1115">
        <f>'[6]SUMMARY BRL'!F22/'SUMMARY USD Q3'!$L$1</f>
        <v>60536.039269634828</v>
      </c>
      <c r="G24" s="862">
        <f>'[6]SUMMARY BRL'!G22/'SUMMARY USD Q3'!$L$1</f>
        <v>0</v>
      </c>
      <c r="H24" s="862">
        <f>'[6]SUMMARY BRL'!H22/'SUMMARY USD Q3'!$L$1</f>
        <v>0</v>
      </c>
      <c r="I24" s="862">
        <f>'[6]SUMMARY BRL'!I22/'SUMMARY USD Q3'!$L$1</f>
        <v>60536.039269634828</v>
      </c>
      <c r="J24" s="1116">
        <f>'[6]SUMMARY BRL'!J22</f>
        <v>0</v>
      </c>
      <c r="K24" s="1117">
        <f>'[6]SUMMARY BRL'!K22/'SUMMARY USD Q3'!$L$1</f>
        <v>59143.710366433224</v>
      </c>
      <c r="L24" s="1118">
        <f>'[6]SUMMARY BRL'!L22/'SUMMARY USD Q3'!$L$1</f>
        <v>-1392.328903201601</v>
      </c>
      <c r="M24" s="866">
        <f>'[6]SUMMARY BRL'!M22/'SUMMARY USD Q3'!$L$1</f>
        <v>-3104.5917537330779</v>
      </c>
      <c r="N24" s="866">
        <f>'[6]SUMMARY BRL'!N22/'SUMMARY USD Q3'!$L$1</f>
        <v>-1712.2628505314769</v>
      </c>
      <c r="P24" s="431"/>
    </row>
    <row r="25" spans="2:16" s="298" customFormat="1" ht="13.5" thickBot="1">
      <c r="B25" s="294"/>
      <c r="C25" s="294"/>
      <c r="D25" s="345"/>
      <c r="E25" s="345"/>
      <c r="F25" s="476"/>
      <c r="G25" s="477"/>
      <c r="H25" s="477"/>
      <c r="I25" s="477"/>
      <c r="J25" s="478"/>
      <c r="K25" s="479"/>
      <c r="L25" s="479"/>
      <c r="M25" s="479"/>
      <c r="N25" s="479"/>
      <c r="O25" s="297"/>
      <c r="P25" s="431"/>
    </row>
    <row r="26" spans="2:16" s="298" customFormat="1" ht="15.75" customHeight="1" thickBot="1">
      <c r="B26" s="1139" t="s">
        <v>32</v>
      </c>
      <c r="C26" s="1139" t="s">
        <v>31</v>
      </c>
      <c r="D26" s="1119" t="s">
        <v>9</v>
      </c>
      <c r="E26" s="1140"/>
      <c r="F26" s="1121">
        <f>'[6]SUMMARY BRL'!F24/'SUMMARY USD Q3'!$L$1</f>
        <v>405261.85168209113</v>
      </c>
      <c r="G26" s="1121">
        <f>'[6]SUMMARY BRL'!G24/'SUMMARY USD Q3'!$L$1</f>
        <v>-22639.691967199971</v>
      </c>
      <c r="H26" s="1121">
        <f>'[6]SUMMARY BRL'!H24/'SUMMARY USD Q3'!$L$1</f>
        <v>-76513.148942428757</v>
      </c>
      <c r="I26" s="1121">
        <f>'[6]SUMMARY BRL'!I24/'SUMMARY USD Q3'!$L$1</f>
        <v>306090.82175920572</v>
      </c>
      <c r="J26" s="1122">
        <f>'[6]SUMMARY BRL'!J24/'SUMMARY USD Q3'!$L$1</f>
        <v>0.11152463450354028</v>
      </c>
      <c r="K26" s="1141">
        <f>'[6]SUMMARY BRL'!K24/'SUMMARY USD Q3'!$L$1</f>
        <v>279742.07851915894</v>
      </c>
      <c r="L26" s="1142">
        <f>'[6]SUMMARY BRL'!L24/'SUMMARY USD Q3'!$L$1</f>
        <v>-109182.71580183334</v>
      </c>
      <c r="M26" s="1123">
        <f>'[6]SUMMARY BRL'!M24/'SUMMARY USD Q3'!$L$1</f>
        <v>-116355.62243469858</v>
      </c>
      <c r="N26" s="1143">
        <f>'[6]SUMMARY BRL'!N24/'SUMMARY USD Q3'!$L$1</f>
        <v>-7172.9066328652279</v>
      </c>
      <c r="O26" s="1272"/>
      <c r="P26" s="431"/>
    </row>
    <row r="27" spans="2:16" s="298" customFormat="1">
      <c r="B27" s="294"/>
      <c r="C27" s="345"/>
      <c r="D27" s="345"/>
      <c r="E27" s="345"/>
      <c r="F27" s="480"/>
      <c r="G27" s="480"/>
      <c r="H27" s="480"/>
      <c r="I27" s="477"/>
      <c r="J27" s="478"/>
      <c r="K27" s="479"/>
      <c r="L27" s="479"/>
      <c r="O27" s="297"/>
      <c r="P27" s="297"/>
    </row>
    <row r="28" spans="2:16">
      <c r="G28" s="481"/>
      <c r="N28" s="895"/>
      <c r="O28" s="895"/>
    </row>
    <row r="29" spans="2:16">
      <c r="N29" s="191"/>
    </row>
    <row r="30" spans="2:16">
      <c r="N30" s="191"/>
    </row>
    <row r="31" spans="2:16">
      <c r="N31" s="191"/>
    </row>
    <row r="32" spans="2:16">
      <c r="N32" s="1242"/>
    </row>
  </sheetData>
  <mergeCells count="12">
    <mergeCell ref="B20:C20"/>
    <mergeCell ref="B21:B24"/>
    <mergeCell ref="C21:C24"/>
    <mergeCell ref="D5:N5"/>
    <mergeCell ref="B7:C7"/>
    <mergeCell ref="B8:B18"/>
    <mergeCell ref="C8:C18"/>
    <mergeCell ref="D8:D10"/>
    <mergeCell ref="D11:E11"/>
    <mergeCell ref="D12:D14"/>
    <mergeCell ref="D15:D16"/>
    <mergeCell ref="D17:E17"/>
  </mergeCells>
  <pageMargins left="0" right="0" top="0.47244094488188981" bottom="0.35433070866141736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A2:V105"/>
  <sheetViews>
    <sheetView showGridLines="0" tabSelected="1" topLeftCell="A40" workbookViewId="0">
      <selection activeCell="N26" sqref="N26"/>
    </sheetView>
  </sheetViews>
  <sheetFormatPr defaultRowHeight="12.75"/>
  <cols>
    <col min="1" max="1" width="24.28515625" style="180" customWidth="1"/>
    <col min="2" max="2" width="16.140625" style="180" bestFit="1" customWidth="1"/>
    <col min="3" max="3" width="0.85546875" style="180" customWidth="1"/>
    <col min="4" max="4" width="10" style="180" customWidth="1"/>
    <col min="5" max="5" width="0.85546875" style="180" customWidth="1"/>
    <col min="6" max="6" width="11.5703125" style="180" bestFit="1" customWidth="1"/>
    <col min="7" max="8" width="12.5703125" style="180" customWidth="1"/>
    <col min="9" max="9" width="2.42578125" style="180" customWidth="1"/>
    <col min="10" max="10" width="5" style="180" bestFit="1" customWidth="1"/>
    <col min="11" max="12" width="13.5703125" style="180" bestFit="1" customWidth="1"/>
    <col min="13" max="13" width="15" style="180" bestFit="1" customWidth="1"/>
    <col min="14" max="14" width="16" style="180" bestFit="1" customWidth="1"/>
    <col min="15" max="16" width="15.5703125" style="180" customWidth="1"/>
    <col min="17" max="17" width="14.5703125" style="180" bestFit="1" customWidth="1"/>
    <col min="18" max="18" width="13.42578125" style="180" bestFit="1" customWidth="1"/>
    <col min="19" max="19" width="13.42578125" style="180" customWidth="1"/>
    <col min="20" max="20" width="12.28515625" style="180" bestFit="1" customWidth="1"/>
    <col min="21" max="21" width="11" style="180" bestFit="1" customWidth="1"/>
    <col min="22" max="22" width="11.5703125" style="180" bestFit="1" customWidth="1"/>
    <col min="23" max="16384" width="9.140625" style="180"/>
  </cols>
  <sheetData>
    <row r="2" spans="1:20">
      <c r="B2" s="521" t="s">
        <v>170</v>
      </c>
      <c r="C2" s="522"/>
      <c r="D2" s="521" t="s">
        <v>170</v>
      </c>
      <c r="E2" s="522"/>
      <c r="F2" s="521" t="s">
        <v>170</v>
      </c>
      <c r="G2" s="521" t="s">
        <v>170</v>
      </c>
      <c r="H2" s="521"/>
      <c r="L2" s="523" t="s">
        <v>170</v>
      </c>
      <c r="M2" s="523" t="s">
        <v>170</v>
      </c>
      <c r="N2" s="523" t="s">
        <v>170</v>
      </c>
      <c r="O2" s="523" t="s">
        <v>170</v>
      </c>
      <c r="P2" s="523" t="s">
        <v>170</v>
      </c>
      <c r="Q2" s="523" t="s">
        <v>201</v>
      </c>
    </row>
    <row r="3" spans="1:20">
      <c r="B3" s="363" t="s">
        <v>122</v>
      </c>
      <c r="C3" s="363"/>
      <c r="D3" s="363" t="s">
        <v>123</v>
      </c>
      <c r="E3" s="363"/>
      <c r="F3" s="363" t="s">
        <v>125</v>
      </c>
      <c r="G3" s="363" t="s">
        <v>125</v>
      </c>
      <c r="H3" s="363"/>
    </row>
    <row r="4" spans="1:20">
      <c r="A4" s="347" t="s">
        <v>109</v>
      </c>
      <c r="B4" s="362" t="s">
        <v>118</v>
      </c>
      <c r="D4" s="362" t="s">
        <v>118</v>
      </c>
      <c r="F4" s="365" t="s">
        <v>118</v>
      </c>
      <c r="G4" s="506" t="s">
        <v>126</v>
      </c>
      <c r="H4" s="506"/>
      <c r="L4" s="1275" t="s">
        <v>11</v>
      </c>
      <c r="M4" s="1275" t="s">
        <v>11</v>
      </c>
      <c r="N4" s="347" t="s">
        <v>120</v>
      </c>
      <c r="O4" s="347" t="s">
        <v>121</v>
      </c>
      <c r="P4" s="347" t="s">
        <v>157</v>
      </c>
      <c r="Q4" s="347" t="s">
        <v>119</v>
      </c>
      <c r="T4" s="347" t="s">
        <v>202</v>
      </c>
    </row>
    <row r="5" spans="1:20">
      <c r="A5" s="348">
        <v>4168</v>
      </c>
      <c r="B5" s="349">
        <f>B6+B17+B28+B40+B52</f>
        <v>891746.80727999972</v>
      </c>
      <c r="D5" s="801">
        <f>D6+D17+D28+D40</f>
        <v>-19210.27145</v>
      </c>
      <c r="F5" s="1276">
        <v>4.0038999999999998</v>
      </c>
      <c r="G5" s="505">
        <f>G6+G17+G28+G40+G52+G64+G75</f>
        <v>-55048.898590854413</v>
      </c>
      <c r="H5" s="505"/>
      <c r="J5" s="181"/>
      <c r="K5" s="181"/>
      <c r="L5" s="1418" t="s">
        <v>124</v>
      </c>
      <c r="M5" s="1418" t="s">
        <v>124</v>
      </c>
      <c r="N5" s="1418">
        <v>13430110</v>
      </c>
      <c r="O5" s="364">
        <v>11421000</v>
      </c>
      <c r="P5" s="525" t="s">
        <v>160</v>
      </c>
      <c r="Q5" s="1418">
        <v>13430001</v>
      </c>
      <c r="S5" s="180" t="s">
        <v>1</v>
      </c>
      <c r="T5" s="1281">
        <v>1.9E-2</v>
      </c>
    </row>
    <row r="6" spans="1:20" ht="13.5" thickBot="1">
      <c r="A6" s="350">
        <v>9115</v>
      </c>
      <c r="B6" s="802">
        <f>SUM(B7:B16)</f>
        <v>400340.29043999966</v>
      </c>
      <c r="D6" s="802">
        <f>SUM(D7:D16)</f>
        <v>-4465.1005499999992</v>
      </c>
      <c r="F6" s="351">
        <f>G6*$F$5</f>
        <v>-115809.86687103991</v>
      </c>
      <c r="G6" s="802">
        <f>SUM(G7:G16)</f>
        <v>-28924.26555884011</v>
      </c>
      <c r="H6" s="802"/>
      <c r="J6" s="181"/>
      <c r="K6" s="181"/>
      <c r="L6" s="1418"/>
      <c r="M6" s="1418"/>
      <c r="N6" s="1418"/>
      <c r="O6" s="497">
        <v>11421050</v>
      </c>
      <c r="P6" s="497"/>
      <c r="Q6" s="1418"/>
      <c r="S6" s="180" t="s">
        <v>4</v>
      </c>
      <c r="T6" s="1282">
        <v>0.6</v>
      </c>
    </row>
    <row r="7" spans="1:20" ht="13.5" thickTop="1">
      <c r="A7" s="352" t="s">
        <v>110</v>
      </c>
      <c r="B7" s="800">
        <f>IFERROR(VLOOKUP(A7,[7]Resumo!$G$7:$H$10,2,FALSE),0)/1000</f>
        <v>111200.95915000002</v>
      </c>
      <c r="D7" s="800">
        <f>IFERROR(VLOOKUP(A7,[8]Resumo!$A$7:$C$8,3,0),0)</f>
        <v>-4438.6065499999995</v>
      </c>
      <c r="F7" s="353">
        <f>G7*$F$5</f>
        <v>-40817.302527949571</v>
      </c>
      <c r="G7" s="800">
        <f>IFERROR(VLOOKUP(A7,[9]Resumo!$A$4:$C$8,3,0),0)</f>
        <v>-10194.386105534497</v>
      </c>
      <c r="H7" s="800">
        <f>B7*1</f>
        <v>111200.95915000002</v>
      </c>
      <c r="J7" s="1423">
        <v>4168</v>
      </c>
      <c r="K7" s="356">
        <v>9115</v>
      </c>
      <c r="L7" s="509">
        <f>IF(M7&gt;0,0,M7)</f>
        <v>-20585.62772</v>
      </c>
      <c r="M7" s="1189">
        <f>'[4]4168_9115'!$G$40/1000</f>
        <v>-20585.62772</v>
      </c>
      <c r="N7" s="1170">
        <v>-110099753.55</v>
      </c>
      <c r="O7" s="1185">
        <f>-14946462.29-P7</f>
        <v>-13152568.340809999</v>
      </c>
      <c r="P7" s="1186">
        <v>-1793893.9491900001</v>
      </c>
      <c r="Q7" s="1205">
        <f>'[4]4168_9115'!$G$29</f>
        <v>345436931.74000001</v>
      </c>
      <c r="S7" s="180" t="s">
        <v>203</v>
      </c>
      <c r="T7" s="1281">
        <v>5.0999999999999997E-2</v>
      </c>
    </row>
    <row r="8" spans="1:20">
      <c r="A8" s="352" t="s">
        <v>111</v>
      </c>
      <c r="B8" s="800">
        <f>IFERROR(VLOOKUP(A8,[7]Resumo!$G$7:$H$10,2,FALSE),0)/1000</f>
        <v>0</v>
      </c>
      <c r="D8" s="800">
        <f>IFERROR(VLOOKUP(A8,[8]Resumo!$A$7:$C$8,3,0),0)</f>
        <v>0</v>
      </c>
      <c r="F8" s="800">
        <f t="shared" ref="F8:F16" si="0">G8*$F$5</f>
        <v>0</v>
      </c>
      <c r="G8" s="800">
        <f>IFERROR(VLOOKUP(A8,[9]Resumo!$A$4:$C$8,3,0),0)</f>
        <v>0</v>
      </c>
      <c r="H8" s="800">
        <f>B8*0.9</f>
        <v>0</v>
      </c>
      <c r="J8" s="1424"/>
      <c r="K8" s="357">
        <v>9130</v>
      </c>
      <c r="L8" s="510">
        <f t="shared" ref="L8:L14" si="1">IF(M8&gt;0,0,M8)</f>
        <v>-0.40467000000000003</v>
      </c>
      <c r="M8" s="1190">
        <f>'[4]4168_9130'!$K$40/1000</f>
        <v>-0.40467000000000003</v>
      </c>
      <c r="N8" s="1155">
        <v>-27717.41</v>
      </c>
      <c r="O8" s="1176">
        <f>'[4]4168_9130'!$K$14-P8</f>
        <v>0</v>
      </c>
      <c r="P8" s="1154">
        <v>0</v>
      </c>
      <c r="Q8" s="1181">
        <f>'[4]4168_9130'!$K$29</f>
        <v>411517.96</v>
      </c>
      <c r="T8" s="1236"/>
    </row>
    <row r="9" spans="1:20">
      <c r="A9" s="352" t="s">
        <v>153</v>
      </c>
      <c r="B9" s="800">
        <f>IFERROR(VLOOKUP(A9,[7]Resumo!$G$7:$H$10,2,FALSE),0)/1000</f>
        <v>0</v>
      </c>
      <c r="D9" s="800">
        <f>IFERROR(VLOOKUP(A9,[8]Resumo!$A$7:$C$8,3,0),0)</f>
        <v>0</v>
      </c>
      <c r="F9" s="800">
        <f t="shared" si="0"/>
        <v>0</v>
      </c>
      <c r="G9" s="800">
        <f>IFERROR(VLOOKUP(A9,[9]Resumo!$A$4:$C$8,3,0),0)</f>
        <v>0</v>
      </c>
      <c r="H9" s="800"/>
      <c r="J9" s="1424"/>
      <c r="K9" s="357">
        <v>9280</v>
      </c>
      <c r="L9" s="510">
        <f>IF(M9&gt;0,0,M9)</f>
        <v>-214734.70888734952</v>
      </c>
      <c r="M9" s="1190">
        <f>'[4]4168_9280'!$G$40/1000</f>
        <v>-214734.70888734952</v>
      </c>
      <c r="N9" s="1171">
        <v>-78868865.180000007</v>
      </c>
      <c r="O9" s="1187">
        <f>-5634955.68-P9-P21</f>
        <v>-4185686.86106</v>
      </c>
      <c r="P9" s="1188">
        <v>-1449268.8189399999</v>
      </c>
      <c r="Q9" s="1204">
        <f>'[4]4168_9280'!$G$29</f>
        <v>-162450231.61000001</v>
      </c>
      <c r="T9" s="1236"/>
    </row>
    <row r="10" spans="1:20">
      <c r="A10" s="352" t="s">
        <v>112</v>
      </c>
      <c r="B10" s="800">
        <f>IFERROR(VLOOKUP(A10,[7]Resumo!$G$7:$H$10,2,FALSE),0)/1000</f>
        <v>0</v>
      </c>
      <c r="D10" s="800">
        <f>IFERROR(VLOOKUP(A10,[8]Resumo!$A$7:$C$8,3,0),0)</f>
        <v>0</v>
      </c>
      <c r="F10" s="800">
        <f t="shared" si="0"/>
        <v>0</v>
      </c>
      <c r="G10" s="800">
        <f>IFERROR(VLOOKUP(A10,[9]Resumo!$A$4:$C$8,3,0),0)</f>
        <v>0</v>
      </c>
      <c r="H10" s="800"/>
      <c r="J10" s="1424"/>
      <c r="K10" s="357">
        <v>9282</v>
      </c>
      <c r="L10" s="510">
        <f t="shared" si="1"/>
        <v>-35626.127209999999</v>
      </c>
      <c r="M10" s="1190">
        <f>'[4]4168_9282'!$G$40/1000</f>
        <v>-35626.127209999999</v>
      </c>
      <c r="N10" s="1171">
        <v>-127213235.87</v>
      </c>
      <c r="O10" s="1188">
        <f>-67658537.05-P23-P19</f>
        <v>-67658537.049999997</v>
      </c>
      <c r="P10" s="1188">
        <f>-571750.55316</f>
        <v>-571750.55316000001</v>
      </c>
      <c r="Q10" s="1204">
        <f>'[4]4168_9282'!$G$29</f>
        <v>133682874.06</v>
      </c>
      <c r="T10" s="1236"/>
    </row>
    <row r="11" spans="1:20" ht="13.5" thickBot="1">
      <c r="A11" s="352" t="s">
        <v>113</v>
      </c>
      <c r="B11" s="800">
        <f>IFERROR(VLOOKUP(A11,[7]Resumo!$G$7:$H$10,2,FALSE),0)/1000</f>
        <v>0</v>
      </c>
      <c r="D11" s="800">
        <f>IFERROR(VLOOKUP(A11,[8]Resumo!$A$7:$C$8,3,0),0)</f>
        <v>0</v>
      </c>
      <c r="F11" s="800">
        <f t="shared" si="0"/>
        <v>0</v>
      </c>
      <c r="G11" s="800">
        <f>IFERROR(VLOOKUP(A11,[9]Resumo!$A$4:$C$8,3,0),0)</f>
        <v>0</v>
      </c>
      <c r="H11" s="800"/>
      <c r="J11" s="1424"/>
      <c r="K11" s="358">
        <v>9290</v>
      </c>
      <c r="L11" s="511">
        <f t="shared" si="1"/>
        <v>0</v>
      </c>
      <c r="M11" s="1191">
        <f>'[4]4168_9290'!$G$41/1000</f>
        <v>0</v>
      </c>
      <c r="N11" s="1173">
        <v>0</v>
      </c>
      <c r="O11" s="1177">
        <f>'[4]4168_9290'!$G$14-P11</f>
        <v>0</v>
      </c>
      <c r="P11" s="1156">
        <v>0</v>
      </c>
      <c r="Q11" s="1167">
        <f>'[4]4168_9290'!$G$29</f>
        <v>245736</v>
      </c>
      <c r="T11" s="1236"/>
    </row>
    <row r="12" spans="1:20" ht="13.5" thickTop="1">
      <c r="A12" s="352" t="s">
        <v>4</v>
      </c>
      <c r="B12" s="800">
        <f>IFERROR(VLOOKUP(A12,[7]Resumo!$G$7:$H$10,2,FALSE),0)/1000</f>
        <v>29778.086279999989</v>
      </c>
      <c r="D12" s="800">
        <f>IFERROR(VLOOKUP(A12,[8]Resumo!$A$7:$C$8,3,0),0)</f>
        <v>0</v>
      </c>
      <c r="F12" s="800">
        <f t="shared" si="0"/>
        <v>-6157.8847638517582</v>
      </c>
      <c r="G12" s="800">
        <f>IFERROR(VLOOKUP(A12,[9]Resumo!$A$4:$C$8,3,0),0)</f>
        <v>-1537.9716685860683</v>
      </c>
      <c r="H12" s="800"/>
      <c r="J12" s="1425">
        <v>4188</v>
      </c>
      <c r="K12" s="360">
        <v>9117</v>
      </c>
      <c r="L12" s="512">
        <f t="shared" si="1"/>
        <v>-2351.368283738394</v>
      </c>
      <c r="M12" s="1189">
        <f>'[4]4188_9117'!$G$40/1000</f>
        <v>-2351.368283738394</v>
      </c>
      <c r="N12" s="1173">
        <v>-2328440.16</v>
      </c>
      <c r="O12" s="1178">
        <f>-2196289.05-P12</f>
        <v>-2170873.0849699997</v>
      </c>
      <c r="P12" s="1156">
        <v>-25415.965030000007</v>
      </c>
      <c r="Q12" s="1168">
        <f>'[4]4188_9117'!$G$29</f>
        <v>2328439.7999999998</v>
      </c>
      <c r="T12" s="1236"/>
    </row>
    <row r="13" spans="1:20" ht="15.75" customHeight="1" thickBot="1">
      <c r="A13" s="352" t="s">
        <v>114</v>
      </c>
      <c r="B13" s="800">
        <f>IFERROR(VLOOKUP(A13,[7]Resumo!$G$7:$H$10,2,FALSE),0)/1000</f>
        <v>0</v>
      </c>
      <c r="D13" s="800">
        <f>IFERROR(VLOOKUP(A13,[8]Resumo!$A$7:$C$8,3,0),0)</f>
        <v>0</v>
      </c>
      <c r="F13" s="800">
        <f t="shared" si="0"/>
        <v>0</v>
      </c>
      <c r="G13" s="800">
        <f>IFERROR(VLOOKUP(A13,[9]Resumo!$A$4:$C$8,3,0),0)</f>
        <v>0</v>
      </c>
      <c r="H13" s="800"/>
      <c r="J13" s="1426"/>
      <c r="K13" s="361">
        <v>9280</v>
      </c>
      <c r="L13" s="513">
        <f t="shared" si="1"/>
        <v>-1056.005854154</v>
      </c>
      <c r="M13" s="1192">
        <f>'[4]4188_9280'!$G$40/1000</f>
        <v>-1056.005854154</v>
      </c>
      <c r="N13" s="1172">
        <v>-17095912.190000001</v>
      </c>
      <c r="O13" s="1179">
        <f>-320497.57-P13</f>
        <v>-317977.37797000003</v>
      </c>
      <c r="P13" s="1157">
        <v>-2520.1920299999997</v>
      </c>
      <c r="Q13" s="1169">
        <f>'[4]4188_9280'!$G$29</f>
        <v>17095912.260000002</v>
      </c>
    </row>
    <row r="14" spans="1:20" ht="16.5" customHeight="1" thickTop="1" thickBot="1">
      <c r="A14" s="352" t="s">
        <v>115</v>
      </c>
      <c r="B14" s="800">
        <f>IFERROR(VLOOKUP(A14,[7]Resumo!$G$7:$H$10,2,FALSE),0)/1000</f>
        <v>0</v>
      </c>
      <c r="D14" s="800">
        <f>IFERROR(VLOOKUP(A14,[8]Resumo!$A$7:$C$8,3,0),0)</f>
        <v>0</v>
      </c>
      <c r="F14" s="800">
        <f t="shared" si="0"/>
        <v>0</v>
      </c>
      <c r="G14" s="800">
        <f>IFERROR(VLOOKUP(A14,[9]Resumo!$A$4:$C$8,3,0),0)</f>
        <v>0</v>
      </c>
      <c r="H14" s="800"/>
      <c r="J14" s="1427"/>
      <c r="K14" s="359">
        <v>9282</v>
      </c>
      <c r="L14" s="514">
        <f t="shared" si="1"/>
        <v>0</v>
      </c>
      <c r="M14" s="1193">
        <f>'[4]4188_9282'!$G$40/1000</f>
        <v>0</v>
      </c>
      <c r="N14" s="1174">
        <v>-293300.49</v>
      </c>
      <c r="O14" s="1180">
        <f>'[4]4188_9282'!$G$14-P14</f>
        <v>0</v>
      </c>
      <c r="P14" s="1158">
        <v>0</v>
      </c>
      <c r="Q14" s="1204">
        <f>'[4]4188_9282'!$G$29</f>
        <v>527325.24</v>
      </c>
      <c r="T14" s="1236"/>
    </row>
    <row r="15" spans="1:20" ht="13.5" thickTop="1">
      <c r="A15" s="352" t="s">
        <v>116</v>
      </c>
      <c r="B15" s="800">
        <f>IFERROR(VLOOKUP(A15,[7]Resumo!$G$7:$H$10,2,FALSE),0)/1000</f>
        <v>105632.06635999979</v>
      </c>
      <c r="D15" s="800">
        <f>IFERROR(VLOOKUP(A15,[8]Resumo!$A$7:$C$8,3,0),0)</f>
        <v>0</v>
      </c>
      <c r="F15" s="800">
        <f t="shared" si="0"/>
        <v>-16804.416992762744</v>
      </c>
      <c r="G15" s="800">
        <f>IFERROR(VLOOKUP(A15,[9]Resumo!$A$4:$C$8,3,0),0)</f>
        <v>-4197.0121613333858</v>
      </c>
      <c r="H15" s="800"/>
      <c r="L15" s="508"/>
      <c r="M15" s="508"/>
      <c r="N15" s="508"/>
      <c r="O15" s="508"/>
      <c r="P15" s="508"/>
      <c r="Q15" s="508"/>
      <c r="T15" s="1236"/>
    </row>
    <row r="16" spans="1:20">
      <c r="A16" s="352" t="s">
        <v>1</v>
      </c>
      <c r="B16" s="800">
        <f>IFERROR(VLOOKUP(A16,[7]Resumo!$G$7:$H$10,2,FALSE),0)/1000</f>
        <v>153729.17864999984</v>
      </c>
      <c r="D16" s="800">
        <f>IFERROR(VLOOKUP(A16,[8]Resumo!$A$7:$C$8,3,0),0)</f>
        <v>-26.494</v>
      </c>
      <c r="F16" s="800">
        <f t="shared" si="0"/>
        <v>-52030.262586475852</v>
      </c>
      <c r="G16" s="800">
        <f>IFERROR(VLOOKUP(A16,[9]Resumo!$A$4:$C$8,3,0),0)</f>
        <v>-12994.895623386163</v>
      </c>
      <c r="H16" s="800"/>
      <c r="M16" s="1175">
        <f>SUM(M7:M14)</f>
        <v>-274354.24262524192</v>
      </c>
      <c r="N16" s="1175">
        <f>SUM(N7:N14)</f>
        <v>-335927224.85000002</v>
      </c>
      <c r="O16" s="1175">
        <f>SUM(O7:O14)</f>
        <v>-87485642.714809984</v>
      </c>
      <c r="P16" s="1175">
        <f>SUM(P7:P14)</f>
        <v>-3842849.47835</v>
      </c>
      <c r="Q16" s="1175">
        <f>SUM(Q7:Q14)</f>
        <v>337278505.44999999</v>
      </c>
      <c r="R16" s="520"/>
      <c r="S16" s="520"/>
    </row>
    <row r="17" spans="1:22" ht="13.5" thickBot="1">
      <c r="A17" s="350">
        <v>9130</v>
      </c>
      <c r="B17" s="802">
        <f>SUM(B18:B27)</f>
        <v>27.717239999999997</v>
      </c>
      <c r="D17" s="802">
        <v>0</v>
      </c>
      <c r="F17" s="351">
        <f t="shared" ref="F17:F74" si="2">G17*$F$5</f>
        <v>0</v>
      </c>
      <c r="G17" s="802">
        <v>0</v>
      </c>
      <c r="H17" s="802"/>
      <c r="M17" s="1420" t="s">
        <v>200</v>
      </c>
      <c r="N17" s="1420"/>
      <c r="O17" s="191"/>
      <c r="P17" s="191"/>
      <c r="Q17" s="191"/>
    </row>
    <row r="18" spans="1:22" ht="13.5" thickTop="1">
      <c r="A18" s="352" t="s">
        <v>110</v>
      </c>
      <c r="B18" s="800">
        <f>IFERROR(VLOOKUP(A18,[7]Resumo!$G$12:$H$12,2,FALSE),0)/1000</f>
        <v>27.717239999999997</v>
      </c>
      <c r="D18" s="800"/>
      <c r="F18" s="800">
        <f>G18*$F$5</f>
        <v>0</v>
      </c>
      <c r="G18" s="800"/>
      <c r="H18" s="800"/>
      <c r="J18" s="1419" t="s">
        <v>12</v>
      </c>
      <c r="K18" s="1419"/>
      <c r="L18" s="499"/>
      <c r="M18" s="368" t="s">
        <v>128</v>
      </c>
      <c r="N18" s="369" t="s">
        <v>129</v>
      </c>
      <c r="O18" s="225"/>
      <c r="P18" s="1196"/>
      <c r="Q18" s="225"/>
      <c r="T18" s="1236"/>
      <c r="V18" s="1236"/>
    </row>
    <row r="19" spans="1:22">
      <c r="A19" s="352" t="s">
        <v>111</v>
      </c>
      <c r="B19" s="800">
        <f>IFERROR(VLOOKUP(A19,[7]Resumo!$G$12:$H$12,2,FALSE),0)/1000</f>
        <v>0</v>
      </c>
      <c r="D19" s="800"/>
      <c r="F19" s="800">
        <f t="shared" ref="F19:F27" si="3">G19*$F$5</f>
        <v>0</v>
      </c>
      <c r="G19" s="800"/>
      <c r="H19" s="800"/>
      <c r="J19" s="1421" t="s">
        <v>127</v>
      </c>
      <c r="K19" s="1422"/>
      <c r="L19" s="500"/>
      <c r="M19" s="370">
        <v>4429355.16</v>
      </c>
      <c r="N19" s="370">
        <v>12008533.049999999</v>
      </c>
      <c r="O19" s="1152"/>
      <c r="P19" s="191"/>
      <c r="Q19" s="424"/>
      <c r="S19" s="1236"/>
      <c r="T19" s="1236"/>
      <c r="V19" s="1236"/>
    </row>
    <row r="20" spans="1:22">
      <c r="A20" s="352" t="s">
        <v>153</v>
      </c>
      <c r="B20" s="800">
        <f>IFERROR(VLOOKUP(A20,[7]Resumo!$G$12:$H$12,2,FALSE),0)/1000</f>
        <v>0</v>
      </c>
      <c r="D20" s="800"/>
      <c r="F20" s="800">
        <f t="shared" si="3"/>
        <v>0</v>
      </c>
      <c r="G20" s="800"/>
      <c r="H20" s="800"/>
      <c r="J20" s="1421" t="s">
        <v>1</v>
      </c>
      <c r="K20" s="1422"/>
      <c r="L20" s="500"/>
      <c r="M20" s="370">
        <v>114079143.36000009</v>
      </c>
      <c r="N20" s="370">
        <v>90090618.369999915</v>
      </c>
      <c r="P20" s="1264"/>
      <c r="S20" s="1236"/>
      <c r="T20" s="1236"/>
    </row>
    <row r="21" spans="1:22">
      <c r="A21" s="352" t="s">
        <v>112</v>
      </c>
      <c r="B21" s="800">
        <f>IFERROR(VLOOKUP(A21,[7]Resumo!$G$12:$H$12,2,FALSE),0)/1000</f>
        <v>0</v>
      </c>
      <c r="D21" s="800"/>
      <c r="F21" s="800">
        <f t="shared" si="3"/>
        <v>0</v>
      </c>
      <c r="G21" s="800"/>
      <c r="H21" s="800"/>
      <c r="M21" s="370"/>
      <c r="N21" s="371"/>
      <c r="O21" s="1226"/>
      <c r="P21" s="191"/>
      <c r="S21" s="1236"/>
      <c r="T21" s="1236"/>
      <c r="V21" s="1236"/>
    </row>
    <row r="22" spans="1:22">
      <c r="A22" s="352" t="s">
        <v>113</v>
      </c>
      <c r="B22" s="800">
        <f>IFERROR(VLOOKUP(A22,[7]Resumo!$G$12:$H$12,2,FALSE),0)/1000</f>
        <v>0</v>
      </c>
      <c r="D22" s="800"/>
      <c r="F22" s="800">
        <f t="shared" si="3"/>
        <v>0</v>
      </c>
      <c r="G22" s="800"/>
      <c r="H22" s="800"/>
      <c r="J22" s="1413" t="s">
        <v>209</v>
      </c>
      <c r="K22" s="1414"/>
      <c r="L22" s="498"/>
      <c r="M22" s="1182">
        <v>-2251661</v>
      </c>
      <c r="N22" s="1182">
        <v>-1939884</v>
      </c>
      <c r="O22" s="1225"/>
      <c r="P22" s="524"/>
      <c r="S22" s="1236"/>
      <c r="T22" s="1236"/>
      <c r="V22" s="1236"/>
    </row>
    <row r="23" spans="1:22">
      <c r="A23" s="352" t="s">
        <v>4</v>
      </c>
      <c r="B23" s="800">
        <f>IFERROR(VLOOKUP(A23,[7]Resumo!$G$12:$H$12,2,FALSE),0)/1000</f>
        <v>0</v>
      </c>
      <c r="D23" s="800"/>
      <c r="F23" s="800">
        <f t="shared" si="3"/>
        <v>0</v>
      </c>
      <c r="G23" s="800"/>
      <c r="H23" s="800"/>
      <c r="J23" s="1413" t="s">
        <v>210</v>
      </c>
      <c r="K23" s="1414"/>
      <c r="L23" s="498"/>
      <c r="M23" s="1182"/>
      <c r="N23" s="1182"/>
      <c r="O23" s="225"/>
      <c r="P23" s="225"/>
      <c r="S23" s="1236"/>
      <c r="T23" s="1236"/>
      <c r="V23" s="1236"/>
    </row>
    <row r="24" spans="1:22">
      <c r="A24" s="352" t="s">
        <v>114</v>
      </c>
      <c r="B24" s="800">
        <f>IFERROR(VLOOKUP(A24,[7]Resumo!$G$12:$H$12,2,FALSE),0)/1000</f>
        <v>0</v>
      </c>
      <c r="D24" s="800"/>
      <c r="F24" s="800">
        <f t="shared" si="3"/>
        <v>0</v>
      </c>
      <c r="G24" s="800"/>
      <c r="H24" s="800"/>
      <c r="J24" s="1413" t="s">
        <v>173</v>
      </c>
      <c r="K24" s="1414"/>
      <c r="L24" s="498"/>
      <c r="M24" s="1182"/>
      <c r="N24" s="1182"/>
      <c r="O24" s="1151"/>
      <c r="P24" s="1271"/>
      <c r="S24" s="1236"/>
      <c r="T24" s="1236"/>
      <c r="V24" s="1236"/>
    </row>
    <row r="25" spans="1:22" ht="13.5" thickBot="1">
      <c r="A25" s="352" t="s">
        <v>115</v>
      </c>
      <c r="B25" s="800">
        <f>IFERROR(VLOOKUP(A25,[7]Resumo!$G$12:$H$12,2,FALSE),0)/1000</f>
        <v>0</v>
      </c>
      <c r="D25" s="800"/>
      <c r="F25" s="800">
        <f t="shared" si="3"/>
        <v>0</v>
      </c>
      <c r="G25" s="800"/>
      <c r="H25" s="800"/>
      <c r="J25" s="1413" t="s">
        <v>214</v>
      </c>
      <c r="K25" s="1414"/>
      <c r="M25" s="1184">
        <v>-4845625.7699999996</v>
      </c>
      <c r="N25" s="1184">
        <v>-4174673.42</v>
      </c>
      <c r="P25" s="1236"/>
      <c r="Q25" s="1236"/>
      <c r="R25" s="1236"/>
      <c r="S25" s="1236"/>
      <c r="T25" s="1236"/>
      <c r="V25" s="1236"/>
    </row>
    <row r="26" spans="1:22" ht="13.5" customHeight="1" thickTop="1">
      <c r="A26" s="352" t="s">
        <v>116</v>
      </c>
      <c r="B26" s="800">
        <f>IFERROR(VLOOKUP(A26,[7]Resumo!$G$12:$H$12,2,FALSE),0)/1000</f>
        <v>0</v>
      </c>
      <c r="D26" s="800"/>
      <c r="F26" s="800">
        <f t="shared" si="3"/>
        <v>0</v>
      </c>
      <c r="G26" s="800"/>
      <c r="H26" s="800"/>
      <c r="J26" s="1413" t="s">
        <v>211</v>
      </c>
      <c r="K26" s="1414"/>
      <c r="L26" s="1223"/>
      <c r="M26" s="1294">
        <f>M22-M25-M23</f>
        <v>2593964.7699999996</v>
      </c>
      <c r="N26" s="1294">
        <f>N22-N25-N23</f>
        <v>2234789.42</v>
      </c>
      <c r="O26" s="225"/>
      <c r="P26" s="1242"/>
      <c r="Q26" s="1236"/>
      <c r="R26" s="1236"/>
      <c r="S26" s="1236"/>
      <c r="V26" s="1236"/>
    </row>
    <row r="27" spans="1:22" ht="15">
      <c r="A27" s="352" t="s">
        <v>1</v>
      </c>
      <c r="B27" s="800">
        <f>IFERROR(VLOOKUP(A27,[7]Resumo!$G$12:$H$12,2,FALSE),0)/1000</f>
        <v>0</v>
      </c>
      <c r="D27" s="800"/>
      <c r="F27" s="800">
        <f t="shared" si="3"/>
        <v>0</v>
      </c>
      <c r="G27" s="800"/>
      <c r="H27" s="800"/>
      <c r="J27" s="1413"/>
      <c r="K27" s="1414"/>
      <c r="L27" s="1223"/>
      <c r="M27" s="1288"/>
      <c r="N27" s="1289"/>
      <c r="O27" s="1242"/>
      <c r="P27" s="1242"/>
      <c r="Q27" s="1242"/>
      <c r="R27" s="1236"/>
      <c r="S27" s="1236"/>
      <c r="T27" s="1236"/>
      <c r="V27" s="1236"/>
    </row>
    <row r="28" spans="1:22" ht="15">
      <c r="A28" s="350">
        <v>9280</v>
      </c>
      <c r="B28" s="802">
        <f>SUM(B29:B39)</f>
        <v>276248.32238999993</v>
      </c>
      <c r="D28" s="802">
        <f>SUM(D29:D39)</f>
        <v>-3900.0330000000004</v>
      </c>
      <c r="F28" s="802">
        <f>SUM(F29:F39)</f>
        <v>-88542.444603291471</v>
      </c>
      <c r="G28" s="802">
        <f>SUM(G29:G39)</f>
        <v>-22114.049952119552</v>
      </c>
      <c r="H28" s="802"/>
      <c r="L28" s="520"/>
      <c r="M28" s="1183"/>
      <c r="N28" s="1183"/>
      <c r="P28" s="1417"/>
      <c r="Q28" s="1417"/>
      <c r="R28" s="1361"/>
      <c r="S28" s="1362"/>
      <c r="T28" s="181"/>
    </row>
    <row r="29" spans="1:22" ht="15">
      <c r="A29" s="352" t="s">
        <v>110</v>
      </c>
      <c r="B29" s="800">
        <f>IFERROR(VLOOKUP(A29,[7]Resumo!$G$14:$H$18,2,FALSE),0)/1000</f>
        <v>81553.783229999943</v>
      </c>
      <c r="D29" s="800">
        <f>IFERROR(VLOOKUP(A29,[8]Resumo!$A$10:$C$11,3,0),0)</f>
        <v>-3472.1242000000007</v>
      </c>
      <c r="F29" s="800">
        <f>G29*$F$5</f>
        <v>-30023.045597378823</v>
      </c>
      <c r="G29" s="800">
        <f>IFERROR(VLOOKUP(A29,[9]Resumo!$A$17:$C$21,3,0),0)</f>
        <v>-7498.4504101947659</v>
      </c>
      <c r="H29" s="800"/>
      <c r="M29" s="225"/>
      <c r="N29" s="225"/>
      <c r="O29" s="1242"/>
      <c r="P29" s="1363"/>
      <c r="Q29" s="1364"/>
      <c r="R29" s="1361"/>
      <c r="S29" s="1362"/>
      <c r="T29" s="1362"/>
    </row>
    <row r="30" spans="1:22" ht="15">
      <c r="A30" s="352" t="s">
        <v>111</v>
      </c>
      <c r="B30" s="800">
        <f>IFERROR(VLOOKUP(A30,[7]Resumo!$G$14:$H$18,2,FALSE),0)/1000</f>
        <v>3369.3312599999995</v>
      </c>
      <c r="D30" s="800">
        <f>IFERROR(VLOOKUP(A30,[8]Resumo!$A$10:$C$11,3,0),0)</f>
        <v>0</v>
      </c>
      <c r="F30" s="800">
        <f t="shared" ref="F30:F38" si="4">G30*$F$5</f>
        <v>-1338.0224900000007</v>
      </c>
      <c r="G30" s="800">
        <f>IFERROR(VLOOKUP(A30,[9]Resumo!$A$17:$C$21,3,0),0)</f>
        <v>-334.1797971977324</v>
      </c>
      <c r="H30" s="800"/>
      <c r="M30" s="225"/>
      <c r="N30" s="225"/>
      <c r="P30" s="1363"/>
      <c r="Q30" s="1364"/>
      <c r="R30" s="1361"/>
      <c r="S30" s="1362"/>
      <c r="T30" s="1362"/>
    </row>
    <row r="31" spans="1:22">
      <c r="A31" s="352" t="s">
        <v>153</v>
      </c>
      <c r="B31" s="800">
        <f>IFERROR(VLOOKUP(A31,[7]Resumo!$G$14:$H$18,2,FALSE),0)/1000</f>
        <v>0</v>
      </c>
      <c r="D31" s="800">
        <f>IFERROR(VLOOKUP(A31,[8]Resumo!$A$10:$C$11,3,0),0)</f>
        <v>0</v>
      </c>
      <c r="F31" s="800">
        <f t="shared" si="4"/>
        <v>0</v>
      </c>
      <c r="G31" s="800">
        <f>IFERROR(VLOOKUP(A31,[9]Resumo!$A$17:$C$21,3,0),0)</f>
        <v>0</v>
      </c>
      <c r="H31" s="800"/>
      <c r="P31" s="1362"/>
      <c r="Q31" s="181"/>
      <c r="R31" s="181"/>
      <c r="S31" s="1362"/>
      <c r="T31" s="181"/>
    </row>
    <row r="32" spans="1:22">
      <c r="A32" s="352" t="s">
        <v>152</v>
      </c>
      <c r="B32" s="800">
        <f>IFERROR(VLOOKUP(A32,[7]Resumo!$G$14:$H$18,2,FALSE),0)/1000</f>
        <v>0</v>
      </c>
      <c r="D32" s="800">
        <f>IFERROR(VLOOKUP(A32,[8]Resumo!$A$10:$C$11,3,0),0)</f>
        <v>0</v>
      </c>
      <c r="F32" s="800">
        <f t="shared" si="4"/>
        <v>0</v>
      </c>
      <c r="G32" s="800">
        <f>IFERROR(VLOOKUP(A32,[9]Resumo!$A$17:$C$21,3,0),0)</f>
        <v>0</v>
      </c>
      <c r="H32" s="800"/>
      <c r="N32" s="225"/>
      <c r="P32" s="1362"/>
      <c r="Q32" s="181"/>
      <c r="R32" s="181"/>
      <c r="S32" s="1362"/>
      <c r="T32" s="181"/>
    </row>
    <row r="33" spans="1:20">
      <c r="A33" s="352" t="s">
        <v>112</v>
      </c>
      <c r="B33" s="800">
        <f>IFERROR(VLOOKUP(A33,[7]Resumo!$G$14:$H$18,2,FALSE),0)/1000</f>
        <v>0</v>
      </c>
      <c r="D33" s="800">
        <f>IFERROR(VLOOKUP(A33,[8]Resumo!$A$10:$C$11,3,0),0)</f>
        <v>0</v>
      </c>
      <c r="F33" s="800">
        <f t="shared" si="4"/>
        <v>0</v>
      </c>
      <c r="G33" s="800">
        <f>IFERROR(VLOOKUP(A33,[9]Resumo!$A$17:$C$21,3,0),0)</f>
        <v>0</v>
      </c>
      <c r="H33" s="800"/>
      <c r="M33" s="1226"/>
      <c r="N33" s="181"/>
      <c r="O33" s="181"/>
      <c r="P33" s="1362"/>
      <c r="Q33" s="181"/>
      <c r="R33" s="181"/>
      <c r="S33" s="1362"/>
      <c r="T33" s="181"/>
    </row>
    <row r="34" spans="1:20">
      <c r="A34" s="352" t="s">
        <v>113</v>
      </c>
      <c r="B34" s="800">
        <f>IFERROR(VLOOKUP(A34,[7]Resumo!$G$14:$H$18,2,FALSE),0)/1000</f>
        <v>0</v>
      </c>
      <c r="D34" s="800">
        <f>IFERROR(VLOOKUP(A34,[8]Resumo!$A$10:$C$11,3,0),0)</f>
        <v>0</v>
      </c>
      <c r="F34" s="800">
        <f t="shared" si="4"/>
        <v>0</v>
      </c>
      <c r="G34" s="800">
        <f>IFERROR(VLOOKUP(A34,[9]Resumo!$A$17:$C$21,3,0),0)</f>
        <v>0</v>
      </c>
      <c r="H34" s="800"/>
      <c r="M34" s="1296"/>
      <c r="N34" s="1358"/>
      <c r="O34" s="181"/>
      <c r="P34" s="1362"/>
      <c r="Q34" s="181"/>
      <c r="R34" s="181"/>
      <c r="S34" s="1365"/>
      <c r="T34" s="181"/>
    </row>
    <row r="35" spans="1:20">
      <c r="A35" s="352" t="s">
        <v>4</v>
      </c>
      <c r="B35" s="800">
        <f>IFERROR(VLOOKUP(A35,[7]Resumo!$G$14:$H$18,2,FALSE),0)/1000</f>
        <v>22705.315759999998</v>
      </c>
      <c r="D35" s="800">
        <f>IFERROR(VLOOKUP(A35,[8]Resumo!$A$10:$C$11,3,0),0)</f>
        <v>-427.90879999999993</v>
      </c>
      <c r="F35" s="800">
        <f t="shared" si="4"/>
        <v>-9009.2241038975553</v>
      </c>
      <c r="G35" s="800">
        <f>IFERROR(VLOOKUP(A35,[9]Resumo!$A$17:$C$21,3,0),0)</f>
        <v>-2250.1121666119425</v>
      </c>
      <c r="H35" s="800"/>
      <c r="M35" s="1222"/>
      <c r="N35" s="1358"/>
      <c r="O35" s="181"/>
      <c r="P35" s="1362"/>
      <c r="Q35" s="181"/>
      <c r="R35" s="181"/>
      <c r="S35" s="181"/>
      <c r="T35" s="181"/>
    </row>
    <row r="36" spans="1:20">
      <c r="A36" s="352" t="s">
        <v>114</v>
      </c>
      <c r="B36" s="800">
        <f>IFERROR(VLOOKUP(A36,[7]Resumo!$G$14:$H$18,2,FALSE),0)/1000</f>
        <v>0</v>
      </c>
      <c r="D36" s="800">
        <f>IFERROR(VLOOKUP(A36,[8]Resumo!$A$10:$C$11,3,0),0)</f>
        <v>0</v>
      </c>
      <c r="F36" s="800">
        <f t="shared" si="4"/>
        <v>0</v>
      </c>
      <c r="G36" s="800">
        <f>IFERROR(VLOOKUP(A36,[9]Resumo!$A$17:$C$21,3,0),0)</f>
        <v>0</v>
      </c>
      <c r="H36" s="800"/>
      <c r="M36" s="1297"/>
      <c r="N36" s="1358"/>
      <c r="O36" s="181"/>
      <c r="P36" s="1362"/>
      <c r="Q36" s="1362"/>
      <c r="R36" s="181"/>
      <c r="S36" s="181"/>
      <c r="T36" s="181"/>
    </row>
    <row r="37" spans="1:20">
      <c r="A37" s="352" t="s">
        <v>115</v>
      </c>
      <c r="B37" s="800">
        <f>IFERROR(VLOOKUP(A37,[7]Resumo!$G$14:$H$18,2,FALSE),0)/1000</f>
        <v>0</v>
      </c>
      <c r="D37" s="800">
        <f>IFERROR(VLOOKUP(A37,[8]Resumo!$A$10:$C$11,3,0),0)</f>
        <v>0</v>
      </c>
      <c r="F37" s="800">
        <f t="shared" si="4"/>
        <v>0</v>
      </c>
      <c r="G37" s="800">
        <f>IFERROR(VLOOKUP(A37,[9]Resumo!$A$17:$C$21,3,0),0)</f>
        <v>0</v>
      </c>
      <c r="H37" s="800"/>
      <c r="M37" s="1254"/>
      <c r="N37" s="181"/>
      <c r="O37" s="181"/>
      <c r="P37" s="1362"/>
      <c r="Q37" s="1362"/>
      <c r="R37" s="181"/>
      <c r="S37" s="181"/>
      <c r="T37" s="181"/>
    </row>
    <row r="38" spans="1:20">
      <c r="A38" s="352" t="s">
        <v>116</v>
      </c>
      <c r="B38" s="800">
        <f>IFERROR(VLOOKUP(A38,[7]Resumo!$G$14:$H$18,2,FALSE),0)/1000</f>
        <v>45806.778900000012</v>
      </c>
      <c r="D38" s="800">
        <f>IFERROR(VLOOKUP(A38,[8]Resumo!$A$10:$C$11,3,0),0)</f>
        <v>0</v>
      </c>
      <c r="F38" s="800">
        <f t="shared" si="4"/>
        <v>-14121.248345002326</v>
      </c>
      <c r="G38" s="800">
        <f>IFERROR(VLOOKUP(A38,[9]Resumo!$A$17:$C$21,3,0),0)</f>
        <v>-3526.8733847004987</v>
      </c>
      <c r="H38" s="800"/>
      <c r="M38" s="1224"/>
      <c r="N38" s="1360"/>
      <c r="O38" s="934"/>
      <c r="P38" s="1362"/>
      <c r="Q38" s="1309"/>
      <c r="R38" s="934"/>
      <c r="S38" s="934"/>
      <c r="T38" s="181"/>
    </row>
    <row r="39" spans="1:20">
      <c r="A39" s="352" t="s">
        <v>1</v>
      </c>
      <c r="B39" s="800">
        <f>IFERROR(VLOOKUP(A39,[7]Resumo!$G$14:$H$18,2,FALSE),0)/1000</f>
        <v>122813.11323999996</v>
      </c>
      <c r="D39" s="800">
        <f>IFERROR(VLOOKUP(A39,[8]Resumo!$A$10:$C$11,3,0),0)</f>
        <v>0</v>
      </c>
      <c r="F39" s="800">
        <f>G39*$F$5</f>
        <v>-34050.904067012765</v>
      </c>
      <c r="G39" s="800">
        <f>IFERROR(VLOOKUP(A39,[9]Resumo!$A$17:$C$21,3,0),0)</f>
        <v>-8504.4341934146123</v>
      </c>
      <c r="H39" s="800"/>
      <c r="K39" s="225"/>
      <c r="N39" s="181"/>
      <c r="O39" s="1232"/>
      <c r="P39" s="1299"/>
      <c r="Q39" s="1233"/>
      <c r="R39" s="934"/>
      <c r="S39" s="934"/>
      <c r="T39" s="181"/>
    </row>
    <row r="40" spans="1:20">
      <c r="A40" s="350">
        <v>9282</v>
      </c>
      <c r="B40" s="802">
        <f>SUM(B41:B51)</f>
        <v>215130.47721000004</v>
      </c>
      <c r="D40" s="802">
        <f>SUM(D41:D51)</f>
        <v>-10845.137900000003</v>
      </c>
      <c r="F40" s="351">
        <f t="shared" si="2"/>
        <v>-7288.249376063196</v>
      </c>
      <c r="G40" s="802">
        <f>SUM(G41:G51)</f>
        <v>-1820.2875636412489</v>
      </c>
      <c r="H40" s="802"/>
      <c r="M40" s="1416"/>
      <c r="N40" s="1416"/>
      <c r="O40" s="1230"/>
      <c r="P40" s="1292"/>
      <c r="Q40" s="1234"/>
      <c r="R40" s="934"/>
      <c r="S40" s="934"/>
      <c r="T40" s="181"/>
    </row>
    <row r="41" spans="1:20">
      <c r="A41" s="352" t="s">
        <v>110</v>
      </c>
      <c r="B41" s="800">
        <f>IFERROR(VLOOKUP(A41,[7]Resumo!$G$20:$H$24,2,FALSE),0)/1000</f>
        <v>131844.30336000002</v>
      </c>
      <c r="D41" s="800">
        <f>IFERROR(VLOOKUP(A41,[8]Resumo!$A$13:$C$14,3,0),0)</f>
        <v>-9214.9780100000025</v>
      </c>
      <c r="F41" s="800">
        <f t="shared" si="2"/>
        <v>-5048.018729114352</v>
      </c>
      <c r="G41" s="800">
        <f>IFERROR(VLOOKUP(A41,[9]Resumo!$A$29:$C$33,3,0),0)</f>
        <v>-1260.775426238006</v>
      </c>
      <c r="H41" s="800"/>
      <c r="M41" s="1416"/>
      <c r="N41" s="1416"/>
      <c r="O41" s="1230"/>
      <c r="P41" s="1292"/>
      <c r="Q41" s="1234"/>
      <c r="R41" s="934"/>
      <c r="S41" s="934"/>
      <c r="T41" s="181"/>
    </row>
    <row r="42" spans="1:20">
      <c r="A42" s="352" t="s">
        <v>111</v>
      </c>
      <c r="B42" s="800">
        <f>IFERROR(VLOOKUP(A42,[7]Resumo!$G$20:$H$24,2,FALSE),0)/1000</f>
        <v>1047.48532</v>
      </c>
      <c r="D42" s="800">
        <f>IFERROR(VLOOKUP(A42,[8]Resumo!$A$13:$C$14,3,0),0)</f>
        <v>0</v>
      </c>
      <c r="F42" s="800">
        <f t="shared" si="2"/>
        <v>0</v>
      </c>
      <c r="G42" s="800">
        <f>IFERROR(VLOOKUP(A42,[9]Resumo!$A$29:$C$33,3,0),0)</f>
        <v>0</v>
      </c>
      <c r="H42" s="800"/>
      <c r="K42" s="225"/>
      <c r="M42" s="934"/>
      <c r="N42" s="934"/>
      <c r="O42" s="934"/>
      <c r="P42" s="1293"/>
      <c r="Q42" s="895"/>
      <c r="R42" s="934"/>
      <c r="S42" s="934"/>
      <c r="T42" s="181"/>
    </row>
    <row r="43" spans="1:20">
      <c r="A43" s="352" t="s">
        <v>153</v>
      </c>
      <c r="B43" s="800">
        <f>IFERROR(VLOOKUP(A43,[7]Resumo!$G$20:$H$24,2,FALSE),0)/1000</f>
        <v>0</v>
      </c>
      <c r="D43" s="800">
        <f>IFERROR(VLOOKUP(A43,[8]Resumo!$A$13:$C$14,3,0),0)</f>
        <v>0</v>
      </c>
      <c r="F43" s="800">
        <f t="shared" si="2"/>
        <v>0</v>
      </c>
      <c r="G43" s="800">
        <f>IFERROR(VLOOKUP(A43,[9]Resumo!$A$29:$C$33,3,0),0)</f>
        <v>0</v>
      </c>
      <c r="H43" s="800"/>
      <c r="M43" s="1415"/>
      <c r="N43" s="1415"/>
      <c r="O43" s="1231"/>
      <c r="P43" s="1292"/>
      <c r="Q43" s="1234"/>
      <c r="R43" s="934"/>
      <c r="S43" s="934"/>
      <c r="T43" s="181"/>
    </row>
    <row r="44" spans="1:20">
      <c r="A44" s="352" t="s">
        <v>152</v>
      </c>
      <c r="B44" s="800">
        <f>IFERROR(VLOOKUP(A44,[7]Resumo!$G$20:$H$24,2,FALSE),0)/1000</f>
        <v>0</v>
      </c>
      <c r="D44" s="800">
        <f>IFERROR(VLOOKUP(A44,[8]Resumo!$A$13:$C$14,3,0),0)</f>
        <v>0</v>
      </c>
      <c r="F44" s="800">
        <f t="shared" si="2"/>
        <v>0</v>
      </c>
      <c r="G44" s="800">
        <f>IFERROR(VLOOKUP(A44,[9]Resumo!$A$29:$C$33,3,0),0)</f>
        <v>0</v>
      </c>
      <c r="H44" s="800"/>
      <c r="M44" s="1415"/>
      <c r="N44" s="1415"/>
      <c r="O44" s="1231"/>
      <c r="P44" s="1234"/>
      <c r="Q44" s="1234"/>
      <c r="R44" s="934"/>
      <c r="S44" s="934"/>
      <c r="T44" s="181"/>
    </row>
    <row r="45" spans="1:20">
      <c r="A45" s="352" t="s">
        <v>112</v>
      </c>
      <c r="B45" s="800">
        <f>IFERROR(VLOOKUP(A45,[7]Resumo!$G$20:$H$24,2,FALSE),0)/1000</f>
        <v>0</v>
      </c>
      <c r="D45" s="800">
        <f>IFERROR(VLOOKUP(A45,[8]Resumo!$A$13:$C$14,3,0),0)</f>
        <v>0</v>
      </c>
      <c r="F45" s="800">
        <f t="shared" si="2"/>
        <v>0</v>
      </c>
      <c r="G45" s="800">
        <f>IFERROR(VLOOKUP(A45,[9]Resumo!$A$29:$C$33,3,0),0)</f>
        <v>0</v>
      </c>
      <c r="H45" s="800"/>
      <c r="M45" s="1415"/>
      <c r="N45" s="1415"/>
      <c r="O45" s="1231"/>
      <c r="P45" s="1234"/>
      <c r="Q45" s="1234"/>
      <c r="R45" s="934"/>
      <c r="S45" s="934"/>
      <c r="T45" s="181"/>
    </row>
    <row r="46" spans="1:20">
      <c r="A46" s="352" t="s">
        <v>113</v>
      </c>
      <c r="B46" s="800">
        <f>IFERROR(VLOOKUP(A46,[7]Resumo!$G$20:$H$24,2,FALSE),0)/1000</f>
        <v>0</v>
      </c>
      <c r="D46" s="800">
        <f>IFERROR(VLOOKUP(A46,[8]Resumo!$A$13:$C$14,3,0),0)</f>
        <v>0</v>
      </c>
      <c r="F46" s="800">
        <f t="shared" si="2"/>
        <v>0</v>
      </c>
      <c r="G46" s="800">
        <f>IFERROR(VLOOKUP(A46,[9]Resumo!$A$29:$C$33,3,0),0)</f>
        <v>0</v>
      </c>
      <c r="H46" s="800"/>
      <c r="M46" s="1415"/>
      <c r="N46" s="1415"/>
      <c r="O46" s="934"/>
      <c r="P46" s="1234"/>
      <c r="Q46" s="1234"/>
      <c r="R46" s="934"/>
      <c r="S46" s="934"/>
      <c r="T46" s="181"/>
    </row>
    <row r="47" spans="1:20">
      <c r="A47" s="352" t="s">
        <v>4</v>
      </c>
      <c r="B47" s="800">
        <f>IFERROR(VLOOKUP(A47,[7]Resumo!$G$20:$H$24,2,FALSE),0)/1000</f>
        <v>57973.880640000003</v>
      </c>
      <c r="D47" s="800">
        <f>IFERROR(VLOOKUP(A47,[8]Resumo!$A$13:$C$14,3,0),0)</f>
        <v>-1630.1598900000001</v>
      </c>
      <c r="F47" s="800">
        <f t="shared" si="2"/>
        <v>-1815.6366119623701</v>
      </c>
      <c r="G47" s="800">
        <f>IFERROR(VLOOKUP(A47,[9]Resumo!$A$29:$C$33,3,0),0)</f>
        <v>-453.46702264351512</v>
      </c>
      <c r="H47" s="800"/>
      <c r="M47" s="1415"/>
      <c r="N47" s="1415"/>
      <c r="O47" s="1231"/>
      <c r="P47" s="1235"/>
      <c r="Q47" s="1235"/>
      <c r="R47" s="934"/>
      <c r="S47" s="934"/>
      <c r="T47" s="181"/>
    </row>
    <row r="48" spans="1:20">
      <c r="A48" s="352" t="s">
        <v>114</v>
      </c>
      <c r="B48" s="800">
        <f>IFERROR(VLOOKUP(A48,[7]Resumo!$G$20:$H$24,2,FALSE),0)/1000</f>
        <v>0</v>
      </c>
      <c r="D48" s="800">
        <f>IFERROR(VLOOKUP(A48,[8]Resumo!$A$13:$C$14,3,0),0)</f>
        <v>0</v>
      </c>
      <c r="F48" s="800">
        <f t="shared" si="2"/>
        <v>0</v>
      </c>
      <c r="G48" s="800">
        <f>IFERROR(VLOOKUP(A48,[9]Resumo!$A$29:$C$33,3,0),0)</f>
        <v>0</v>
      </c>
      <c r="H48" s="800"/>
      <c r="M48" s="934"/>
      <c r="N48" s="934"/>
      <c r="O48" s="934"/>
      <c r="P48" s="1359"/>
      <c r="Q48" s="934"/>
      <c r="R48" s="934"/>
      <c r="S48" s="934"/>
      <c r="T48" s="181"/>
    </row>
    <row r="49" spans="1:20">
      <c r="A49" s="352" t="s">
        <v>115</v>
      </c>
      <c r="B49" s="800">
        <f>IFERROR(VLOOKUP(A49,[7]Resumo!$G$20:$H$24,2,FALSE),0)/1000</f>
        <v>0</v>
      </c>
      <c r="D49" s="800">
        <f>IFERROR(VLOOKUP(A49,[8]Resumo!$A$13:$C$14,3,0),0)</f>
        <v>0</v>
      </c>
      <c r="F49" s="800">
        <f t="shared" si="2"/>
        <v>0</v>
      </c>
      <c r="G49" s="800">
        <f>IFERROR(VLOOKUP(A49,[9]Resumo!$A$29:$C$33,3,0),0)</f>
        <v>0</v>
      </c>
      <c r="H49" s="800"/>
      <c r="P49" s="1362"/>
      <c r="Q49" s="181"/>
      <c r="R49" s="181"/>
      <c r="S49" s="181"/>
      <c r="T49" s="181"/>
    </row>
    <row r="50" spans="1:20">
      <c r="A50" s="352" t="s">
        <v>116</v>
      </c>
      <c r="B50" s="800">
        <f>IFERROR(VLOOKUP(A50,[7]Resumo!$G$20:$H$24,2,FALSE),0)/1000</f>
        <v>10749.522730000001</v>
      </c>
      <c r="D50" s="800">
        <f>IFERROR(VLOOKUP(A50,[8]Resumo!$A$13:$C$14,3,0),0)</f>
        <v>0</v>
      </c>
      <c r="F50" s="800">
        <f t="shared" si="2"/>
        <v>-200.00000000000011</v>
      </c>
      <c r="G50" s="800">
        <f>IFERROR(VLOOKUP(A50,[9]Resumo!$A$29:$C$33,3,0),0)</f>
        <v>-49.9512974849522</v>
      </c>
      <c r="H50" s="800"/>
      <c r="P50" s="1362"/>
      <c r="Q50" s="181"/>
      <c r="R50" s="181"/>
      <c r="S50" s="181"/>
      <c r="T50" s="181"/>
    </row>
    <row r="51" spans="1:20">
      <c r="A51" s="352" t="s">
        <v>1</v>
      </c>
      <c r="B51" s="800">
        <f>IFERROR(VLOOKUP(A51,[7]Resumo!$G$20:$H$24,2,FALSE),0)/1000</f>
        <v>13515.285160000005</v>
      </c>
      <c r="D51" s="800">
        <f>IFERROR(VLOOKUP(A51,[8]Resumo!$A$13:$C$14,3,0),0)</f>
        <v>0</v>
      </c>
      <c r="F51" s="800">
        <f t="shared" si="2"/>
        <v>-224.59403498647399</v>
      </c>
      <c r="G51" s="800">
        <f>IFERROR(VLOOKUP(A51,[9]Resumo!$A$29:$C$33,3,0),0)</f>
        <v>-56.093817274775596</v>
      </c>
      <c r="H51" s="800"/>
      <c r="P51" s="181"/>
      <c r="Q51" s="181"/>
      <c r="R51" s="181"/>
      <c r="S51" s="181"/>
      <c r="T51" s="181"/>
    </row>
    <row r="52" spans="1:20">
      <c r="A52" s="350">
        <v>9290</v>
      </c>
      <c r="B52" s="802">
        <f>SUM(B53:B62)</f>
        <v>0</v>
      </c>
      <c r="D52" s="802"/>
      <c r="F52" s="351">
        <f t="shared" si="2"/>
        <v>0</v>
      </c>
      <c r="G52" s="802">
        <v>0</v>
      </c>
      <c r="H52" s="802"/>
    </row>
    <row r="53" spans="1:20">
      <c r="A53" s="352" t="s">
        <v>110</v>
      </c>
      <c r="B53" s="800"/>
      <c r="D53" s="800"/>
      <c r="F53" s="800">
        <f t="shared" si="2"/>
        <v>0</v>
      </c>
      <c r="G53" s="800"/>
      <c r="H53" s="800"/>
    </row>
    <row r="54" spans="1:20">
      <c r="A54" s="352" t="s">
        <v>111</v>
      </c>
      <c r="B54" s="800"/>
      <c r="D54" s="800"/>
      <c r="F54" s="800">
        <f t="shared" si="2"/>
        <v>0</v>
      </c>
      <c r="G54" s="800"/>
      <c r="H54" s="800"/>
    </row>
    <row r="55" spans="1:20">
      <c r="A55" s="352" t="s">
        <v>153</v>
      </c>
      <c r="B55" s="800"/>
      <c r="D55" s="800"/>
      <c r="F55" s="800">
        <f t="shared" si="2"/>
        <v>0</v>
      </c>
      <c r="G55" s="800"/>
      <c r="H55" s="800"/>
    </row>
    <row r="56" spans="1:20">
      <c r="A56" s="352" t="s">
        <v>112</v>
      </c>
      <c r="B56" s="800"/>
      <c r="D56" s="800"/>
      <c r="F56" s="800">
        <f t="shared" si="2"/>
        <v>0</v>
      </c>
      <c r="G56" s="800"/>
      <c r="H56" s="800"/>
    </row>
    <row r="57" spans="1:20">
      <c r="A57" s="352" t="s">
        <v>113</v>
      </c>
      <c r="B57" s="800"/>
      <c r="D57" s="800"/>
      <c r="F57" s="800">
        <f t="shared" si="2"/>
        <v>0</v>
      </c>
      <c r="G57" s="800"/>
      <c r="H57" s="800"/>
    </row>
    <row r="58" spans="1:20">
      <c r="A58" s="352" t="s">
        <v>4</v>
      </c>
      <c r="B58" s="800"/>
      <c r="D58" s="800"/>
      <c r="F58" s="800">
        <f t="shared" si="2"/>
        <v>0</v>
      </c>
      <c r="G58" s="800"/>
      <c r="H58" s="800"/>
    </row>
    <row r="59" spans="1:20">
      <c r="A59" s="352" t="s">
        <v>114</v>
      </c>
      <c r="B59" s="800"/>
      <c r="D59" s="800"/>
      <c r="F59" s="800">
        <f t="shared" si="2"/>
        <v>0</v>
      </c>
      <c r="G59" s="800"/>
      <c r="H59" s="800"/>
    </row>
    <row r="60" spans="1:20">
      <c r="A60" s="352" t="s">
        <v>115</v>
      </c>
      <c r="B60" s="800"/>
      <c r="D60" s="800"/>
      <c r="F60" s="800">
        <f t="shared" si="2"/>
        <v>0</v>
      </c>
      <c r="G60" s="800"/>
      <c r="H60" s="800"/>
    </row>
    <row r="61" spans="1:20">
      <c r="A61" s="352" t="s">
        <v>116</v>
      </c>
      <c r="B61" s="800"/>
      <c r="D61" s="800"/>
      <c r="F61" s="800">
        <f t="shared" si="2"/>
        <v>0</v>
      </c>
      <c r="G61" s="800"/>
      <c r="H61" s="800"/>
    </row>
    <row r="62" spans="1:20">
      <c r="A62" s="352" t="s">
        <v>1</v>
      </c>
      <c r="B62" s="800"/>
      <c r="D62" s="800"/>
      <c r="F62" s="800">
        <f t="shared" si="2"/>
        <v>0</v>
      </c>
      <c r="G62" s="800"/>
      <c r="H62" s="800"/>
    </row>
    <row r="63" spans="1:20">
      <c r="A63" s="348">
        <v>4188</v>
      </c>
      <c r="B63" s="1227">
        <f>B64+B75</f>
        <v>70317.182230000006</v>
      </c>
      <c r="D63" s="1227">
        <f>D64+D75</f>
        <v>-645.53962000000001</v>
      </c>
      <c r="F63" s="366">
        <f t="shared" si="2"/>
        <v>-8769.7242175273768</v>
      </c>
      <c r="G63" s="801">
        <f>G64+G75</f>
        <v>-2190.2955162534972</v>
      </c>
      <c r="H63" s="801"/>
    </row>
    <row r="64" spans="1:20">
      <c r="A64" s="350">
        <v>9117</v>
      </c>
      <c r="B64" s="802">
        <f>SUM(B65:B74)</f>
        <v>51752.933219999992</v>
      </c>
      <c r="D64" s="802">
        <f>SUM(D65:D74)</f>
        <v>0</v>
      </c>
      <c r="F64" s="351">
        <f t="shared" si="2"/>
        <v>0</v>
      </c>
      <c r="G64" s="802">
        <f>SUM(G65:G74)</f>
        <v>0</v>
      </c>
      <c r="H64" s="802"/>
    </row>
    <row r="65" spans="1:8">
      <c r="A65" s="352" t="s">
        <v>110</v>
      </c>
      <c r="B65" s="800">
        <f>IFERROR(VLOOKUP(A65,[7]Resumo!$G$26:$H$29,2,FALSE),0)/1000</f>
        <v>2160.0669599999997</v>
      </c>
      <c r="D65" s="800"/>
      <c r="F65" s="800">
        <f t="shared" si="2"/>
        <v>0</v>
      </c>
      <c r="G65" s="800"/>
      <c r="H65" s="800"/>
    </row>
    <row r="66" spans="1:8">
      <c r="A66" s="352" t="s">
        <v>111</v>
      </c>
      <c r="B66" s="800">
        <f>IFERROR(VLOOKUP(A66,[7]Resumo!$G$26:$H$29,2,FALSE),0)/1000</f>
        <v>0</v>
      </c>
      <c r="D66" s="800"/>
      <c r="F66" s="800">
        <f t="shared" si="2"/>
        <v>0</v>
      </c>
      <c r="G66" s="800"/>
      <c r="H66" s="800"/>
    </row>
    <row r="67" spans="1:8">
      <c r="A67" s="352" t="s">
        <v>153</v>
      </c>
      <c r="B67" s="800">
        <f>IFERROR(VLOOKUP(A67,[7]Resumo!$G$26:$H$29,2,FALSE),0)/1000</f>
        <v>0</v>
      </c>
      <c r="D67" s="800"/>
      <c r="F67" s="800">
        <f t="shared" si="2"/>
        <v>0</v>
      </c>
      <c r="G67" s="800"/>
      <c r="H67" s="800"/>
    </row>
    <row r="68" spans="1:8">
      <c r="A68" s="352" t="s">
        <v>112</v>
      </c>
      <c r="B68" s="800">
        <f>IFERROR(VLOOKUP(A68,[7]Resumo!$G$26:$H$29,2,FALSE),0)/1000</f>
        <v>0</v>
      </c>
      <c r="D68" s="800"/>
      <c r="F68" s="800">
        <f t="shared" si="2"/>
        <v>0</v>
      </c>
      <c r="G68" s="800"/>
      <c r="H68" s="800"/>
    </row>
    <row r="69" spans="1:8">
      <c r="A69" s="352" t="s">
        <v>113</v>
      </c>
      <c r="B69" s="800">
        <f>IFERROR(VLOOKUP(A69,[7]Resumo!$G$26:$H$29,2,FALSE),0)/1000</f>
        <v>0</v>
      </c>
      <c r="D69" s="800"/>
      <c r="F69" s="800">
        <f t="shared" si="2"/>
        <v>0</v>
      </c>
      <c r="G69" s="800"/>
      <c r="H69" s="800"/>
    </row>
    <row r="70" spans="1:8">
      <c r="A70" s="352" t="s">
        <v>4</v>
      </c>
      <c r="B70" s="800">
        <f>IFERROR(VLOOKUP(A70,[7]Resumo!$G$26:$H$29,2,FALSE),0)/1000</f>
        <v>2084.6250500000001</v>
      </c>
      <c r="D70" s="800"/>
      <c r="F70" s="800">
        <f t="shared" si="2"/>
        <v>0</v>
      </c>
      <c r="G70" s="800"/>
      <c r="H70" s="800"/>
    </row>
    <row r="71" spans="1:8">
      <c r="A71" s="352" t="s">
        <v>114</v>
      </c>
      <c r="B71" s="800">
        <f>IFERROR(VLOOKUP(A71,[7]Resumo!$G$26:$H$29,2,FALSE),0)/1000</f>
        <v>0</v>
      </c>
      <c r="D71" s="800"/>
      <c r="F71" s="800">
        <f t="shared" si="2"/>
        <v>0</v>
      </c>
      <c r="G71" s="800"/>
      <c r="H71" s="800"/>
    </row>
    <row r="72" spans="1:8">
      <c r="A72" s="352" t="s">
        <v>115</v>
      </c>
      <c r="B72" s="800">
        <f>IFERROR(VLOOKUP(A72,[7]Resumo!$G$26:$H$29,2,FALSE),0)/1000</f>
        <v>0</v>
      </c>
      <c r="D72" s="800"/>
      <c r="F72" s="800">
        <f t="shared" si="2"/>
        <v>0</v>
      </c>
      <c r="G72" s="800"/>
      <c r="H72" s="800"/>
    </row>
    <row r="73" spans="1:8">
      <c r="A73" s="352" t="s">
        <v>116</v>
      </c>
      <c r="B73" s="800">
        <f>IFERROR(VLOOKUP(A73,[7]Resumo!$G$26:$H$29,2,FALSE),0)/1000</f>
        <v>17762.634340000004</v>
      </c>
      <c r="D73" s="800"/>
      <c r="F73" s="800">
        <f t="shared" si="2"/>
        <v>0</v>
      </c>
      <c r="G73" s="800"/>
      <c r="H73" s="800"/>
    </row>
    <row r="74" spans="1:8">
      <c r="A74" s="352" t="s">
        <v>1</v>
      </c>
      <c r="B74" s="800">
        <f>IFERROR(VLOOKUP(A74,[7]Resumo!$G$26:$H$29,2,FALSE),0)/1000</f>
        <v>29745.606869999989</v>
      </c>
      <c r="D74" s="800"/>
      <c r="F74" s="800">
        <f t="shared" si="2"/>
        <v>0</v>
      </c>
      <c r="G74" s="800"/>
      <c r="H74" s="800"/>
    </row>
    <row r="75" spans="1:8">
      <c r="A75" s="350">
        <v>9280</v>
      </c>
      <c r="B75" s="802">
        <f>SUM(B76:B85)</f>
        <v>18564.249010000007</v>
      </c>
      <c r="D75" s="802">
        <f>SUM(D76:D85)</f>
        <v>-645.53962000000001</v>
      </c>
      <c r="F75" s="351">
        <f t="shared" ref="F75:F88" si="5">G75*$F$5</f>
        <v>-8769.7242175273768</v>
      </c>
      <c r="G75" s="802">
        <f>SUM(G76:G85)</f>
        <v>-2190.2955162534972</v>
      </c>
      <c r="H75" s="802"/>
    </row>
    <row r="76" spans="1:8">
      <c r="A76" s="352" t="s">
        <v>110</v>
      </c>
      <c r="B76" s="800">
        <f>IFERROR(VLOOKUP(A76,[7]Resumo!$G$31:$H$34,2,FALSE),0)/1000</f>
        <v>17704.331370000004</v>
      </c>
      <c r="D76" s="800">
        <f>IFERROR(VLOOKUP(A76,[8]Resumo!$A$17:$C$17,3,0),0)</f>
        <v>-645.53962000000001</v>
      </c>
      <c r="F76" s="800">
        <f t="shared" si="5"/>
        <v>-2693.735725557211</v>
      </c>
      <c r="G76" s="800">
        <f>IFERROR(VLOOKUP(A76,[9]Resumo!$E$4:$G$8,3,0),0)</f>
        <v>-672.77797286575867</v>
      </c>
      <c r="H76" s="800"/>
    </row>
    <row r="77" spans="1:8">
      <c r="A77" s="352" t="s">
        <v>111</v>
      </c>
      <c r="B77" s="800">
        <f>IFERROR(VLOOKUP(A77,[7]Resumo!$G$31:$H$34,2,FALSE),0)/1000</f>
        <v>0</v>
      </c>
      <c r="D77" s="800">
        <f>IFERROR(VLOOKUP(A77,[8]Resumo!$A$17:$C$17,3,0),0)</f>
        <v>0</v>
      </c>
      <c r="F77" s="800">
        <f t="shared" si="5"/>
        <v>0</v>
      </c>
      <c r="G77" s="800">
        <f>IFERROR(VLOOKUP(A77,[9]Resumo!$E$4:$G$8,3,0),0)</f>
        <v>0</v>
      </c>
      <c r="H77" s="800"/>
    </row>
    <row r="78" spans="1:8">
      <c r="A78" s="352" t="s">
        <v>153</v>
      </c>
      <c r="B78" s="800">
        <f>IFERROR(VLOOKUP(A78,[7]Resumo!$G$31:$H$34,2,FALSE),0)/1000</f>
        <v>0</v>
      </c>
      <c r="D78" s="800">
        <f>IFERROR(VLOOKUP(A78,[8]Resumo!$A$17:$C$17,3,0),0)</f>
        <v>0</v>
      </c>
      <c r="F78" s="800">
        <f t="shared" si="5"/>
        <v>0</v>
      </c>
      <c r="G78" s="800">
        <f>IFERROR(VLOOKUP(A78,[9]Resumo!$E$4:$G$8,3,0),0)</f>
        <v>0</v>
      </c>
      <c r="H78" s="800"/>
    </row>
    <row r="79" spans="1:8">
      <c r="A79" s="352" t="s">
        <v>112</v>
      </c>
      <c r="B79" s="800">
        <f>IFERROR(VLOOKUP(A79,[7]Resumo!$G$31:$H$34,2,FALSE),0)/1000</f>
        <v>0</v>
      </c>
      <c r="D79" s="800">
        <f>IFERROR(VLOOKUP(A79,[8]Resumo!$A$17:$C$17,3,0),0)</f>
        <v>0</v>
      </c>
      <c r="F79" s="800">
        <f t="shared" si="5"/>
        <v>0</v>
      </c>
      <c r="G79" s="800">
        <f>IFERROR(VLOOKUP(A79,[9]Resumo!$E$4:$G$8,3,0),0)</f>
        <v>0</v>
      </c>
      <c r="H79" s="800"/>
    </row>
    <row r="80" spans="1:8">
      <c r="A80" s="352" t="s">
        <v>113</v>
      </c>
      <c r="B80" s="800">
        <f>IFERROR(VLOOKUP(A80,[7]Resumo!$G$31:$H$34,2,FALSE),0)/1000</f>
        <v>0</v>
      </c>
      <c r="D80" s="800">
        <f>IFERROR(VLOOKUP(A80,[8]Resumo!$A$17:$C$17,3,0),0)</f>
        <v>0</v>
      </c>
      <c r="F80" s="800">
        <f t="shared" si="5"/>
        <v>0</v>
      </c>
      <c r="G80" s="800">
        <f>IFERROR(VLOOKUP(A80,[9]Resumo!$E$4:$G$8,3,0),0)</f>
        <v>0</v>
      </c>
      <c r="H80" s="800"/>
    </row>
    <row r="81" spans="1:12">
      <c r="A81" s="352" t="s">
        <v>4</v>
      </c>
      <c r="B81" s="800">
        <f>IFERROR(VLOOKUP(A81,[7]Resumo!$G$31:$H$34,2,FALSE),0)/1000</f>
        <v>631.75210000000004</v>
      </c>
      <c r="D81" s="800">
        <f>IFERROR(VLOOKUP(A81,[8]Resumo!$A$17:$C$17,3,0),0)</f>
        <v>0</v>
      </c>
      <c r="F81" s="800">
        <f t="shared" si="5"/>
        <v>-1095.5181202883125</v>
      </c>
      <c r="G81" s="800">
        <f>IFERROR(VLOOKUP(A81,[9]Resumo!$E$4:$G$8,3,0),0)</f>
        <v>-273.61275763338557</v>
      </c>
      <c r="H81" s="800"/>
    </row>
    <row r="82" spans="1:12">
      <c r="A82" s="352" t="s">
        <v>114</v>
      </c>
      <c r="B82" s="800">
        <f>IFERROR(VLOOKUP(A82,[7]Resumo!$G$31:$H$34,2,FALSE),0)/1000</f>
        <v>0</v>
      </c>
      <c r="D82" s="800">
        <f>IFERROR(VLOOKUP(A82,[8]Resumo!$A$17:$C$17,3,0),0)</f>
        <v>0</v>
      </c>
      <c r="F82" s="800">
        <f t="shared" si="5"/>
        <v>0</v>
      </c>
      <c r="G82" s="800">
        <f>IFERROR(VLOOKUP(A82,[9]Resumo!$E$4:$G$8,3,0),0)</f>
        <v>0</v>
      </c>
      <c r="H82" s="800"/>
    </row>
    <row r="83" spans="1:12">
      <c r="A83" s="352" t="s">
        <v>115</v>
      </c>
      <c r="B83" s="800">
        <f>IFERROR(VLOOKUP(A83,[7]Resumo!$G$31:$H$34,2,FALSE),0)/1000</f>
        <v>0</v>
      </c>
      <c r="D83" s="800">
        <f>IFERROR(VLOOKUP(A83,[8]Resumo!$A$17:$C$17,3,0),0)</f>
        <v>0</v>
      </c>
      <c r="F83" s="800">
        <f t="shared" si="5"/>
        <v>0</v>
      </c>
      <c r="G83" s="800">
        <f>IFERROR(VLOOKUP(A83,[9]Resumo!$E$4:$G$8,3,0),0)</f>
        <v>0</v>
      </c>
      <c r="H83" s="800"/>
    </row>
    <row r="84" spans="1:12">
      <c r="A84" s="352" t="s">
        <v>116</v>
      </c>
      <c r="B84" s="800">
        <f>IFERROR(VLOOKUP(A84,[7]Resumo!$G$31:$H$34,2,FALSE),0)/1000</f>
        <v>212.98885000000001</v>
      </c>
      <c r="D84" s="800">
        <f>IFERROR(VLOOKUP(A84,[8]Resumo!$A$17:$C$17,3,0),0)</f>
        <v>0</v>
      </c>
      <c r="F84" s="800">
        <f t="shared" si="5"/>
        <v>-1298.642372234953</v>
      </c>
      <c r="G84" s="800">
        <f>IFERROR(VLOOKUP(A84,[9]Resumo!$E$4:$G$8,3,0),0)</f>
        <v>-324.34435731036064</v>
      </c>
      <c r="H84" s="800"/>
    </row>
    <row r="85" spans="1:12">
      <c r="A85" s="352" t="s">
        <v>1</v>
      </c>
      <c r="B85" s="800">
        <f>IFERROR(VLOOKUP(A85,[7]Resumo!$G$31:$H$34,2,FALSE),0)/1000</f>
        <v>15.176690000000001</v>
      </c>
      <c r="D85" s="800">
        <f>IFERROR(VLOOKUP(A85,[8]Resumo!$A$17:$C$17,3,0),0)</f>
        <v>0</v>
      </c>
      <c r="F85" s="800">
        <f t="shared" si="5"/>
        <v>-3681.8279994469012</v>
      </c>
      <c r="G85" s="800">
        <f>IFERROR(VLOOKUP(A85,[9]Resumo!$E$4:$G$8,3,0),0)</f>
        <v>-919.56042844399246</v>
      </c>
      <c r="H85" s="800"/>
    </row>
    <row r="86" spans="1:12">
      <c r="A86" s="350">
        <v>9282</v>
      </c>
      <c r="B86" s="802">
        <f>B88+B87</f>
        <v>293.30049000000002</v>
      </c>
      <c r="D86" s="802">
        <f>D88+D87</f>
        <v>0</v>
      </c>
      <c r="F86" s="351">
        <f t="shared" si="5"/>
        <v>0</v>
      </c>
      <c r="G86" s="802">
        <v>0</v>
      </c>
      <c r="H86" s="802"/>
    </row>
    <row r="87" spans="1:12">
      <c r="A87" s="352" t="s">
        <v>110</v>
      </c>
      <c r="B87" s="800">
        <f>IFERROR(VLOOKUP(A87,[7]Resumo!$G$36:$H$37,2,FALSE),0)/1000</f>
        <v>234.02475000000001</v>
      </c>
      <c r="D87" s="800"/>
      <c r="F87" s="800"/>
      <c r="G87" s="800"/>
      <c r="H87" s="800"/>
    </row>
    <row r="88" spans="1:12">
      <c r="A88" s="352" t="s">
        <v>116</v>
      </c>
      <c r="B88" s="800">
        <f>IFERROR(VLOOKUP(A88,[7]Resumo!$G$36:$H$37,2,FALSE),0)/1000</f>
        <v>59.275740000000006</v>
      </c>
      <c r="D88" s="800"/>
      <c r="F88" s="353">
        <f t="shared" si="5"/>
        <v>0</v>
      </c>
      <c r="G88" s="800"/>
      <c r="H88" s="800"/>
      <c r="L88" s="1226"/>
    </row>
    <row r="89" spans="1:12">
      <c r="A89" s="354" t="s">
        <v>117</v>
      </c>
      <c r="B89" s="355">
        <f>B6+B17++B28+B40+B52+B64+B75+B86</f>
        <v>962357.2899999998</v>
      </c>
      <c r="D89" s="355">
        <f>D6+D17+D28+D40+D52+D64+D75+D86</f>
        <v>-19855.81107</v>
      </c>
      <c r="F89" s="367">
        <f>G89*$F$5</f>
        <v>-220410.28506792197</v>
      </c>
      <c r="G89" s="355">
        <f>G6+G17+G28+G40+G52+G64+G75+G86</f>
        <v>-55048.898590854413</v>
      </c>
      <c r="H89" s="367"/>
      <c r="K89" s="1224"/>
    </row>
    <row r="90" spans="1:12">
      <c r="B90" s="1290" t="str">
        <f>IF(B89=[7]Resumo!$H$37,"ok","verificar")</f>
        <v>verificar</v>
      </c>
      <c r="C90" s="1290"/>
      <c r="D90" s="1290" t="str">
        <f>IF(D89=[8]Resumo!$C$18,"ok","Verificar")</f>
        <v>ok</v>
      </c>
      <c r="E90" s="1290"/>
      <c r="F90" s="1308" t="s">
        <v>132</v>
      </c>
      <c r="G90" s="1308" t="s">
        <v>132</v>
      </c>
      <c r="H90" s="225"/>
      <c r="L90" s="1224"/>
    </row>
    <row r="91" spans="1:12">
      <c r="A91" s="363" t="s">
        <v>208</v>
      </c>
      <c r="B91" s="1226">
        <f>[7]Resumo!$H$39/1000</f>
        <v>978699.61415999976</v>
      </c>
      <c r="G91" s="1196"/>
      <c r="H91" s="1196"/>
      <c r="L91" s="1224"/>
    </row>
    <row r="92" spans="1:12">
      <c r="A92" s="1290" t="s">
        <v>207</v>
      </c>
      <c r="B92" s="225">
        <f>B91-B89</f>
        <v>16342.32415999996</v>
      </c>
      <c r="F92" s="1242"/>
    </row>
    <row r="93" spans="1:12">
      <c r="F93" s="225"/>
    </row>
    <row r="94" spans="1:12">
      <c r="F94" s="1226"/>
    </row>
    <row r="97" spans="1:11">
      <c r="F97" s="1242"/>
    </row>
    <row r="98" spans="1:11">
      <c r="F98" s="1242"/>
    </row>
    <row r="99" spans="1:11">
      <c r="A99" s="181"/>
      <c r="B99" s="181"/>
      <c r="C99" s="181"/>
      <c r="D99" s="181"/>
      <c r="E99" s="181"/>
      <c r="F99" s="1273"/>
      <c r="G99" s="181"/>
      <c r="H99" s="181"/>
      <c r="I99" s="181"/>
      <c r="J99" s="181"/>
      <c r="K99" s="181"/>
    </row>
    <row r="100" spans="1:11">
      <c r="A100" s="181"/>
      <c r="B100" s="181"/>
      <c r="C100" s="181"/>
      <c r="D100" s="181"/>
      <c r="E100" s="181"/>
      <c r="F100" s="1273"/>
      <c r="G100" s="181"/>
      <c r="H100" s="181"/>
      <c r="I100" s="181"/>
      <c r="J100" s="181"/>
      <c r="K100" s="181"/>
    </row>
    <row r="101" spans="1:11">
      <c r="A101" s="181"/>
      <c r="B101" s="181"/>
      <c r="C101" s="181"/>
      <c r="D101" s="181"/>
      <c r="E101" s="181"/>
      <c r="F101" s="1273"/>
      <c r="G101" s="181"/>
      <c r="H101" s="181"/>
      <c r="I101" s="181"/>
      <c r="J101" s="181"/>
      <c r="K101" s="181"/>
    </row>
    <row r="102" spans="1:11">
      <c r="A102" s="181"/>
      <c r="B102" s="181"/>
      <c r="C102" s="181"/>
      <c r="D102" s="181"/>
      <c r="E102" s="181"/>
      <c r="F102" s="1273"/>
      <c r="G102" s="181"/>
      <c r="H102" s="181"/>
      <c r="I102" s="181"/>
      <c r="J102" s="181"/>
      <c r="K102" s="181"/>
    </row>
    <row r="103" spans="1:11">
      <c r="A103" s="181"/>
      <c r="B103" s="181"/>
      <c r="C103" s="181"/>
      <c r="D103" s="181"/>
      <c r="E103" s="181"/>
      <c r="F103" s="1273"/>
      <c r="G103" s="181"/>
      <c r="H103" s="181"/>
      <c r="I103" s="181"/>
      <c r="J103" s="181"/>
      <c r="K103" s="181"/>
    </row>
    <row r="104" spans="1:11">
      <c r="A104" s="181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</row>
    <row r="105" spans="1:11">
      <c r="A105" s="181"/>
      <c r="B105" s="181"/>
      <c r="C105" s="181"/>
      <c r="D105" s="181"/>
      <c r="E105" s="181"/>
      <c r="F105" s="1274"/>
      <c r="G105" s="181"/>
      <c r="H105" s="181"/>
      <c r="I105" s="181"/>
      <c r="J105" s="181"/>
      <c r="K105" s="181"/>
    </row>
  </sheetData>
  <mergeCells count="24">
    <mergeCell ref="P28:Q28"/>
    <mergeCell ref="Q5:Q6"/>
    <mergeCell ref="L5:L6"/>
    <mergeCell ref="J24:K24"/>
    <mergeCell ref="J23:K23"/>
    <mergeCell ref="J22:K22"/>
    <mergeCell ref="J18:K18"/>
    <mergeCell ref="M17:N17"/>
    <mergeCell ref="J19:K19"/>
    <mergeCell ref="J20:K20"/>
    <mergeCell ref="M5:M6"/>
    <mergeCell ref="N5:N6"/>
    <mergeCell ref="J7:J11"/>
    <mergeCell ref="J12:J14"/>
    <mergeCell ref="J26:K26"/>
    <mergeCell ref="J27:K27"/>
    <mergeCell ref="J25:K25"/>
    <mergeCell ref="M44:N44"/>
    <mergeCell ref="M45:N45"/>
    <mergeCell ref="M46:N46"/>
    <mergeCell ref="M47:N47"/>
    <mergeCell ref="M40:N40"/>
    <mergeCell ref="M41:N41"/>
    <mergeCell ref="M43:N43"/>
  </mergeCells>
  <pageMargins left="0.7" right="0.7" top="0.75" bottom="0.75" header="0.3" footer="0.3"/>
  <pageSetup paperSize="9" orientation="portrait" r:id="rId1"/>
  <ignoredErrors>
    <ignoredError sqref="Q16" formulaRange="1"/>
    <ignoredError sqref="F28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Y90"/>
  <sheetViews>
    <sheetView showGridLines="0" topLeftCell="A25" zoomScale="60" zoomScaleNormal="60" workbookViewId="0">
      <selection activeCell="L39" sqref="L39"/>
    </sheetView>
  </sheetViews>
  <sheetFormatPr defaultRowHeight="15" outlineLevelCol="1"/>
  <cols>
    <col min="1" max="1" width="3" style="3" customWidth="1"/>
    <col min="2" max="2" width="7.42578125" style="3" customWidth="1"/>
    <col min="3" max="3" width="8.85546875" style="3" customWidth="1"/>
    <col min="4" max="4" width="27.140625" style="3" bestFit="1" customWidth="1"/>
    <col min="5" max="5" width="36.42578125" style="3" bestFit="1" customWidth="1" outlineLevel="1"/>
    <col min="6" max="6" width="14.42578125" style="3" bestFit="1" customWidth="1" outlineLevel="1"/>
    <col min="7" max="7" width="13.5703125" style="3" bestFit="1" customWidth="1" outlineLevel="1"/>
    <col min="8" max="8" width="14" style="3" bestFit="1" customWidth="1" outlineLevel="1"/>
    <col min="9" max="9" width="15.7109375" style="3" bestFit="1" customWidth="1" outlineLevel="1"/>
    <col min="10" max="10" width="13" style="1320" bestFit="1" customWidth="1" outlineLevel="1"/>
    <col min="11" max="11" width="13.5703125" style="3" bestFit="1" customWidth="1" outlineLevel="1"/>
    <col min="12" max="13" width="18.5703125" style="3" customWidth="1" outlineLevel="1"/>
    <col min="14" max="14" width="18.28515625" style="3" bestFit="1" customWidth="1"/>
    <col min="15" max="15" width="15.42578125" style="3" customWidth="1"/>
    <col min="16" max="20" width="9.140625" style="3"/>
    <col min="21" max="21" width="11.140625" style="3" bestFit="1" customWidth="1"/>
    <col min="22" max="22" width="10.5703125" style="3" bestFit="1" customWidth="1"/>
    <col min="23" max="16384" width="9.140625" style="3"/>
  </cols>
  <sheetData>
    <row r="3" spans="2:25" ht="20.25">
      <c r="E3" s="1456" t="s">
        <v>165</v>
      </c>
      <c r="F3" s="1456"/>
      <c r="G3" s="1456"/>
      <c r="H3" s="1456"/>
      <c r="I3" s="1456"/>
      <c r="J3" s="1456"/>
      <c r="K3" s="1456"/>
      <c r="L3" s="1456"/>
    </row>
    <row r="5" spans="2:25">
      <c r="O5" s="1148" t="s">
        <v>168</v>
      </c>
    </row>
    <row r="6" spans="2:25" s="1" customFormat="1" ht="21.75" customHeight="1" thickBot="1">
      <c r="J6" s="1321"/>
      <c r="M6" s="527"/>
      <c r="N6" s="2"/>
      <c r="O6" s="1149" t="s">
        <v>169</v>
      </c>
    </row>
    <row r="7" spans="2:25" ht="31.5" customHeight="1" thickBot="1">
      <c r="B7" s="1449" t="s">
        <v>108</v>
      </c>
      <c r="C7" s="1450"/>
      <c r="D7" s="598" t="s">
        <v>21</v>
      </c>
      <c r="E7" s="598" t="s">
        <v>5</v>
      </c>
      <c r="F7" s="598" t="s">
        <v>12</v>
      </c>
      <c r="G7" s="599" t="s">
        <v>11</v>
      </c>
      <c r="H7" s="599" t="s">
        <v>3</v>
      </c>
      <c r="I7" s="599" t="s">
        <v>10</v>
      </c>
      <c r="J7" s="1322" t="s">
        <v>0</v>
      </c>
      <c r="K7" s="600" t="s">
        <v>2</v>
      </c>
      <c r="L7" s="601" t="s">
        <v>14</v>
      </c>
      <c r="M7" s="601" t="s">
        <v>164</v>
      </c>
      <c r="N7" s="601" t="s">
        <v>22</v>
      </c>
      <c r="O7" s="602" t="s">
        <v>16</v>
      </c>
    </row>
    <row r="8" spans="2:25" ht="17.25" customHeight="1">
      <c r="B8" s="1457" t="s">
        <v>20</v>
      </c>
      <c r="C8" s="1444" t="s">
        <v>166</v>
      </c>
      <c r="D8" s="1460" t="s">
        <v>6</v>
      </c>
      <c r="E8" s="570" t="s">
        <v>37</v>
      </c>
      <c r="F8" s="571">
        <f>'BAD DEBT 9115'!F3+'BAD DEBT 9130'!F3</f>
        <v>111228.67639000002</v>
      </c>
      <c r="G8" s="572">
        <f>'BAD DEBT 9115'!G3+'BAD DEBT 9130'!G3</f>
        <v>-4438.6065499999995</v>
      </c>
      <c r="H8" s="603">
        <f>'BAD DEBT 9115'!H3+'BAD DEBT 9130'!H3</f>
        <v>0</v>
      </c>
      <c r="I8" s="573">
        <f>'BAD DEBT 9115'!I3+'BAD DEBT 9130'!I3</f>
        <v>106790.06984000003</v>
      </c>
      <c r="J8" s="1323">
        <f>'SUMMARY BRL'!J6</f>
        <v>1</v>
      </c>
      <c r="K8" s="574">
        <f>'BAD DEBT 9115'!K3+'BAD DEBT 9130'!K3</f>
        <v>0</v>
      </c>
      <c r="L8" s="575">
        <f>'BAD DEBT 9115'!L3+'BAD DEBT 9130'!L3</f>
        <v>-106790.06984000003</v>
      </c>
      <c r="M8" s="569"/>
      <c r="N8" s="9"/>
      <c r="O8" s="9"/>
    </row>
    <row r="9" spans="2:25" ht="17.25" customHeight="1">
      <c r="B9" s="1458"/>
      <c r="C9" s="1445"/>
      <c r="D9" s="1461"/>
      <c r="E9" s="576" t="s">
        <v>38</v>
      </c>
      <c r="F9" s="577">
        <f>'BAD DEBT 9115'!F4+'BAD DEBT 9130'!F4</f>
        <v>0</v>
      </c>
      <c r="G9" s="578">
        <f>'BAD DEBT 9115'!G4+'BAD DEBT 9130'!G4</f>
        <v>0</v>
      </c>
      <c r="H9" s="604">
        <f>'BAD DEBT 9115'!H4+'BAD DEBT 9130'!H4</f>
        <v>0</v>
      </c>
      <c r="I9" s="579">
        <f>'BAD DEBT 9115'!I4+'BAD DEBT 9130'!I4</f>
        <v>0</v>
      </c>
      <c r="J9" s="1324">
        <f>'SUMMARY BRL'!J7</f>
        <v>0.9</v>
      </c>
      <c r="K9" s="580">
        <f>'BAD DEBT 9115'!K4+'BAD DEBT 9130'!K4</f>
        <v>0</v>
      </c>
      <c r="L9" s="581">
        <f>'BAD DEBT 9115'!L4+'BAD DEBT 9130'!L4</f>
        <v>0</v>
      </c>
      <c r="M9" s="568"/>
      <c r="N9" s="4"/>
      <c r="O9" s="4"/>
      <c r="Y9" s="3">
        <f>534059-16400</f>
        <v>517659</v>
      </c>
    </row>
    <row r="10" spans="2:25" ht="18" thickBot="1">
      <c r="B10" s="1458"/>
      <c r="C10" s="1445"/>
      <c r="D10" s="1462"/>
      <c r="E10" s="576" t="s">
        <v>36</v>
      </c>
      <c r="F10" s="582">
        <f>'BAD DEBT 9115'!F5+'BAD DEBT 9130'!F5</f>
        <v>0</v>
      </c>
      <c r="G10" s="578">
        <f>'BAD DEBT 9115'!G5+'BAD DEBT 9130'!G5</f>
        <v>0</v>
      </c>
      <c r="H10" s="604">
        <f>'BAD DEBT 9115'!H5+'BAD DEBT 9130'!H5</f>
        <v>0</v>
      </c>
      <c r="I10" s="579">
        <f>'BAD DEBT 9115'!I5+'BAD DEBT 9130'!I5</f>
        <v>0</v>
      </c>
      <c r="J10" s="1325">
        <f>'SUMMARY BRL'!J8</f>
        <v>0.9</v>
      </c>
      <c r="K10" s="580">
        <f>'BAD DEBT 9115'!K5+'BAD DEBT 9130'!K5</f>
        <v>0</v>
      </c>
      <c r="L10" s="581">
        <f>'BAD DEBT 9115'!L5+'BAD DEBT 9130'!L5</f>
        <v>0</v>
      </c>
      <c r="M10" s="568"/>
      <c r="N10" s="4"/>
      <c r="O10" s="4"/>
    </row>
    <row r="11" spans="2:25" ht="17.25" customHeight="1" thickBot="1">
      <c r="B11" s="1458"/>
      <c r="C11" s="1445"/>
      <c r="D11" s="1451" t="s">
        <v>23</v>
      </c>
      <c r="E11" s="1463"/>
      <c r="F11" s="592">
        <f>SUM(F8:F10)</f>
        <v>111228.67639000002</v>
      </c>
      <c r="G11" s="1047">
        <f>SUM(G8:G10)</f>
        <v>-4438.6065499999995</v>
      </c>
      <c r="H11" s="593"/>
      <c r="I11" s="596">
        <f>SUM(I8:I10)</f>
        <v>106790.06984000003</v>
      </c>
      <c r="J11" s="1326">
        <f>IF(ISERROR(-L11/I11),0,IF(-L11/I11&lt;0,100%,IF(-L11/I11&gt;100%,100%,-L11/I11)))</f>
        <v>1</v>
      </c>
      <c r="K11" s="596">
        <f>SUM(K8:K10)</f>
        <v>0</v>
      </c>
      <c r="L11" s="597">
        <f>SUM(L8:L10)</f>
        <v>-106790.06984000003</v>
      </c>
      <c r="M11" s="597">
        <f>'BAD DEBT 9115'!N6+'BAD DEBT 9130'!N6</f>
        <v>0</v>
      </c>
      <c r="N11" s="595">
        <f>'BAD DEBT 9115'!O6+'BAD DEBT 9130'!O6</f>
        <v>-110127.47095999999</v>
      </c>
      <c r="O11" s="595">
        <f>'BAD DEBT 9115'!P6+'BAD DEBT 9130'!P6</f>
        <v>-3337.4011199999663</v>
      </c>
    </row>
    <row r="12" spans="2:25" ht="21.75" customHeight="1">
      <c r="B12" s="1458"/>
      <c r="C12" s="1445"/>
      <c r="D12" s="1461" t="s">
        <v>4</v>
      </c>
      <c r="E12" s="584" t="s">
        <v>39</v>
      </c>
      <c r="F12" s="585">
        <f>'BAD DEBT 9115'!F7+'BAD DEBT 9130'!F7</f>
        <v>29778.086279999989</v>
      </c>
      <c r="G12" s="583">
        <f>'BAD DEBT 9115'!G7+'BAD DEBT 9130'!G7</f>
        <v>0</v>
      </c>
      <c r="H12" s="585">
        <f>'BAD DEBT 9115'!H7+'BAD DEBT 9130'!H7</f>
        <v>-6157.8847638517582</v>
      </c>
      <c r="I12" s="585">
        <f>'BAD DEBT 9115'!I7+'BAD DEBT 9130'!I7</f>
        <v>23620.20151614823</v>
      </c>
      <c r="J12" s="1327">
        <f>'SUMMARY BRL'!J10</f>
        <v>0.6</v>
      </c>
      <c r="K12" s="580">
        <f>'BAD DEBT 9115'!K7+'BAD DEBT 9130'!K7</f>
        <v>15605.965370311051</v>
      </c>
      <c r="L12" s="581">
        <f>'BAD DEBT 9115'!L7+'BAD DEBT 9130'!L7</f>
        <v>-14172.120909688938</v>
      </c>
      <c r="M12" s="568"/>
      <c r="N12" s="4"/>
      <c r="O12" s="4"/>
    </row>
    <row r="13" spans="2:25" ht="21.75" customHeight="1">
      <c r="B13" s="1458"/>
      <c r="C13" s="1445"/>
      <c r="D13" s="1461"/>
      <c r="E13" s="584" t="s">
        <v>33</v>
      </c>
      <c r="F13" s="585">
        <f>'BAD DEBT 9115'!F8+'BAD DEBT 9130'!F8</f>
        <v>0</v>
      </c>
      <c r="G13" s="585">
        <f>'BAD DEBT 9115'!G8+'BAD DEBT 9130'!G8</f>
        <v>0</v>
      </c>
      <c r="H13" s="585">
        <f>'BAD DEBT 9115'!H8+'BAD DEBT 9130'!H8</f>
        <v>0</v>
      </c>
      <c r="I13" s="585">
        <f>'BAD DEBT 9115'!I8+'BAD DEBT 9130'!I8</f>
        <v>0</v>
      </c>
      <c r="J13" s="1328">
        <f>'SUMMARY BRL'!J11</f>
        <v>0.6</v>
      </c>
      <c r="K13" s="580">
        <f>'BAD DEBT 9115'!K8+'BAD DEBT 9130'!K8</f>
        <v>0</v>
      </c>
      <c r="L13" s="581">
        <f>'BAD DEBT 9115'!L8+'BAD DEBT 9130'!L8</f>
        <v>0</v>
      </c>
      <c r="M13" s="568"/>
      <c r="N13" s="4"/>
      <c r="O13" s="4"/>
    </row>
    <row r="14" spans="2:25" ht="17.25" customHeight="1">
      <c r="B14" s="1458"/>
      <c r="C14" s="1445"/>
      <c r="D14" s="1464"/>
      <c r="E14" s="586" t="s">
        <v>1</v>
      </c>
      <c r="F14" s="587">
        <f>'BAD DEBT 9115'!F9+'BAD DEBT 9130'!F9</f>
        <v>0</v>
      </c>
      <c r="G14" s="587">
        <f>'BAD DEBT 9115'!G9+'BAD DEBT 9130'!G9</f>
        <v>0</v>
      </c>
      <c r="H14" s="587">
        <f>'BAD DEBT 9115'!H9+'BAD DEBT 9130'!H9</f>
        <v>0</v>
      </c>
      <c r="I14" s="587">
        <f>'BAD DEBT 9115'!I9+'BAD DEBT 9130'!I9</f>
        <v>0</v>
      </c>
      <c r="J14" s="1329">
        <f>'SUMMARY BRL'!J12</f>
        <v>0.6</v>
      </c>
      <c r="K14" s="588">
        <f>'BAD DEBT 9115'!K9+'BAD DEBT 9130'!K9</f>
        <v>0</v>
      </c>
      <c r="L14" s="589">
        <f>'BAD DEBT 9115'!L9+'BAD DEBT 9130'!L9</f>
        <v>0</v>
      </c>
      <c r="M14" s="568"/>
      <c r="N14" s="4"/>
      <c r="O14" s="4"/>
    </row>
    <row r="15" spans="2:25" ht="17.25" customHeight="1">
      <c r="B15" s="1458"/>
      <c r="C15" s="1445"/>
      <c r="D15" s="1465" t="s">
        <v>40</v>
      </c>
      <c r="E15" s="576" t="s">
        <v>33</v>
      </c>
      <c r="F15" s="583">
        <f>'BAD DEBT 9115'!F10+'BAD DEBT 9130'!F10</f>
        <v>105632.06635999979</v>
      </c>
      <c r="G15" s="585">
        <f>'BAD DEBT 9115'!G10+'BAD DEBT 9130'!G10</f>
        <v>0</v>
      </c>
      <c r="H15" s="568">
        <f>'BAD DEBT 9115'!H10+'BAD DEBT 9130'!H10</f>
        <v>-16804.416992762744</v>
      </c>
      <c r="I15" s="579">
        <f>'BAD DEBT 9115'!I10+'BAD DEBT 9130'!I10</f>
        <v>88827.649367237056</v>
      </c>
      <c r="J15" s="1330" t="str">
        <f>'SUMMARY BRL'!J13</f>
        <v>1,9%/5,1%</v>
      </c>
      <c r="K15" s="580">
        <f>'BAD DEBT 9115'!K10+'BAD DEBT 9130'!K10</f>
        <v>103944.34102202229</v>
      </c>
      <c r="L15" s="581">
        <f>'BAD DEBT 9115'!L10+'BAD DEBT 9130'!L10</f>
        <v>-1687.7253379775041</v>
      </c>
      <c r="M15" s="568"/>
      <c r="N15" s="4"/>
      <c r="O15" s="4"/>
    </row>
    <row r="16" spans="2:25" ht="18" thickBot="1">
      <c r="B16" s="1458"/>
      <c r="C16" s="1445"/>
      <c r="D16" s="1466"/>
      <c r="E16" s="576" t="s">
        <v>41</v>
      </c>
      <c r="F16" s="590">
        <f>'BAD DEBT 9115'!F11+'BAD DEBT 9130'!F11</f>
        <v>153729.17864999984</v>
      </c>
      <c r="G16" s="585">
        <f>'BAD DEBT 9115'!G11+'BAD DEBT 9130'!G11</f>
        <v>-20612.526389999999</v>
      </c>
      <c r="H16" s="568">
        <f>'BAD DEBT 9115'!H11+'BAD DEBT 9130'!H11</f>
        <v>-52030.262586475852</v>
      </c>
      <c r="I16" s="579">
        <f>'BAD DEBT 9115'!I11+'BAD DEBT 9130'!I11</f>
        <v>81086.389673523998</v>
      </c>
      <c r="J16" s="1331" t="str">
        <f>'SUMMARY BRL'!J14</f>
        <v>1,9%/5,1%</v>
      </c>
      <c r="K16" s="580">
        <f>'BAD DEBT 9115'!K11+'BAD DEBT 9130'!K11</f>
        <v>131576.40783747289</v>
      </c>
      <c r="L16" s="581">
        <f>'BAD DEBT 9115'!L11+'BAD DEBT 9130'!L11</f>
        <v>-1540.6490925269559</v>
      </c>
      <c r="M16" s="568"/>
      <c r="N16" s="4"/>
      <c r="O16" s="4"/>
    </row>
    <row r="17" spans="2:21" ht="19.5" thickBot="1">
      <c r="B17" s="1458"/>
      <c r="C17" s="1445"/>
      <c r="D17" s="1451" t="s">
        <v>24</v>
      </c>
      <c r="E17" s="1463"/>
      <c r="F17" s="591">
        <f>SUM(F12:F16)</f>
        <v>289139.33128999965</v>
      </c>
      <c r="G17" s="591">
        <f>SUM(G12:G16)</f>
        <v>-20612.526389999999</v>
      </c>
      <c r="H17" s="592">
        <f>SUM(H12:H16)</f>
        <v>-74992.564343090358</v>
      </c>
      <c r="I17" s="592">
        <f>SUM(I12:I16)</f>
        <v>193534.2405569093</v>
      </c>
      <c r="J17" s="1326">
        <f>IF(ISERROR(-L17/I17),0,IF(-L17/I17&lt;0,100%,IF(-L17/I17&gt;100%,100%,-L17/I17)))</f>
        <v>8.990913075702868E-2</v>
      </c>
      <c r="K17" s="592">
        <f>SUM(K12:K16)</f>
        <v>251126.71422980621</v>
      </c>
      <c r="L17" s="592">
        <f>SUM(L12:L16)</f>
        <v>-17400.4953401934</v>
      </c>
      <c r="M17" s="594">
        <f>'BAD DEBT 9115'!N12+'BAD DEBT 9130'!N13</f>
        <v>-1793.8939491900001</v>
      </c>
      <c r="N17" s="595">
        <f>'BAD DEBT 9115'!O12+'BAD DEBT 9130'!O12</f>
        <v>-14946.462289999999</v>
      </c>
      <c r="O17" s="595">
        <f>'BAD DEBT 9115'!P12+'BAD DEBT 9130'!P12</f>
        <v>2454.0330501934004</v>
      </c>
    </row>
    <row r="18" spans="2:21" ht="19.5" thickBot="1">
      <c r="B18" s="1458"/>
      <c r="C18" s="1446"/>
      <c r="D18" s="670" t="s">
        <v>9</v>
      </c>
      <c r="E18" s="671"/>
      <c r="F18" s="672">
        <f>F17+F11</f>
        <v>400368.00767999969</v>
      </c>
      <c r="G18" s="672">
        <f>G17+G11</f>
        <v>-25051.13294</v>
      </c>
      <c r="H18" s="672">
        <f>H17+H11</f>
        <v>-74992.564343090358</v>
      </c>
      <c r="I18" s="672">
        <f>I17+I11</f>
        <v>300324.31039690931</v>
      </c>
      <c r="J18" s="1326">
        <f>IF(ISERROR(-L18/I18),0,IF(-L18/I18&lt;0,100%,IF(-L18/I18&gt;100%,100%,-L18/I18)))</f>
        <v>0.41352151950690536</v>
      </c>
      <c r="K18" s="672">
        <f>K17+K11</f>
        <v>251126.71422980621</v>
      </c>
      <c r="L18" s="791">
        <f>L17+L11</f>
        <v>-124190.56518019343</v>
      </c>
      <c r="M18" s="792">
        <f>M17+M11</f>
        <v>-1793.8939491900001</v>
      </c>
      <c r="N18" s="673">
        <f>SUM(N17,N11)</f>
        <v>-125073.93324999999</v>
      </c>
      <c r="O18" s="673">
        <f>SUM(O17,O11)</f>
        <v>-883.36806980656593</v>
      </c>
    </row>
    <row r="19" spans="2:21" ht="21.75" customHeight="1">
      <c r="B19" s="1458"/>
      <c r="C19" s="1453" t="s">
        <v>156</v>
      </c>
      <c r="D19" s="1428" t="s">
        <v>6</v>
      </c>
      <c r="E19" s="1011" t="s">
        <v>37</v>
      </c>
      <c r="F19" s="1012">
        <f>'BAD DEBT 4168 9280'!F14</f>
        <v>81553.783229999943</v>
      </c>
      <c r="G19" s="1013">
        <f>'BAD DEBT 4168 9280'!G14</f>
        <v>-3472.1242000000007</v>
      </c>
      <c r="H19" s="605">
        <f>'BAD DEBT 4168 9280'!H14</f>
        <v>0</v>
      </c>
      <c r="I19" s="1015">
        <f>'BAD DEBT 4168 9280'!I14</f>
        <v>78081.659029999937</v>
      </c>
      <c r="J19" s="1332">
        <f>'SUMMARY BRL'!J6</f>
        <v>1</v>
      </c>
      <c r="K19" s="1028">
        <f>'BAD DEBT 4168 9280'!K14</f>
        <v>0</v>
      </c>
      <c r="L19" s="1017">
        <f>'BAD DEBT 4168 9280'!L14</f>
        <v>-78081.659029999937</v>
      </c>
      <c r="M19" s="1018"/>
      <c r="N19" s="1019"/>
      <c r="O19" s="1019"/>
    </row>
    <row r="20" spans="2:21" ht="17.25">
      <c r="B20" s="1458"/>
      <c r="C20" s="1454"/>
      <c r="D20" s="1429"/>
      <c r="E20" s="1020" t="s">
        <v>38</v>
      </c>
      <c r="F20" s="1021">
        <f>'BAD DEBT 4168 9280'!F15</f>
        <v>3369.3312599999995</v>
      </c>
      <c r="G20" s="1022">
        <f>'BAD DEBT 4168 9280'!G15</f>
        <v>0</v>
      </c>
      <c r="H20" s="606">
        <f>'BAD DEBT 4168 9280'!H15</f>
        <v>0</v>
      </c>
      <c r="I20" s="1024">
        <f>'BAD DEBT 4168 9280'!I15</f>
        <v>3369.3312599999995</v>
      </c>
      <c r="J20" s="1333">
        <f>'SUMMARY BRL'!J7</f>
        <v>0.9</v>
      </c>
      <c r="K20" s="1028">
        <f>'BAD DEBT 4168 9280'!K15</f>
        <v>336.9331259999999</v>
      </c>
      <c r="L20" s="1026">
        <f>'BAD DEBT 4168 9280'!L15</f>
        <v>-3032.3981339999996</v>
      </c>
      <c r="M20" s="1027"/>
      <c r="N20" s="1028"/>
      <c r="O20" s="1028"/>
    </row>
    <row r="21" spans="2:21" ht="18" thickBot="1">
      <c r="B21" s="1458"/>
      <c r="C21" s="1454"/>
      <c r="D21" s="1435"/>
      <c r="E21" s="1020" t="s">
        <v>36</v>
      </c>
      <c r="F21" s="1021">
        <f>'BAD DEBT 4168 9280'!F16</f>
        <v>0</v>
      </c>
      <c r="G21" s="1022">
        <f>'BAD DEBT 4168 9280'!G16</f>
        <v>0</v>
      </c>
      <c r="H21" s="606">
        <f>'BAD DEBT 4168 9280'!H16</f>
        <v>0</v>
      </c>
      <c r="I21" s="1029">
        <f>'BAD DEBT 4168 9280'!I16</f>
        <v>0</v>
      </c>
      <c r="J21" s="1334">
        <f>'SUMMARY BRL'!J8</f>
        <v>0.9</v>
      </c>
      <c r="K21" s="1028">
        <f>'BAD DEBT 4168 9280'!K16</f>
        <v>0</v>
      </c>
      <c r="L21" s="1026">
        <f>'BAD DEBT 4168 9280'!L16</f>
        <v>0</v>
      </c>
      <c r="M21" s="1027"/>
      <c r="N21" s="1028"/>
      <c r="O21" s="1028"/>
    </row>
    <row r="22" spans="2:21" ht="17.25" customHeight="1" thickBot="1">
      <c r="B22" s="1458"/>
      <c r="C22" s="1454"/>
      <c r="D22" s="1442" t="s">
        <v>23</v>
      </c>
      <c r="E22" s="1443"/>
      <c r="F22" s="28">
        <f>SUM(F19:F21)</f>
        <v>84923.114489999949</v>
      </c>
      <c r="G22" s="28">
        <f>SUM(G19:G21)</f>
        <v>-3472.1242000000007</v>
      </c>
      <c r="H22" s="29">
        <f>SUM(H19:H21)</f>
        <v>0</v>
      </c>
      <c r="I22" s="29">
        <f>SUM(I19:I21)</f>
        <v>81450.990289999943</v>
      </c>
      <c r="J22" s="1335">
        <f>IF(ISERROR(-L22/I22),0,IF(-L22/I22&lt;0,100%,IF(-L22/I22&gt;100%,100%,-L22/I22)))</f>
        <v>0.99586336366445172</v>
      </c>
      <c r="K22" s="21">
        <f>SUM(K19:K21)</f>
        <v>336.9331259999999</v>
      </c>
      <c r="L22" s="13">
        <f>SUM(L19:L21)</f>
        <v>-81114.05716399994</v>
      </c>
      <c r="M22" s="13">
        <f>'BAD DEBT 4168 9280'!N17</f>
        <v>0</v>
      </c>
      <c r="N22" s="22">
        <f>'BAD DEBT 4168 9280'!O17</f>
        <v>-78868.865180000008</v>
      </c>
      <c r="O22" s="22">
        <f>'BAD DEBT 4168 9280'!P17</f>
        <v>2245.1919839999318</v>
      </c>
    </row>
    <row r="23" spans="2:21" ht="18.75" customHeight="1">
      <c r="B23" s="1458"/>
      <c r="C23" s="1454"/>
      <c r="D23" s="1428" t="s">
        <v>4</v>
      </c>
      <c r="E23" s="1030" t="s">
        <v>39</v>
      </c>
      <c r="F23" s="1012">
        <f>'BAD DEBT 4168 9280'!F18</f>
        <v>22705.315759999998</v>
      </c>
      <c r="G23" s="1018">
        <f>'BAD DEBT 4168 9280'!G18</f>
        <v>-427.90879999999993</v>
      </c>
      <c r="H23" s="1014">
        <f>'BAD DEBT 4168 9280'!H18</f>
        <v>-9009.2241038975553</v>
      </c>
      <c r="I23" s="1014">
        <f>'BAD DEBT 4168 9280'!I18</f>
        <v>13268.182856102441</v>
      </c>
      <c r="J23" s="1336">
        <f>'SUMMARY BRL'!J10</f>
        <v>0.6</v>
      </c>
      <c r="K23" s="1031">
        <f>'BAD DEBT 4168 9280'!K18</f>
        <v>14316.497246338531</v>
      </c>
      <c r="L23" s="1017">
        <f>'BAD DEBT 4168 9280'!L18</f>
        <v>-7960.9097136614646</v>
      </c>
      <c r="M23" s="1027"/>
      <c r="N23" s="1028"/>
      <c r="O23" s="1028"/>
    </row>
    <row r="24" spans="2:21" ht="18.75" customHeight="1">
      <c r="B24" s="1458"/>
      <c r="C24" s="1454"/>
      <c r="D24" s="1429"/>
      <c r="E24" s="1032" t="s">
        <v>33</v>
      </c>
      <c r="F24" s="1021">
        <f>'BAD DEBT 4168 9280'!F19</f>
        <v>0</v>
      </c>
      <c r="G24" s="1027">
        <f>'BAD DEBT 4168 9280'!G19</f>
        <v>0</v>
      </c>
      <c r="H24" s="1023">
        <f>'BAD DEBT 4168 9280'!H19</f>
        <v>0</v>
      </c>
      <c r="I24" s="1023">
        <f>'BAD DEBT 4168 9280'!I19</f>
        <v>0</v>
      </c>
      <c r="J24" s="1337">
        <f>'SUMMARY BRL'!J11</f>
        <v>0.6</v>
      </c>
      <c r="K24" s="1033">
        <f>'BAD DEBT 4168 9280'!K19</f>
        <v>0</v>
      </c>
      <c r="L24" s="1026">
        <f>'BAD DEBT 4168 9280'!L19</f>
        <v>0</v>
      </c>
      <c r="M24" s="1027"/>
      <c r="N24" s="1028"/>
      <c r="O24" s="1028"/>
    </row>
    <row r="25" spans="2:21" ht="17.25" customHeight="1">
      <c r="B25" s="1458"/>
      <c r="C25" s="1454"/>
      <c r="D25" s="1433"/>
      <c r="E25" s="1034" t="s">
        <v>1</v>
      </c>
      <c r="F25" s="1035">
        <f>'BAD DEBT 4168 9280'!F20</f>
        <v>0</v>
      </c>
      <c r="G25" s="1036">
        <f>'BAD DEBT 4168 9280'!G20</f>
        <v>0</v>
      </c>
      <c r="H25" s="1037">
        <f>'BAD DEBT 4168 9280'!H20</f>
        <v>0</v>
      </c>
      <c r="I25" s="1037">
        <f>'BAD DEBT 4168 9280'!I20</f>
        <v>0</v>
      </c>
      <c r="J25" s="1338">
        <f>'SUMMARY BRL'!J12</f>
        <v>0.6</v>
      </c>
      <c r="K25" s="1038">
        <f>'BAD DEBT 4168 9280'!K20</f>
        <v>0</v>
      </c>
      <c r="L25" s="1039">
        <f>'BAD DEBT 4168 9280'!L20</f>
        <v>0</v>
      </c>
      <c r="M25" s="1027"/>
      <c r="N25" s="1040"/>
      <c r="O25" s="1028"/>
    </row>
    <row r="26" spans="2:21" ht="17.25" customHeight="1">
      <c r="B26" s="1458"/>
      <c r="C26" s="1454"/>
      <c r="D26" s="1434" t="s">
        <v>40</v>
      </c>
      <c r="E26" s="1020" t="s">
        <v>33</v>
      </c>
      <c r="F26" s="1021">
        <f>'BAD DEBT 4168 9280'!F21</f>
        <v>45806.778900000012</v>
      </c>
      <c r="G26" s="1027">
        <f>'BAD DEBT 4168 9280'!G21</f>
        <v>0</v>
      </c>
      <c r="H26" s="1021">
        <f>'BAD DEBT 4168 9280'!H21</f>
        <v>-14121.248345002326</v>
      </c>
      <c r="I26" s="1023">
        <f>'BAD DEBT 4168 9280'!I21</f>
        <v>31685.530554997684</v>
      </c>
      <c r="J26" s="1339" t="str">
        <f>'SUMMARY BRL'!J13</f>
        <v>1,9%/5,1%</v>
      </c>
      <c r="K26" s="1033">
        <f>'BAD DEBT 4168 9280'!K21</f>
        <v>45204.753819455058</v>
      </c>
      <c r="L26" s="1026">
        <f>'BAD DEBT 4168 9280'!L21</f>
        <v>-602.02508054495593</v>
      </c>
      <c r="M26" s="1027"/>
      <c r="N26" s="1040"/>
      <c r="O26" s="1028"/>
    </row>
    <row r="27" spans="2:21" ht="18" thickBot="1">
      <c r="B27" s="1458"/>
      <c r="C27" s="1454"/>
      <c r="D27" s="1435"/>
      <c r="E27" s="1020" t="s">
        <v>41</v>
      </c>
      <c r="F27" s="1021">
        <f>'BAD DEBT 4168 9280'!F22</f>
        <v>122813.11323999996</v>
      </c>
      <c r="G27" s="1042">
        <f>'BAD DEBT 4168 9280'!G22</f>
        <v>-214734.70888734952</v>
      </c>
      <c r="H27" s="1021">
        <f>'BAD DEBT 4168 9280'!H22</f>
        <v>-34050.904067012765</v>
      </c>
      <c r="I27" s="1023">
        <f>'BAD DEBT 4168 9280'!I22</f>
        <v>-125972.49971436232</v>
      </c>
      <c r="J27" s="1340" t="str">
        <f>'SUMMARY BRL'!J14</f>
        <v>1,9%/5,1%</v>
      </c>
      <c r="K27" s="1033">
        <f>'BAD DEBT 4168 9280'!K22</f>
        <v>0</v>
      </c>
      <c r="L27" s="1026">
        <f>'BAD DEBT 4168 9280'!L22</f>
        <v>0</v>
      </c>
      <c r="M27" s="1027"/>
      <c r="N27" s="1028"/>
      <c r="O27" s="1028"/>
    </row>
    <row r="28" spans="2:21" ht="19.5" thickBot="1">
      <c r="B28" s="1458"/>
      <c r="C28" s="1454"/>
      <c r="D28" s="1442" t="s">
        <v>24</v>
      </c>
      <c r="E28" s="1443"/>
      <c r="F28" s="28">
        <f>SUM(F23:F27)</f>
        <v>191325.20789999998</v>
      </c>
      <c r="G28" s="28">
        <f>SUM(G23:G27)</f>
        <v>-215162.61768734953</v>
      </c>
      <c r="H28" s="29">
        <f>SUM(H23:H27)</f>
        <v>-57181.376515912649</v>
      </c>
      <c r="I28" s="10">
        <f>SUM(I23:I27)</f>
        <v>-81018.786303262197</v>
      </c>
      <c r="J28" s="1335">
        <f>IF(ISERROR(-L28/I28),0,IF(-L28/I28&lt;0,100%,IF(-L28/I28&gt;100%,100%,-L28/I28)))</f>
        <v>1</v>
      </c>
      <c r="K28" s="10">
        <f>SUM(K23:K27)</f>
        <v>59521.251065793593</v>
      </c>
      <c r="L28" s="10">
        <f>SUM(L23:L27)</f>
        <v>-8562.9347942064196</v>
      </c>
      <c r="M28" s="528">
        <f>'BAD DEBT 4168 9280'!N23</f>
        <v>-1449.2688189399998</v>
      </c>
      <c r="N28" s="793">
        <f>'BAD DEBT 4168 9280'!O23</f>
        <v>-5634.95568</v>
      </c>
      <c r="O28" s="22">
        <f>'BAD DEBT 4168 9280'!P23</f>
        <v>2927.9791142064196</v>
      </c>
      <c r="U28" s="3">
        <v>6797660</v>
      </c>
    </row>
    <row r="29" spans="2:21" ht="19.5" thickBot="1">
      <c r="B29" s="1458"/>
      <c r="C29" s="1455"/>
      <c r="D29" s="794" t="s">
        <v>9</v>
      </c>
      <c r="E29" s="795"/>
      <c r="F29" s="796">
        <f>F22+F28</f>
        <v>276248.32238999993</v>
      </c>
      <c r="G29" s="796">
        <f>G22+G28</f>
        <v>-218634.74188734952</v>
      </c>
      <c r="H29" s="796">
        <f>H22+H28</f>
        <v>-57181.376515912649</v>
      </c>
      <c r="I29" s="797">
        <f>I22+I28</f>
        <v>432.20398673774616</v>
      </c>
      <c r="J29" s="1341">
        <f>IF(ISERROR(-L29/I29),0,IF(-L29/I29&lt;0,100%,IF(-L29/I29&gt;100%,100%,-L29/I29)))</f>
        <v>1</v>
      </c>
      <c r="K29" s="797">
        <f>K22+K28</f>
        <v>59858.184191793596</v>
      </c>
      <c r="L29" s="797">
        <f>L22+L28</f>
        <v>-89676.991958206359</v>
      </c>
      <c r="M29" s="798">
        <f>M28+M22</f>
        <v>-1449.2688189399998</v>
      </c>
      <c r="N29" s="799">
        <f>SUM(N22,N28)</f>
        <v>-84503.820860000007</v>
      </c>
      <c r="O29" s="799">
        <f>SUM(O22,O28)</f>
        <v>5173.1710982063514</v>
      </c>
      <c r="U29" s="3">
        <f>U28*2</f>
        <v>13595320</v>
      </c>
    </row>
    <row r="30" spans="2:21" ht="21.75" customHeight="1">
      <c r="B30" s="1458"/>
      <c r="C30" s="1444" t="s">
        <v>161</v>
      </c>
      <c r="D30" s="1428" t="s">
        <v>6</v>
      </c>
      <c r="E30" s="1011" t="s">
        <v>37</v>
      </c>
      <c r="F30" s="1012">
        <f>'BAD DEBT 4168 9282'!F14+'BAD DEBT 4188 9280'!F14</f>
        <v>149548.63473000002</v>
      </c>
      <c r="G30" s="1013">
        <f>'BAD DEBT 4168 9282'!G14+'BAD DEBT 4188 9280'!G14</f>
        <v>-9860.5176300000021</v>
      </c>
      <c r="H30" s="605">
        <f>'BAD DEBT 4168 9282'!H14+'BAD DEBT 4188 9280'!H14</f>
        <v>0</v>
      </c>
      <c r="I30" s="1015">
        <f>'BAD DEBT 4168 9282'!I14+'BAD DEBT 4188 9280'!I14</f>
        <v>139688.11710000003</v>
      </c>
      <c r="J30" s="1332">
        <f>'SUMMARY BRL'!J6</f>
        <v>1</v>
      </c>
      <c r="K30" s="1016">
        <f>'BAD DEBT 4168 9282'!K14+'BAD DEBT 4188 9280'!K14</f>
        <v>0</v>
      </c>
      <c r="L30" s="1017">
        <f>'BAD DEBT 4168 9282'!L14+'BAD DEBT 4188 9280'!L14</f>
        <v>-141219.11710000003</v>
      </c>
      <c r="M30" s="1018"/>
      <c r="N30" s="1019"/>
      <c r="O30" s="1019"/>
      <c r="U30" s="3">
        <f>U29+147474</f>
        <v>13742794</v>
      </c>
    </row>
    <row r="31" spans="2:21" ht="17.25">
      <c r="B31" s="1458"/>
      <c r="C31" s="1445"/>
      <c r="D31" s="1429"/>
      <c r="E31" s="1020" t="s">
        <v>38</v>
      </c>
      <c r="F31" s="1021">
        <f>'BAD DEBT 4168 9282'!F15+'BAD DEBT 4188 9280'!F15</f>
        <v>1047.48532</v>
      </c>
      <c r="G31" s="1022">
        <f>'BAD DEBT 4168 9282'!G15+'BAD DEBT 4188 9280'!G15</f>
        <v>0</v>
      </c>
      <c r="H31" s="606">
        <f>'BAD DEBT 4168 9282'!H15+'BAD DEBT 4188 9280'!H15</f>
        <v>0</v>
      </c>
      <c r="I31" s="1024">
        <f>'BAD DEBT 4168 9282'!I15+'BAD DEBT 4188 9280'!I15</f>
        <v>1047.48532</v>
      </c>
      <c r="J31" s="1333">
        <f>'SUMMARY BRL'!J7</f>
        <v>0.9</v>
      </c>
      <c r="K31" s="1025">
        <f>'BAD DEBT 4168 9282'!K15+'BAD DEBT 4188 9280'!K15</f>
        <v>104.74853199999995</v>
      </c>
      <c r="L31" s="1026">
        <f>'BAD DEBT 4168 9282'!L15+'BAD DEBT 4188 9280'!L15</f>
        <v>-942.73678800000005</v>
      </c>
      <c r="M31" s="1027"/>
      <c r="N31" s="1028"/>
      <c r="O31" s="1028"/>
    </row>
    <row r="32" spans="2:21" ht="18" thickBot="1">
      <c r="B32" s="1458"/>
      <c r="C32" s="1445"/>
      <c r="D32" s="1435"/>
      <c r="E32" s="1020" t="s">
        <v>36</v>
      </c>
      <c r="F32" s="1021">
        <f>'BAD DEBT 4168 9282'!F16+'BAD DEBT 4188 9280'!F16</f>
        <v>0</v>
      </c>
      <c r="G32" s="1022">
        <f>'BAD DEBT 4168 9282'!G16+'BAD DEBT 4188 9280'!G16</f>
        <v>0</v>
      </c>
      <c r="H32" s="606">
        <f>'BAD DEBT 4168 9282'!H16+'BAD DEBT 4188 9280'!H16</f>
        <v>0</v>
      </c>
      <c r="I32" s="1029">
        <f>'BAD DEBT 4168 9282'!I16+'BAD DEBT 4188 9280'!I16</f>
        <v>0</v>
      </c>
      <c r="J32" s="1334">
        <f>'SUMMARY BRL'!J8</f>
        <v>0.9</v>
      </c>
      <c r="K32" s="1028">
        <f>'BAD DEBT 4168 9282'!K16+'BAD DEBT 4188 9280'!K16</f>
        <v>0</v>
      </c>
      <c r="L32" s="1026">
        <f>'BAD DEBT 4168 9282'!L16+'BAD DEBT 4188 9280'!L16</f>
        <v>0</v>
      </c>
      <c r="M32" s="1027"/>
      <c r="N32" s="1028"/>
      <c r="O32" s="1028"/>
    </row>
    <row r="33" spans="2:15" ht="17.25" customHeight="1" thickBot="1">
      <c r="B33" s="1458"/>
      <c r="C33" s="1445"/>
      <c r="D33" s="1451" t="s">
        <v>23</v>
      </c>
      <c r="E33" s="1452"/>
      <c r="F33" s="1047">
        <f>SUM(F30:F32)</f>
        <v>150596.12005000003</v>
      </c>
      <c r="G33" s="1047">
        <f>SUM(G30:G32)</f>
        <v>-9860.5176300000021</v>
      </c>
      <c r="H33" s="1048">
        <f>SUM(H30:H32)</f>
        <v>0</v>
      </c>
      <c r="I33" s="1048">
        <f>SUM(I30:I32)</f>
        <v>140735.60242000004</v>
      </c>
      <c r="J33" s="1326">
        <f>IF(ISERROR(-L33/I33),0,IF(-L33/I33&lt;0,100%,IF(-L33/I33&gt;100%,100%,-L33/I33)))</f>
        <v>1</v>
      </c>
      <c r="K33" s="596">
        <f>SUM(K30:K32)</f>
        <v>104.74853199999995</v>
      </c>
      <c r="L33" s="597">
        <f>SUM(L30:L32)</f>
        <v>-142161.85388800004</v>
      </c>
      <c r="M33" s="597">
        <f>'BAD DEBT 4168 9282'!N17+'BAD DEBT 4188 9280'!N17</f>
        <v>0</v>
      </c>
      <c r="N33" s="1049">
        <f>'BAD DEBT 4168 9282'!O17+'BAD DEBT 4188 9280'!O17</f>
        <v>-144309.14806000001</v>
      </c>
      <c r="O33" s="1049">
        <f>N33-L33</f>
        <v>-2147.2941719999653</v>
      </c>
    </row>
    <row r="34" spans="2:15" ht="18.75" customHeight="1">
      <c r="B34" s="1458"/>
      <c r="C34" s="1445"/>
      <c r="D34" s="1428" t="s">
        <v>4</v>
      </c>
      <c r="E34" s="1030" t="s">
        <v>39</v>
      </c>
      <c r="F34" s="1012">
        <f>'BAD DEBT 4168 9282'!F18+'BAD DEBT 4188 9280'!F18</f>
        <v>58605.632740000001</v>
      </c>
      <c r="G34" s="1018">
        <f>'BAD DEBT 4168 9282'!G18+'BAD DEBT 4188 9280'!G18</f>
        <v>-1630.1598900000001</v>
      </c>
      <c r="H34" s="1014">
        <f>'BAD DEBT 4168 9282'!H18+'BAD DEBT 4188 9280'!H18</f>
        <v>-2911.1547322506826</v>
      </c>
      <c r="I34" s="1014">
        <f>'BAD DEBT 4168 9282'!I18+'BAD DEBT 4188 9280'!I18</f>
        <v>54064.318117749317</v>
      </c>
      <c r="J34" s="1336">
        <f>'SUMMARY BRL'!J10</f>
        <v>0.6</v>
      </c>
      <c r="K34" s="1031">
        <f>'BAD DEBT 4168 9282'!K18+'BAD DEBT 4188 9280'!K18</f>
        <v>6283.6223671774223</v>
      </c>
      <c r="L34" s="1017">
        <f>'BAD DEBT 4168 9282'!L18+'BAD DEBT 4188 9280'!L18</f>
        <v>-50691.850482822578</v>
      </c>
      <c r="M34" s="1027"/>
      <c r="N34" s="1028"/>
      <c r="O34" s="1028"/>
    </row>
    <row r="35" spans="2:15" ht="18.75" customHeight="1">
      <c r="B35" s="1458"/>
      <c r="C35" s="1445"/>
      <c r="D35" s="1429"/>
      <c r="E35" s="1032" t="s">
        <v>33</v>
      </c>
      <c r="F35" s="1021">
        <f>'BAD DEBT 4168 9282'!F19+'BAD DEBT 4188 9280'!F19</f>
        <v>0</v>
      </c>
      <c r="G35" s="1027">
        <f>'BAD DEBT 4168 9282'!G19+'BAD DEBT 4188 9280'!G19</f>
        <v>0</v>
      </c>
      <c r="H35" s="1023">
        <f>'BAD DEBT 4168 9282'!H19+'BAD DEBT 4188 9280'!H19</f>
        <v>0</v>
      </c>
      <c r="I35" s="1023">
        <f>'BAD DEBT 4168 9282'!I19+'BAD DEBT 4188 9280'!I19</f>
        <v>0</v>
      </c>
      <c r="J35" s="1337">
        <f>'SUMMARY BRL'!J11</f>
        <v>0.6</v>
      </c>
      <c r="K35" s="1033">
        <f>'BAD DEBT 4168 9282'!K19+'BAD DEBT 4188 9280'!K19</f>
        <v>0</v>
      </c>
      <c r="L35" s="1026">
        <f>'BAD DEBT 4168 9282'!L19+'BAD DEBT 4188 9280'!L19</f>
        <v>0</v>
      </c>
      <c r="M35" s="1027"/>
      <c r="N35" s="1028"/>
      <c r="O35" s="1028"/>
    </row>
    <row r="36" spans="2:15" ht="17.25" customHeight="1">
      <c r="B36" s="1458"/>
      <c r="C36" s="1445"/>
      <c r="D36" s="1433"/>
      <c r="E36" s="1034" t="s">
        <v>1</v>
      </c>
      <c r="F36" s="1035">
        <f>'BAD DEBT 4168 9282'!F20+'BAD DEBT 4188 9280'!F20</f>
        <v>0</v>
      </c>
      <c r="G36" s="1036">
        <f>'BAD DEBT 4168 9282'!G20+'BAD DEBT 4188 9280'!G20</f>
        <v>0</v>
      </c>
      <c r="H36" s="1037">
        <f>'BAD DEBT 4168 9282'!H20+'BAD DEBT 4188 9280'!H20</f>
        <v>0</v>
      </c>
      <c r="I36" s="1037">
        <f>'BAD DEBT 4168 9282'!I20+'BAD DEBT 4188 9280'!I20</f>
        <v>0</v>
      </c>
      <c r="J36" s="1338">
        <f>'SUMMARY BRL'!J12</f>
        <v>0.6</v>
      </c>
      <c r="K36" s="1038">
        <f>'BAD DEBT 4168 9282'!K20+'BAD DEBT 4188 9280'!K20</f>
        <v>0</v>
      </c>
      <c r="L36" s="1039">
        <f>'BAD DEBT 4168 9282'!L20+'BAD DEBT 4188 9280'!L20</f>
        <v>0</v>
      </c>
      <c r="M36" s="1027"/>
      <c r="N36" s="1040"/>
      <c r="O36" s="1028"/>
    </row>
    <row r="37" spans="2:15" ht="17.25" customHeight="1">
      <c r="B37" s="1458"/>
      <c r="C37" s="1445"/>
      <c r="D37" s="1434" t="s">
        <v>40</v>
      </c>
      <c r="E37" s="1020" t="s">
        <v>33</v>
      </c>
      <c r="F37" s="1021">
        <f>'BAD DEBT 4168 9282'!F21+'BAD DEBT 4188 9280'!F21</f>
        <v>10962.51158</v>
      </c>
      <c r="G37" s="1027">
        <f>'BAD DEBT 4168 9282'!G21+'BAD DEBT 4188 9280'!G21</f>
        <v>0</v>
      </c>
      <c r="H37" s="1021">
        <f>'BAD DEBT 4168 9290'!H21+'BAD DEBT 4188 9280'!H21+'BAD DEBT 4168 9282'!H21</f>
        <v>-1498.6423722349532</v>
      </c>
      <c r="I37" s="1023">
        <f>'BAD DEBT 4168 9282'!I21+'BAD DEBT 4188 9280'!I21</f>
        <v>9463.8692077650485</v>
      </c>
      <c r="J37" s="1339" t="str">
        <f>'SUMMARY BRL'!J13</f>
        <v>1,9%/5,1%</v>
      </c>
      <c r="K37" s="1033">
        <f>'BAD DEBT 4168 9282'!K21+'BAD DEBT 4188 9280'!K21</f>
        <v>10424.485920770001</v>
      </c>
      <c r="L37" s="1026">
        <f>'BAD DEBT 4168 9282'!L21+'BAD DEBT 4188 9280'!L21</f>
        <v>-538.02565922999997</v>
      </c>
      <c r="M37" s="1027"/>
      <c r="N37" s="1040"/>
      <c r="O37" s="1028"/>
    </row>
    <row r="38" spans="2:15" ht="18" thickBot="1">
      <c r="B38" s="1458"/>
      <c r="C38" s="1445"/>
      <c r="D38" s="1435"/>
      <c r="E38" s="1020" t="s">
        <v>41</v>
      </c>
      <c r="F38" s="1021">
        <f>'BAD DEBT 4168 9282'!F22+'BAD DEBT 4188 9280'!F22</f>
        <v>13530.461850000005</v>
      </c>
      <c r="G38" s="1042">
        <f>'BAD DEBT 4168 9282'!G22+'BAD DEBT 4188 9280'!G22</f>
        <v>-36682.133064153997</v>
      </c>
      <c r="H38" s="1021">
        <f>'BAD DEBT 4168 9282'!H22+'BAD DEBT 4188 9280'!H22</f>
        <v>-3906.4220344333753</v>
      </c>
      <c r="I38" s="1023">
        <f>'BAD DEBT 4168 9282'!I22+'BAD DEBT 4188 9280'!I22</f>
        <v>-27058.093248587364</v>
      </c>
      <c r="J38" s="1340" t="str">
        <f>'SUMMARY BRL'!J14</f>
        <v>1,9%/5,1%</v>
      </c>
      <c r="K38" s="1033">
        <f>'BAD DEBT 4168 9282'!K22+'BAD DEBT 4188 9280'!K22</f>
        <v>0</v>
      </c>
      <c r="L38" s="1026">
        <f>'BAD DEBT 4168 9282'!L22+'BAD DEBT 4188 9280'!L22</f>
        <v>0</v>
      </c>
      <c r="M38" s="1027"/>
      <c r="N38" s="1028"/>
      <c r="O38" s="1028"/>
    </row>
    <row r="39" spans="2:15" ht="19.5" thickBot="1">
      <c r="B39" s="1458"/>
      <c r="C39" s="1445"/>
      <c r="D39" s="1451" t="s">
        <v>24</v>
      </c>
      <c r="E39" s="1452"/>
      <c r="F39" s="1047">
        <f>SUM(F34:F38)</f>
        <v>83098.606170000014</v>
      </c>
      <c r="G39" s="1047">
        <f>SUM(G34:G38)</f>
        <v>-38312.292954154</v>
      </c>
      <c r="H39" s="1048">
        <f>SUM(H34:H38)</f>
        <v>-8316.219138919012</v>
      </c>
      <c r="I39" s="592">
        <f>SUM(I34:I38)</f>
        <v>36470.094076927002</v>
      </c>
      <c r="J39" s="1326">
        <f>IF(ISERROR(-L39/I39),0,IF(-L39/I39&lt;0,100%,IF(-L39/I39&gt;100%,100%,-L39/I39)))</f>
        <v>1</v>
      </c>
      <c r="K39" s="592">
        <f>SUM(K34:K38)</f>
        <v>16708.108287947423</v>
      </c>
      <c r="L39" s="592">
        <f>SUM(L34:L38)</f>
        <v>-51229.876142052577</v>
      </c>
      <c r="M39" s="594">
        <f>'BAD DEBT 4168 9282'!N23+'BAD DEBT 4188 9280'!N23</f>
        <v>-574.27074518999996</v>
      </c>
      <c r="N39" s="1049">
        <f>'BAD DEBT 4168 9282'!O23+'BAD DEBT 4188 9280'!O23</f>
        <v>-68550.785173160009</v>
      </c>
      <c r="O39" s="1050">
        <f>N39-L39</f>
        <v>-17320.909031107432</v>
      </c>
    </row>
    <row r="40" spans="2:15" ht="19.5" thickBot="1">
      <c r="B40" s="1458"/>
      <c r="C40" s="1446"/>
      <c r="D40" s="1043" t="s">
        <v>9</v>
      </c>
      <c r="E40" s="1044"/>
      <c r="F40" s="672">
        <f>F33+F39</f>
        <v>233694.72622000004</v>
      </c>
      <c r="G40" s="672">
        <f>G33+G39</f>
        <v>-48172.810584154002</v>
      </c>
      <c r="H40" s="672">
        <f>H33+H39</f>
        <v>-8316.219138919012</v>
      </c>
      <c r="I40" s="1045">
        <f>I33+I39</f>
        <v>177205.69649692703</v>
      </c>
      <c r="J40" s="1342">
        <f>IF(ISERROR(-L40/I40),0,IF(-L40/I40&lt;0,100%,IF(-L40/I40&gt;100%,100%,-L40/I40)))</f>
        <v>1</v>
      </c>
      <c r="K40" s="1045">
        <f>K39+K33</f>
        <v>16812.856819947425</v>
      </c>
      <c r="L40" s="1045">
        <f>L33+L39</f>
        <v>-193391.73003005263</v>
      </c>
      <c r="M40" s="1046">
        <f>SUM(M33,M39)</f>
        <v>-574.27074518999996</v>
      </c>
      <c r="N40" s="1046">
        <f>SUM(N33,N39)</f>
        <v>-212859.93323316</v>
      </c>
      <c r="O40" s="1046">
        <f>SUM(O33,O39)</f>
        <v>-19468.203203107398</v>
      </c>
    </row>
    <row r="41" spans="2:15" ht="17.25" customHeight="1">
      <c r="B41" s="1458"/>
      <c r="C41" s="1453" t="s">
        <v>162</v>
      </c>
      <c r="D41" s="1428" t="s">
        <v>6</v>
      </c>
      <c r="E41" s="1011" t="s">
        <v>37</v>
      </c>
      <c r="F41" s="1012">
        <f>'BAD DEBT 4188 9282'!F14</f>
        <v>234.02475000000001</v>
      </c>
      <c r="G41" s="1012">
        <f>'BAD DEBT 4188 9282'!G14</f>
        <v>0</v>
      </c>
      <c r="H41" s="1012">
        <f>'BAD DEBT 4188 9282'!H14</f>
        <v>0</v>
      </c>
      <c r="I41" s="1012">
        <f>'BAD DEBT 4188 9282'!I14</f>
        <v>234.02475000000001</v>
      </c>
      <c r="J41" s="1332">
        <f>'SUMMARY BRL'!J6</f>
        <v>1</v>
      </c>
      <c r="K41" s="1012">
        <f>'BAD DEBT 4188 9282'!K14</f>
        <v>0</v>
      </c>
      <c r="L41" s="1012">
        <f>'BAD DEBT 4188 9282'!L14</f>
        <v>-234.02475000000001</v>
      </c>
      <c r="M41" s="1018"/>
      <c r="N41" s="1150"/>
      <c r="O41" s="1019"/>
    </row>
    <row r="42" spans="2:15" ht="17.25" customHeight="1">
      <c r="B42" s="1458"/>
      <c r="C42" s="1454"/>
      <c r="D42" s="1429"/>
      <c r="E42" s="1020" t="s">
        <v>38</v>
      </c>
      <c r="F42" s="1021">
        <f>'BAD DEBT 4188 9282'!F15</f>
        <v>0</v>
      </c>
      <c r="G42" s="1021">
        <f>'BAD DEBT 4188 9282'!G15</f>
        <v>0</v>
      </c>
      <c r="H42" s="1021">
        <f>'BAD DEBT 4188 9282'!H15</f>
        <v>0</v>
      </c>
      <c r="I42" s="1021">
        <f>'BAD DEBT 4188 9282'!I15</f>
        <v>0</v>
      </c>
      <c r="J42" s="1333">
        <f>'SUMMARY BRL'!J7</f>
        <v>0.9</v>
      </c>
      <c r="K42" s="1021">
        <f>'BAD DEBT 4188 9282'!K15</f>
        <v>0</v>
      </c>
      <c r="L42" s="1021">
        <f>'BAD DEBT 4188 9282'!L15</f>
        <v>0</v>
      </c>
      <c r="M42" s="1027"/>
      <c r="N42" s="1028"/>
      <c r="O42" s="1028"/>
    </row>
    <row r="43" spans="2:15" ht="18" thickBot="1">
      <c r="B43" s="1458"/>
      <c r="C43" s="1454"/>
      <c r="D43" s="1430"/>
      <c r="E43" s="1020" t="s">
        <v>36</v>
      </c>
      <c r="F43" s="1021">
        <f>'BAD DEBT 4188 9282'!F16</f>
        <v>0</v>
      </c>
      <c r="G43" s="1021">
        <f>'BAD DEBT 4188 9282'!G16</f>
        <v>0</v>
      </c>
      <c r="H43" s="1021">
        <f>'BAD DEBT 4188 9282'!H16</f>
        <v>0</v>
      </c>
      <c r="I43" s="1021">
        <f>'BAD DEBT 4188 9282'!I16</f>
        <v>0</v>
      </c>
      <c r="J43" s="1334">
        <f>'SUMMARY BRL'!J8</f>
        <v>0.9</v>
      </c>
      <c r="K43" s="1021">
        <f>'BAD DEBT 4188 9282'!K16</f>
        <v>0</v>
      </c>
      <c r="L43" s="1021">
        <f>'BAD DEBT 4188 9282'!L16</f>
        <v>0</v>
      </c>
      <c r="M43" s="1027"/>
      <c r="N43" s="1028"/>
      <c r="O43" s="1028"/>
    </row>
    <row r="44" spans="2:15" ht="19.5" customHeight="1" thickBot="1">
      <c r="B44" s="1458"/>
      <c r="C44" s="1454"/>
      <c r="D44" s="1431" t="s">
        <v>23</v>
      </c>
      <c r="E44" s="1432"/>
      <c r="F44" s="10">
        <f>SUM(F41:F43)</f>
        <v>234.02475000000001</v>
      </c>
      <c r="G44" s="528">
        <f>SUM(G41:G43)</f>
        <v>0</v>
      </c>
      <c r="H44" s="21">
        <f>SUM(H41:H43)</f>
        <v>0</v>
      </c>
      <c r="I44" s="21">
        <f>SUM(I41:I43)</f>
        <v>234.02475000000001</v>
      </c>
      <c r="J44" s="1335">
        <f>IF(ISERROR(-L44/I44),0,IF(-L44/I44&lt;0,100%,IF(-L44/I44&gt;100%,100%,-L44/I44)))</f>
        <v>1</v>
      </c>
      <c r="K44" s="21">
        <f>SUM(K41:K43)</f>
        <v>0</v>
      </c>
      <c r="L44" s="1057">
        <f>SUM(L41:L43)</f>
        <v>-234.02475000000001</v>
      </c>
      <c r="M44" s="1057">
        <f>'BAD DEBT 4188 9282'!N17</f>
        <v>0</v>
      </c>
      <c r="N44" s="22">
        <f>'BAD DEBT 4188 9282'!O17</f>
        <v>0</v>
      </c>
      <c r="O44" s="22">
        <f>N44-L44</f>
        <v>234.02475000000001</v>
      </c>
    </row>
    <row r="45" spans="2:15" ht="18.75" customHeight="1">
      <c r="B45" s="1458"/>
      <c r="C45" s="1454"/>
      <c r="D45" s="1428" t="s">
        <v>4</v>
      </c>
      <c r="E45" s="1030" t="s">
        <v>39</v>
      </c>
      <c r="F45" s="1012">
        <f>'BAD DEBT 4188 9282'!F18</f>
        <v>0</v>
      </c>
      <c r="G45" s="1012">
        <f>'BAD DEBT 4188 9282'!G18</f>
        <v>0</v>
      </c>
      <c r="H45" s="1012">
        <f>'BAD DEBT 4188 9282'!H18</f>
        <v>0</v>
      </c>
      <c r="I45" s="1012">
        <f>'BAD DEBT 4188 9282'!I18</f>
        <v>0</v>
      </c>
      <c r="J45" s="1336">
        <f>'SUMMARY BRL'!J10</f>
        <v>0.6</v>
      </c>
      <c r="K45" s="1012">
        <f>'BAD DEBT 4188 9282'!K18</f>
        <v>0</v>
      </c>
      <c r="L45" s="1012">
        <f>'BAD DEBT 4188 9282'!L18</f>
        <v>0</v>
      </c>
      <c r="M45" s="1027"/>
      <c r="N45" s="1028"/>
      <c r="O45" s="1028"/>
    </row>
    <row r="46" spans="2:15" ht="18.75" customHeight="1">
      <c r="B46" s="1458"/>
      <c r="C46" s="1454"/>
      <c r="D46" s="1429"/>
      <c r="E46" s="1032" t="s">
        <v>33</v>
      </c>
      <c r="F46" s="1021">
        <f>'BAD DEBT 4188 9282'!F19</f>
        <v>59.275740000000006</v>
      </c>
      <c r="G46" s="1021">
        <f>'BAD DEBT 4188 9282'!G19</f>
        <v>0</v>
      </c>
      <c r="H46" s="1021">
        <f>'BAD DEBT 4188 9282'!H19</f>
        <v>0</v>
      </c>
      <c r="I46" s="1021">
        <f>'BAD DEBT 4188 9282'!I19</f>
        <v>59.275740000000006</v>
      </c>
      <c r="J46" s="1337">
        <f>'SUMMARY BRL'!J11</f>
        <v>0.6</v>
      </c>
      <c r="K46" s="1021">
        <f>'BAD DEBT 4188 9282'!K19</f>
        <v>23.710296000000007</v>
      </c>
      <c r="L46" s="1021">
        <f>'BAD DEBT 4188 9282'!L19</f>
        <v>-35.565443999999999</v>
      </c>
      <c r="M46" s="1027"/>
      <c r="N46" s="1040"/>
      <c r="O46" s="1028"/>
    </row>
    <row r="47" spans="2:15" ht="17.25" customHeight="1">
      <c r="B47" s="1458"/>
      <c r="C47" s="1454"/>
      <c r="D47" s="1433"/>
      <c r="E47" s="1034" t="s">
        <v>1</v>
      </c>
      <c r="F47" s="1035">
        <f>'BAD DEBT 4188 9282'!F20</f>
        <v>0</v>
      </c>
      <c r="G47" s="1035">
        <f>'BAD DEBT 4188 9282'!G20</f>
        <v>0</v>
      </c>
      <c r="H47" s="1035">
        <f>'BAD DEBT 4188 9282'!H20</f>
        <v>0</v>
      </c>
      <c r="I47" s="1035">
        <f>'BAD DEBT 4188 9282'!I20</f>
        <v>0</v>
      </c>
      <c r="J47" s="1338">
        <f>'SUMMARY BRL'!J12</f>
        <v>0.6</v>
      </c>
      <c r="K47" s="1035">
        <f>'BAD DEBT 4188 9282'!K20</f>
        <v>0</v>
      </c>
      <c r="L47" s="1035">
        <f>'BAD DEBT 4188 9282'!L20</f>
        <v>0</v>
      </c>
      <c r="M47" s="1027"/>
      <c r="N47" s="1040"/>
      <c r="O47" s="1028"/>
    </row>
    <row r="48" spans="2:15" ht="17.25" customHeight="1">
      <c r="B48" s="1458"/>
      <c r="C48" s="1454"/>
      <c r="D48" s="1434" t="s">
        <v>40</v>
      </c>
      <c r="E48" s="1020" t="s">
        <v>33</v>
      </c>
      <c r="F48" s="1021">
        <f>'BAD DEBT 4188 9282'!F21</f>
        <v>0</v>
      </c>
      <c r="G48" s="1021">
        <f>'BAD DEBT 4188 9282'!G21</f>
        <v>0</v>
      </c>
      <c r="H48" s="1021">
        <f>'BAD DEBT 4188 9282'!H21</f>
        <v>0</v>
      </c>
      <c r="I48" s="1021">
        <f>'BAD DEBT 4188 9282'!I21</f>
        <v>0</v>
      </c>
      <c r="J48" s="1339" t="str">
        <f>'SUMMARY BRL'!J13</f>
        <v>1,9%/5,1%</v>
      </c>
      <c r="K48" s="1021">
        <f>'BAD DEBT 4188 9282'!K21</f>
        <v>0</v>
      </c>
      <c r="L48" s="1021">
        <f>'BAD DEBT 4188 9282'!L21</f>
        <v>0</v>
      </c>
      <c r="M48" s="1027"/>
      <c r="N48" s="1040"/>
      <c r="O48" s="1028"/>
    </row>
    <row r="49" spans="2:22" ht="18" thickBot="1">
      <c r="B49" s="1458"/>
      <c r="C49" s="1454"/>
      <c r="D49" s="1435"/>
      <c r="E49" s="1020" t="s">
        <v>41</v>
      </c>
      <c r="F49" s="1021">
        <f>'BAD DEBT 4188 9282'!F22</f>
        <v>59.275740000000006</v>
      </c>
      <c r="G49" s="1021">
        <f>'BAD DEBT 4188 9282'!G22</f>
        <v>0</v>
      </c>
      <c r="H49" s="1021">
        <f>'BAD DEBT 4188 9282'!H22</f>
        <v>0</v>
      </c>
      <c r="I49" s="1021">
        <f>'BAD DEBT 4188 9282'!I22</f>
        <v>59.275740000000006</v>
      </c>
      <c r="J49" s="1340" t="str">
        <f>'SUMMARY BRL'!J14</f>
        <v>1,9%/5,1%</v>
      </c>
      <c r="K49" s="1021">
        <f>'BAD DEBT 4188 9282'!K22</f>
        <v>58.149500940000003</v>
      </c>
      <c r="L49" s="1021">
        <f>'BAD DEBT 4188 9282'!L22</f>
        <v>-1.1262390600000001</v>
      </c>
      <c r="M49" s="1027"/>
      <c r="N49" s="1028"/>
      <c r="O49" s="1028"/>
    </row>
    <row r="50" spans="2:22" ht="19.5" customHeight="1" thickBot="1">
      <c r="B50" s="1458"/>
      <c r="C50" s="1454"/>
      <c r="D50" s="1431" t="s">
        <v>24</v>
      </c>
      <c r="E50" s="1432"/>
      <c r="F50" s="10">
        <f>SUM(F45:F49)</f>
        <v>118.55148000000001</v>
      </c>
      <c r="G50" s="10">
        <f>SUM(G45:G49)</f>
        <v>0</v>
      </c>
      <c r="H50" s="10">
        <f>SUM(H45:H49)</f>
        <v>0</v>
      </c>
      <c r="I50" s="10">
        <f>SUM(I45:I49)</f>
        <v>118.55148000000001</v>
      </c>
      <c r="J50" s="1335">
        <f>IF(ISERROR(-L50/I50),0,IF(-L50/I50&lt;0,100%,IF(-L50/I50&gt;100%,100%,-L50/I50)))</f>
        <v>0.3095</v>
      </c>
      <c r="K50" s="10">
        <f>SUM(K45:K49)</f>
        <v>81.85979694000001</v>
      </c>
      <c r="L50" s="18">
        <f>SUM(L45:L49)</f>
        <v>-36.691683060000003</v>
      </c>
      <c r="M50" s="528">
        <f>'BAD DEBT 4188 9282'!N23</f>
        <v>0</v>
      </c>
      <c r="N50" s="22">
        <f>'BAD DEBT 4188 9282'!O23</f>
        <v>0</v>
      </c>
      <c r="O50" s="22">
        <f>N50-L50</f>
        <v>36.691683060000003</v>
      </c>
    </row>
    <row r="51" spans="2:22" ht="19.5" thickBot="1">
      <c r="B51" s="1458"/>
      <c r="C51" s="1455"/>
      <c r="D51" s="794" t="s">
        <v>9</v>
      </c>
      <c r="E51" s="795"/>
      <c r="F51" s="797">
        <f>F44+F50</f>
        <v>352.57623000000001</v>
      </c>
      <c r="G51" s="797">
        <f>G44+G50</f>
        <v>0</v>
      </c>
      <c r="H51" s="797">
        <f>H44+H50</f>
        <v>0</v>
      </c>
      <c r="I51" s="797">
        <f>I44+I50</f>
        <v>352.57623000000001</v>
      </c>
      <c r="J51" s="1341">
        <f>IF(ISERROR(-L51/I51),0,IF(-L51/I51&lt;0,100%,IF(-L51/I51&gt;100%,100%,-L51/I51)))</f>
        <v>0.7678238350327814</v>
      </c>
      <c r="K51" s="797">
        <f>K44+K50</f>
        <v>81.85979694000001</v>
      </c>
      <c r="L51" s="797">
        <f>L44+L50</f>
        <v>-270.71643305999999</v>
      </c>
      <c r="M51" s="797">
        <f>M44+M50</f>
        <v>0</v>
      </c>
      <c r="N51" s="797">
        <f>N44+N50</f>
        <v>0</v>
      </c>
      <c r="O51" s="799">
        <f>SUM(O44,O50)</f>
        <v>270.71643305999999</v>
      </c>
    </row>
    <row r="52" spans="2:22" ht="17.25" customHeight="1">
      <c r="B52" s="1458"/>
      <c r="C52" s="1444" t="s">
        <v>163</v>
      </c>
      <c r="D52" s="1428" t="s">
        <v>6</v>
      </c>
      <c r="E52" s="1011" t="s">
        <v>37</v>
      </c>
      <c r="F52" s="1053">
        <f>'BAD DEBT 4168 9290'!F14+'BAD DEBT 4188 9117'!F25</f>
        <v>2160.0669599999997</v>
      </c>
      <c r="G52" s="1022">
        <f>'BAD DEBT 4188 9117'!G25+'BAD DEBT 4188 9282'!F14</f>
        <v>234.02475000000001</v>
      </c>
      <c r="H52" s="1014">
        <f>'BAD DEBT 4188 9117'!H25+'BAD DEBT 4168 9290'!H14</f>
        <v>0</v>
      </c>
      <c r="I52" s="1014">
        <f>'BAD DEBT 4188 9117'!I25+'BAD DEBT 4168 9290'!I14</f>
        <v>2160.0669599999997</v>
      </c>
      <c r="J52" s="1343">
        <f>'SUMMARY BRL'!J6</f>
        <v>1</v>
      </c>
      <c r="K52" s="1031">
        <f>'BAD DEBT 4188 9117'!K25+'BAD DEBT 4168 9290'!K14</f>
        <v>0</v>
      </c>
      <c r="L52" s="1017">
        <f>'BAD DEBT 4188 9117'!L25+'BAD DEBT 4168 9290'!L14</f>
        <v>-2160.0669599999997</v>
      </c>
      <c r="M52" s="1018"/>
      <c r="N52" s="1019"/>
      <c r="O52" s="1019"/>
    </row>
    <row r="53" spans="2:22" ht="17.25" customHeight="1">
      <c r="B53" s="1458"/>
      <c r="C53" s="1445"/>
      <c r="D53" s="1429"/>
      <c r="E53" s="1020" t="s">
        <v>38</v>
      </c>
      <c r="F53" s="1021">
        <f>'BAD DEBT 4168 9290'!F15+'BAD DEBT 4188 9117'!F26</f>
        <v>0</v>
      </c>
      <c r="G53" s="1022">
        <f>'BAD DEBT 4188 9117'!G26+'BAD DEBT 4188 9282'!F15</f>
        <v>0</v>
      </c>
      <c r="H53" s="1023">
        <f>'BAD DEBT 4188 9117'!H26+'BAD DEBT 4168 9290'!H15</f>
        <v>0</v>
      </c>
      <c r="I53" s="1023">
        <f>'BAD DEBT 4188 9117'!I26+'BAD DEBT 4168 9290'!I15</f>
        <v>0</v>
      </c>
      <c r="J53" s="1339">
        <f>'SUMMARY BRL'!J7</f>
        <v>0.9</v>
      </c>
      <c r="K53" s="1033">
        <f>'BAD DEBT 4188 9117'!K26+'BAD DEBT 4168 9290'!K15</f>
        <v>0</v>
      </c>
      <c r="L53" s="1026">
        <f>'BAD DEBT 4188 9117'!L26+'BAD DEBT 4168 9290'!L15</f>
        <v>0</v>
      </c>
      <c r="M53" s="1027"/>
      <c r="N53" s="1028"/>
      <c r="O53" s="1028"/>
      <c r="V53" s="3">
        <v>-1287272</v>
      </c>
    </row>
    <row r="54" spans="2:22" ht="18" thickBot="1">
      <c r="B54" s="1458"/>
      <c r="C54" s="1445"/>
      <c r="D54" s="1430"/>
      <c r="E54" s="1020" t="s">
        <v>36</v>
      </c>
      <c r="F54" s="1021">
        <f>'BAD DEBT 4168 9290'!F16+'BAD DEBT 4188 9117'!F27</f>
        <v>0</v>
      </c>
      <c r="G54" s="1022">
        <f>'BAD DEBT 4188 9117'!G27+'BAD DEBT 4188 9280'!G16</f>
        <v>0</v>
      </c>
      <c r="H54" s="1023">
        <f>'BAD DEBT 4188 9117'!H27+'BAD DEBT 4168 9290'!H16</f>
        <v>0</v>
      </c>
      <c r="I54" s="1023">
        <f>'BAD DEBT 4188 9117'!I27+'BAD DEBT 4168 9290'!I16</f>
        <v>0</v>
      </c>
      <c r="J54" s="1339">
        <f>'SUMMARY BRL'!J8</f>
        <v>0.9</v>
      </c>
      <c r="K54" s="1033">
        <f>'BAD DEBT 4188 9117'!K27+'BAD DEBT 4168 9290'!K16</f>
        <v>0</v>
      </c>
      <c r="L54" s="1026">
        <f>'BAD DEBT 4188 9117'!L27+'BAD DEBT 4168 9290'!L16</f>
        <v>0</v>
      </c>
      <c r="M54" s="1027"/>
      <c r="N54" s="1028"/>
      <c r="O54" s="1028"/>
      <c r="V54" s="3">
        <v>627</v>
      </c>
    </row>
    <row r="55" spans="2:22" ht="19.5" customHeight="1" thickBot="1">
      <c r="B55" s="1458"/>
      <c r="C55" s="1445"/>
      <c r="D55" s="1447" t="s">
        <v>23</v>
      </c>
      <c r="E55" s="1448"/>
      <c r="F55" s="592">
        <f>SUM(F52:F54)</f>
        <v>2160.0669599999997</v>
      </c>
      <c r="G55" s="594">
        <f>SUM(G52:G54)</f>
        <v>234.02475000000001</v>
      </c>
      <c r="H55" s="596">
        <f>SUM(H52:H54)</f>
        <v>0</v>
      </c>
      <c r="I55" s="596">
        <f>SUM(I52:I54)</f>
        <v>2160.0669599999997</v>
      </c>
      <c r="J55" s="1326">
        <f>IF(ISERROR(-L55/I55),0,IF(-L55/I55&lt;0,100%,IF(-L55/I55&gt;100%,100%,-L55/I55)))</f>
        <v>1</v>
      </c>
      <c r="K55" s="596">
        <f>SUM(K52:K54)</f>
        <v>0</v>
      </c>
      <c r="L55" s="1056">
        <f>SUM(L52:L54)</f>
        <v>-2160.0669599999997</v>
      </c>
      <c r="M55" s="1056">
        <f>'BAD DEBT 4188 9117'!N28+'BAD DEBT 4168 9290'!N17</f>
        <v>0</v>
      </c>
      <c r="N55" s="1049">
        <f>'BAD DEBT 4188 9117'!O28+'BAD DEBT 4168 9290'!O17</f>
        <v>-2328.4401600000001</v>
      </c>
      <c r="O55" s="1049">
        <f>'BAD DEBT 4188 9117'!P28</f>
        <v>-168.37320000000045</v>
      </c>
      <c r="V55" s="3">
        <f>V53+V54</f>
        <v>-1286645</v>
      </c>
    </row>
    <row r="56" spans="2:22" ht="18.75" customHeight="1">
      <c r="B56" s="1458"/>
      <c r="C56" s="1445"/>
      <c r="D56" s="1428" t="s">
        <v>4</v>
      </c>
      <c r="E56" s="1030" t="s">
        <v>39</v>
      </c>
      <c r="F56" s="1012">
        <f>'BAD DEBT 4168 9290'!F18+'BAD DEBT 4188 9117'!F29</f>
        <v>2084.6250500000001</v>
      </c>
      <c r="G56" s="1018">
        <f>'BAD DEBT 4188 9117'!G29+'BAD DEBT 4168 9290'!G18</f>
        <v>0</v>
      </c>
      <c r="H56" s="1014">
        <f>'BAD DEBT 4188 9117'!H29+'BAD DEBT 4168 9290'!H18</f>
        <v>0</v>
      </c>
      <c r="I56" s="1014">
        <f>'BAD DEBT 4188 9117'!I29+'BAD DEBT 4168 9290'!I18</f>
        <v>2084.6250500000001</v>
      </c>
      <c r="J56" s="1336">
        <f>'SUMMARY BRL'!J10</f>
        <v>0.6</v>
      </c>
      <c r="K56" s="1031">
        <f>'BAD DEBT 4188 9117'!K29+'BAD DEBT 4168 9290'!K18</f>
        <v>833.85002000000009</v>
      </c>
      <c r="L56" s="1017">
        <f>'BAD DEBT 4188 9117'!L29+'BAD DEBT 4168 9290'!L18</f>
        <v>-1250.77503</v>
      </c>
      <c r="M56" s="1027"/>
      <c r="N56" s="1028"/>
      <c r="O56" s="1028"/>
    </row>
    <row r="57" spans="2:22" ht="18.75" customHeight="1">
      <c r="B57" s="1458"/>
      <c r="C57" s="1445"/>
      <c r="D57" s="1429"/>
      <c r="E57" s="1032" t="s">
        <v>33</v>
      </c>
      <c r="F57" s="1021">
        <f>'BAD DEBT 4168 9290'!F19+'BAD DEBT 4188 9117'!F30</f>
        <v>0</v>
      </c>
      <c r="G57" s="1027">
        <f>'BAD DEBT 4188 9117'!G30+'BAD DEBT 4188 9280'!G19</f>
        <v>0</v>
      </c>
      <c r="H57" s="1023">
        <f>'BAD DEBT 4188 9117'!H30+'BAD DEBT 4168 9290'!H19</f>
        <v>0</v>
      </c>
      <c r="I57" s="1023">
        <f>'BAD DEBT 4188 9117'!I30+'BAD DEBT 4168 9290'!I19</f>
        <v>0</v>
      </c>
      <c r="J57" s="1337">
        <f>'SUMMARY BRL'!J11</f>
        <v>0.6</v>
      </c>
      <c r="K57" s="1033">
        <f>'BAD DEBT 4188 9117'!K30+'BAD DEBT 4168 9290'!K19</f>
        <v>0</v>
      </c>
      <c r="L57" s="1026">
        <f>'BAD DEBT 4188 9117'!L30+'BAD DEBT 4168 9282'!L19</f>
        <v>0</v>
      </c>
      <c r="M57" s="1027"/>
      <c r="N57" s="1040"/>
      <c r="O57" s="1028"/>
    </row>
    <row r="58" spans="2:22" ht="17.25" customHeight="1">
      <c r="B58" s="1458"/>
      <c r="C58" s="1445"/>
      <c r="D58" s="1433"/>
      <c r="E58" s="1034" t="s">
        <v>1</v>
      </c>
      <c r="F58" s="1035">
        <f>'BAD DEBT 4168 9290'!F20+'BAD DEBT 4188 9117'!F31</f>
        <v>0</v>
      </c>
      <c r="G58" s="1036">
        <f>'BAD DEBT 4188 9117'!G31+'BAD DEBT 4168 9282'!G20</f>
        <v>0</v>
      </c>
      <c r="H58" s="1037">
        <f>'BAD DEBT 4188 9117'!H31+'BAD DEBT 4168 9290'!H20</f>
        <v>0</v>
      </c>
      <c r="I58" s="1037">
        <f>'BAD DEBT 4188 9117'!I31+'BAD DEBT 4168 9290'!I20</f>
        <v>0</v>
      </c>
      <c r="J58" s="1338">
        <f>'SUMMARY BRL'!J12</f>
        <v>0.6</v>
      </c>
      <c r="K58" s="1038">
        <f>'BAD DEBT 4188 9117'!K31+'BAD DEBT 4168 9290'!K20</f>
        <v>0</v>
      </c>
      <c r="L58" s="1039">
        <f>'BAD DEBT 4188 9117'!L31+'BAD DEBT 4168 9290'!L20</f>
        <v>0</v>
      </c>
      <c r="M58" s="1027"/>
      <c r="N58" s="1040"/>
      <c r="O58" s="1028"/>
    </row>
    <row r="59" spans="2:22" ht="17.25" customHeight="1">
      <c r="B59" s="1458"/>
      <c r="C59" s="1445"/>
      <c r="D59" s="1434" t="s">
        <v>40</v>
      </c>
      <c r="E59" s="1020" t="s">
        <v>33</v>
      </c>
      <c r="F59" s="1021">
        <f>'BAD DEBT 4188 9117'!F32+'BAD DEBT 4168 9290'!F21</f>
        <v>17762.634340000004</v>
      </c>
      <c r="G59" s="1027">
        <f>'BAD DEBT 4188 9117'!G32+'BAD DEBT 4168 9290'!G21</f>
        <v>0</v>
      </c>
      <c r="H59" s="1023">
        <f>'BAD DEBT 4188 9117'!H32+'BAD DEBT 4168 9290'!H21</f>
        <v>0</v>
      </c>
      <c r="I59" s="1023">
        <f>'BAD DEBT 4188 9117'!I32+'BAD DEBT 4168 9290'!I21</f>
        <v>17762.634340000004</v>
      </c>
      <c r="J59" s="1339" t="str">
        <f>'SUMMARY BRL'!J13</f>
        <v>1,9%/5,1%</v>
      </c>
      <c r="K59" s="1033">
        <f>'BAD DEBT 4188 9117'!K32+'BAD DEBT 4168 9290'!K21</f>
        <v>17425.144287540003</v>
      </c>
      <c r="L59" s="1026">
        <f>'BAD DEBT 4188 9117'!L32+'BAD DEBT 4168 9290'!L21</f>
        <v>-337.49005246000007</v>
      </c>
      <c r="M59" s="1027"/>
      <c r="N59" s="1040"/>
      <c r="O59" s="1028"/>
    </row>
    <row r="60" spans="2:22" ht="18" thickBot="1">
      <c r="B60" s="1458"/>
      <c r="C60" s="1445"/>
      <c r="D60" s="1435"/>
      <c r="E60" s="1020" t="s">
        <v>41</v>
      </c>
      <c r="F60" s="1021">
        <f>'BAD DEBT 4188 9117'!F33+'BAD DEBT 4168 9290'!F22</f>
        <v>29745.606869999989</v>
      </c>
      <c r="G60" s="1027">
        <f>'BAD DEBT 4188 9117'!G33+'BAD DEBT 4168 9290'!G22</f>
        <v>-2351.368283738394</v>
      </c>
      <c r="H60" s="1023">
        <f>'BAD DEBT 4188 9117'!H33+'BAD DEBT 4168 9290'!H22</f>
        <v>0</v>
      </c>
      <c r="I60" s="1023">
        <f>'BAD DEBT 4188 9117'!I33+'BAD DEBT 4168 9290'!I22</f>
        <v>27394.238586261596</v>
      </c>
      <c r="J60" s="1340" t="str">
        <f>'SUMMARY BRL'!J14</f>
        <v>1,9%/5,1%</v>
      </c>
      <c r="K60" s="1033">
        <f>'BAD DEBT 4188 9117'!K33+'BAD DEBT 4168 9290'!K22</f>
        <v>26873.748053122625</v>
      </c>
      <c r="L60" s="1026">
        <f>'BAD DEBT 4188 9117'!L33+'BAD DEBT 4168 9290'!L22</f>
        <v>-520.49053313897025</v>
      </c>
      <c r="M60" s="1027"/>
      <c r="N60" s="1028"/>
      <c r="O60" s="1028"/>
    </row>
    <row r="61" spans="2:22" ht="19.5" customHeight="1" thickBot="1">
      <c r="B61" s="1458"/>
      <c r="C61" s="1445"/>
      <c r="D61" s="1467" t="s">
        <v>24</v>
      </c>
      <c r="E61" s="1468"/>
      <c r="F61" s="672">
        <f>SUM(F56:F60)</f>
        <v>49592.866259999995</v>
      </c>
      <c r="G61" s="672">
        <f>SUM(G56:G60)</f>
        <v>-2351.368283738394</v>
      </c>
      <c r="H61" s="672">
        <f>SUM(H56:H60)</f>
        <v>0</v>
      </c>
      <c r="I61" s="672">
        <f>SUM(I56:I60)</f>
        <v>47241.497976261599</v>
      </c>
      <c r="J61" s="1326">
        <f>IF(ISERROR(-L61/I61),0,IF(-L61/I61&lt;0,100%,IF(-L61/I61&gt;100%,100%,-L61/I61)))</f>
        <v>4.4637780467050393E-2</v>
      </c>
      <c r="K61" s="672">
        <f>SUM(K56:K60)</f>
        <v>45132.742360662625</v>
      </c>
      <c r="L61" s="791">
        <f>SUM(L56:L60)</f>
        <v>-2108.7556155989705</v>
      </c>
      <c r="M61" s="1054">
        <f>'BAD DEBT 4188 9117'!N35+'BAD DEBT 4168 9290'!N24</f>
        <v>-25.415965030000006</v>
      </c>
      <c r="N61" s="1055">
        <f>'BAD DEBT 4188 9117'!O34+'BAD DEBT 4168 9290'!O23</f>
        <v>-2196.2890499999994</v>
      </c>
      <c r="O61" s="1055">
        <f>'BAD DEBT 4188 9117'!P34+'BAD DEBT 4168 9290'!P23</f>
        <v>-87.533434401028899</v>
      </c>
    </row>
    <row r="62" spans="2:22" ht="19.5" thickBot="1">
      <c r="B62" s="1458"/>
      <c r="C62" s="1446"/>
      <c r="D62" s="1043" t="s">
        <v>9</v>
      </c>
      <c r="E62" s="1044"/>
      <c r="F62" s="1045">
        <f>F55+F61</f>
        <v>51752.933219999992</v>
      </c>
      <c r="G62" s="1045">
        <f>G55+G61</f>
        <v>-2117.3435337383939</v>
      </c>
      <c r="H62" s="1045">
        <f>H55+H61</f>
        <v>0</v>
      </c>
      <c r="I62" s="1045">
        <f>I55+I61</f>
        <v>49401.564936261595</v>
      </c>
      <c r="J62" s="1342">
        <f>IF(ISERROR(-L62/I62),0,IF(-L62/I62&lt;0,100%,IF(-L62/I62&gt;100%,100%,-L62/I62)))</f>
        <v>8.6410675068829268E-2</v>
      </c>
      <c r="K62" s="1045">
        <f>K55+K61</f>
        <v>45132.742360662625</v>
      </c>
      <c r="L62" s="1045">
        <f>L55+L61</f>
        <v>-4268.8225755989697</v>
      </c>
      <c r="M62" s="1046">
        <f>SUM(M55,M61)</f>
        <v>-25.415965030000006</v>
      </c>
      <c r="N62" s="1046">
        <f>SUM(N55,N61)</f>
        <v>-4524.7292099999995</v>
      </c>
      <c r="O62" s="1046">
        <f>SUM(O55,O61)</f>
        <v>-255.90663440102935</v>
      </c>
    </row>
    <row r="63" spans="2:22" ht="15.75" thickBot="1">
      <c r="B63" s="1459"/>
      <c r="C63" s="1058" t="s">
        <v>17</v>
      </c>
      <c r="D63" s="1059"/>
      <c r="E63" s="1060"/>
      <c r="F63" s="1061">
        <f>F18+F29+F62+F40+F51</f>
        <v>962416.56573999976</v>
      </c>
      <c r="G63" s="1060">
        <f>G62+G29+G18+G40+G51</f>
        <v>-293976.02894524194</v>
      </c>
      <c r="H63" s="1060">
        <f>H62+H29+H18+H40+H51</f>
        <v>-140490.15999792202</v>
      </c>
      <c r="I63" s="1062">
        <f>I62+I29+I18+I40+I51</f>
        <v>527716.3520468357</v>
      </c>
      <c r="J63" s="1344">
        <f>IF(ISERROR(-L63/I63),0,IF(-L63/I63&lt;0,100%,IF(-L63/I63&gt;100%,100%,-L63/I63)))</f>
        <v>0.78034122797196082</v>
      </c>
      <c r="K63" s="1064">
        <f>K62+K29+K18+K40+K51</f>
        <v>373012.35739914986</v>
      </c>
      <c r="L63" s="1064">
        <f>L62+L29+L18+L40+L51</f>
        <v>-411798.82617711136</v>
      </c>
      <c r="M63" s="1064">
        <f>M62+M29+M18+M40+M51</f>
        <v>-3842.84947835</v>
      </c>
      <c r="N63" s="1064">
        <f>N62+N29+N18+N40+N51</f>
        <v>-426962.41655316</v>
      </c>
      <c r="O63" s="1063">
        <f>O62+O29+O18+O40+O51</f>
        <v>-15163.59037604864</v>
      </c>
    </row>
    <row r="64" spans="2:22" s="23" customFormat="1" ht="9" customHeight="1">
      <c r="B64" s="24"/>
      <c r="C64" s="25"/>
      <c r="D64" s="26"/>
      <c r="E64" s="27"/>
      <c r="F64" s="27"/>
      <c r="G64" s="27"/>
      <c r="H64" s="27"/>
      <c r="I64" s="27"/>
      <c r="J64" s="1345"/>
      <c r="K64" s="1088"/>
      <c r="L64" s="1088"/>
      <c r="M64" s="1088"/>
      <c r="N64" s="1088"/>
      <c r="O64" s="1089"/>
    </row>
    <row r="65" spans="2:15" s="23" customFormat="1" ht="15.75" customHeight="1">
      <c r="B65" s="24"/>
      <c r="C65" s="25"/>
      <c r="D65" s="26"/>
      <c r="E65" s="27"/>
      <c r="F65" s="507"/>
      <c r="G65" s="507"/>
      <c r="H65" s="507"/>
      <c r="I65" s="27"/>
      <c r="J65" s="1346" t="s">
        <v>25</v>
      </c>
      <c r="K65" s="1076"/>
      <c r="L65" s="1077" t="s">
        <v>14</v>
      </c>
      <c r="M65" s="1072" t="s">
        <v>159</v>
      </c>
      <c r="N65" s="1077" t="s">
        <v>22</v>
      </c>
      <c r="O65" s="1078" t="s">
        <v>16</v>
      </c>
    </row>
    <row r="66" spans="2:15" s="23" customFormat="1" ht="15.75" customHeight="1">
      <c r="B66" s="24"/>
      <c r="C66" s="25"/>
      <c r="D66" s="26"/>
      <c r="E66" s="27"/>
      <c r="F66" s="27"/>
      <c r="G66" s="27"/>
      <c r="H66" s="27"/>
      <c r="I66" s="27"/>
      <c r="J66" s="1347" t="s">
        <v>26</v>
      </c>
      <c r="K66" s="1079"/>
      <c r="L66" s="1080">
        <f>L11+L22+L33+L44+L55</f>
        <v>-332460.07260200003</v>
      </c>
      <c r="M66" s="1080">
        <f>M11+M22+M33+M44+M55</f>
        <v>0</v>
      </c>
      <c r="N66" s="1080">
        <f>N11+N22+N33+N44+N55</f>
        <v>-335633.92436</v>
      </c>
      <c r="O66" s="1080">
        <f>O11+O22+O33+O44+O55</f>
        <v>-3173.8517580000002</v>
      </c>
    </row>
    <row r="67" spans="2:15" s="23" customFormat="1" ht="16.5" customHeight="1">
      <c r="B67" s="24"/>
      <c r="C67" s="25"/>
      <c r="D67" s="26"/>
      <c r="E67" s="27"/>
      <c r="F67" s="27"/>
      <c r="G67" s="27"/>
      <c r="H67" s="27"/>
      <c r="I67" s="27"/>
      <c r="J67" s="1347" t="s">
        <v>27</v>
      </c>
      <c r="K67" s="1079"/>
      <c r="L67" s="1081">
        <f>+L17+L28+L61+L39+L50</f>
        <v>-79338.753575111361</v>
      </c>
      <c r="M67" s="1081">
        <f>+M17+M28+M61+M39+M50</f>
        <v>-3842.8494783499996</v>
      </c>
      <c r="N67" s="1081">
        <f>+N17+N28+N61+N39+N50</f>
        <v>-91328.492193160011</v>
      </c>
      <c r="O67" s="1081">
        <f>+O17+O28+O61+O39+O50</f>
        <v>-11989.738618048641</v>
      </c>
    </row>
    <row r="68" spans="2:15" s="23" customFormat="1" ht="18.75" customHeight="1" thickBot="1">
      <c r="B68" s="24"/>
      <c r="C68" s="25"/>
      <c r="D68" s="26"/>
      <c r="E68" s="27"/>
      <c r="F68" s="27"/>
      <c r="G68" s="27"/>
      <c r="H68" s="27"/>
      <c r="I68" s="27"/>
      <c r="J68" s="1347" t="s">
        <v>28</v>
      </c>
      <c r="K68" s="1082"/>
      <c r="L68" s="1083">
        <f>SUM(L66:L67)</f>
        <v>-411798.82617711136</v>
      </c>
      <c r="M68" s="1083">
        <f>SUM(M66:M67)</f>
        <v>-3842.8494783499996</v>
      </c>
      <c r="N68" s="1083">
        <f>SUM(N66:N67)</f>
        <v>-426962.41655316</v>
      </c>
      <c r="O68" s="1084">
        <f>SUM(O66:O67)</f>
        <v>-15163.590376048642</v>
      </c>
    </row>
    <row r="69" spans="2:15" s="23" customFormat="1" ht="9" customHeight="1" thickTop="1" thickBot="1">
      <c r="B69" s="24"/>
      <c r="C69" s="25"/>
      <c r="D69" s="26"/>
      <c r="E69" s="27"/>
      <c r="F69" s="27"/>
      <c r="G69" s="27"/>
      <c r="H69" s="27"/>
      <c r="I69" s="27"/>
      <c r="J69" s="1348"/>
      <c r="K69" s="1085"/>
      <c r="L69" s="1086"/>
      <c r="M69" s="1086"/>
      <c r="N69" s="1086"/>
      <c r="O69" s="1087"/>
    </row>
    <row r="70" spans="2:15" ht="15.75" thickBot="1"/>
    <row r="71" spans="2:15" ht="24.75" customHeight="1" thickBot="1">
      <c r="B71" s="1449" t="s">
        <v>167</v>
      </c>
      <c r="C71" s="1450"/>
      <c r="D71" s="1131" t="s">
        <v>21</v>
      </c>
      <c r="E71" s="1131" t="s">
        <v>5</v>
      </c>
      <c r="F71" s="1132" t="s">
        <v>12</v>
      </c>
      <c r="G71" s="1132" t="s">
        <v>11</v>
      </c>
      <c r="H71" s="1132" t="s">
        <v>3</v>
      </c>
      <c r="I71" s="1132" t="s">
        <v>10</v>
      </c>
      <c r="J71" s="1349" t="s">
        <v>0</v>
      </c>
      <c r="K71" s="1133" t="s">
        <v>2</v>
      </c>
      <c r="L71" s="1134" t="s">
        <v>14</v>
      </c>
      <c r="M71" s="1135"/>
      <c r="N71" s="1135" t="s">
        <v>22</v>
      </c>
      <c r="O71" s="1134" t="s">
        <v>16</v>
      </c>
    </row>
    <row r="72" spans="2:15" ht="24.75" customHeight="1">
      <c r="B72" s="1436" t="s">
        <v>19</v>
      </c>
      <c r="C72" s="1439" t="s">
        <v>8</v>
      </c>
      <c r="D72" s="1065" t="s">
        <v>1</v>
      </c>
      <c r="E72" s="1066" t="s">
        <v>1</v>
      </c>
      <c r="F72" s="1023">
        <f>'BAD DEBT 9115'!F45</f>
        <v>114079.14336000009</v>
      </c>
      <c r="G72" s="1023">
        <v>0</v>
      </c>
      <c r="H72" s="1023">
        <v>0</v>
      </c>
      <c r="I72" s="1037">
        <f>+F72</f>
        <v>114079.14336000009</v>
      </c>
      <c r="J72" s="1350">
        <f>'SUMMARY BRL'!J19</f>
        <v>2.3E-2</v>
      </c>
      <c r="K72" s="1067">
        <f>F72+G72+L72</f>
        <v>111911.63963616009</v>
      </c>
      <c r="L72" s="1068">
        <f>'BAD DEBT 9115'!L45</f>
        <v>-2167.5037238400018</v>
      </c>
      <c r="M72" s="1028"/>
      <c r="N72" s="1069"/>
      <c r="O72" s="1069"/>
    </row>
    <row r="73" spans="2:15" ht="24.75" customHeight="1">
      <c r="B73" s="1437"/>
      <c r="C73" s="1440"/>
      <c r="D73" s="1041" t="s">
        <v>7</v>
      </c>
      <c r="E73" s="1070" t="s">
        <v>34</v>
      </c>
      <c r="F73" s="1071">
        <f>'BAD DEBT 9115'!F46</f>
        <v>4429.3551600000001</v>
      </c>
      <c r="G73" s="1071">
        <v>0</v>
      </c>
      <c r="H73" s="1071">
        <v>0</v>
      </c>
      <c r="I73" s="1071">
        <f>+F73</f>
        <v>4429.3551600000001</v>
      </c>
      <c r="J73" s="1351">
        <f>'SUMMARY BRL'!J20</f>
        <v>2.3E-2</v>
      </c>
      <c r="K73" s="756">
        <f>F73+G73+L73</f>
        <v>4345.19741196</v>
      </c>
      <c r="L73" s="758">
        <f>'BAD DEBT 9115'!L46</f>
        <v>-84.157748040000001</v>
      </c>
      <c r="M73" s="1028"/>
      <c r="N73" s="757"/>
      <c r="O73" s="757"/>
    </row>
    <row r="74" spans="2:15" ht="24.75" customHeight="1" thickBot="1">
      <c r="B74" s="1437"/>
      <c r="C74" s="1440"/>
      <c r="D74" s="1194" t="s">
        <v>4</v>
      </c>
      <c r="E74" s="1070" t="s">
        <v>115</v>
      </c>
      <c r="F74" s="1071">
        <f>'BAD DEBT 9115'!F47</f>
        <v>0</v>
      </c>
      <c r="G74" s="632">
        <v>0</v>
      </c>
      <c r="H74" s="632">
        <v>0</v>
      </c>
      <c r="I74" s="1071">
        <f>+F74</f>
        <v>0</v>
      </c>
      <c r="J74" s="1352">
        <f>'SUMMARY BRL'!J21</f>
        <v>0.55000000000000004</v>
      </c>
      <c r="K74" s="633">
        <f>F74+G74+L74</f>
        <v>0</v>
      </c>
      <c r="L74" s="758">
        <f>'BAD DEBT 9115'!L47</f>
        <v>0</v>
      </c>
      <c r="M74" s="1028"/>
      <c r="N74" s="757"/>
      <c r="O74" s="757"/>
    </row>
    <row r="75" spans="2:15" ht="24.75" customHeight="1" thickBot="1">
      <c r="B75" s="1437"/>
      <c r="C75" s="1440"/>
      <c r="D75" s="1051" t="s">
        <v>9</v>
      </c>
      <c r="E75" s="1052"/>
      <c r="F75" s="10">
        <f>SUM(F72:F73)</f>
        <v>118508.4985200001</v>
      </c>
      <c r="G75" s="10">
        <f>SUM(G72:G73)</f>
        <v>0</v>
      </c>
      <c r="H75" s="10">
        <f>SUM(H72:H73)</f>
        <v>0</v>
      </c>
      <c r="I75" s="10">
        <f>SUM(I72:I73)</f>
        <v>118508.4985200001</v>
      </c>
      <c r="J75" s="1353">
        <f>+-(L72+L73)/(I72+I73)</f>
        <v>1.9E-2</v>
      </c>
      <c r="K75" s="1073">
        <f>SUM(K72:K73)</f>
        <v>116256.8370481201</v>
      </c>
      <c r="L75" s="1074">
        <f>'BAD DEBT 9115'!L48</f>
        <v>-2251.661471880002</v>
      </c>
      <c r="M75" s="12"/>
      <c r="N75" s="12">
        <f>'BAD DEBT 9115'!M48</f>
        <v>-4845.6257699999996</v>
      </c>
      <c r="O75" s="1075">
        <f>'BAD DEBT 9115'!N48</f>
        <v>-2593.9642981199977</v>
      </c>
    </row>
    <row r="76" spans="2:15" ht="24.75" customHeight="1">
      <c r="B76" s="1437"/>
      <c r="C76" s="1439" t="s">
        <v>13</v>
      </c>
      <c r="D76" s="1065" t="s">
        <v>1</v>
      </c>
      <c r="E76" s="1066" t="s">
        <v>1</v>
      </c>
      <c r="F76" s="1071">
        <f>'BAD DEBT 4168 9280'!F48</f>
        <v>90090.618369999909</v>
      </c>
      <c r="G76" s="1071">
        <v>0</v>
      </c>
      <c r="H76" s="1071">
        <v>0</v>
      </c>
      <c r="I76" s="1071">
        <f>+F76</f>
        <v>90090.618369999909</v>
      </c>
      <c r="J76" s="1350">
        <f>J72</f>
        <v>2.3E-2</v>
      </c>
      <c r="K76" s="1067">
        <f>F76+G76+L76</f>
        <v>88378.896620969914</v>
      </c>
      <c r="L76" s="1068">
        <f>'BAD DEBT 4168 9280'!L48</f>
        <v>-1711.7217490299981</v>
      </c>
      <c r="M76" s="1028"/>
      <c r="N76" s="757"/>
      <c r="O76" s="757"/>
    </row>
    <row r="77" spans="2:15" ht="24.75" customHeight="1">
      <c r="B77" s="1437"/>
      <c r="C77" s="1441"/>
      <c r="D77" s="1194" t="s">
        <v>4</v>
      </c>
      <c r="E77" s="1070" t="s">
        <v>34</v>
      </c>
      <c r="F77" s="1071">
        <f>'BAD DEBT 4168 9280'!F49</f>
        <v>12008.533049999998</v>
      </c>
      <c r="G77" s="1071"/>
      <c r="H77" s="1071"/>
      <c r="I77" s="1071"/>
      <c r="J77" s="1351">
        <f>J73</f>
        <v>2.3E-2</v>
      </c>
      <c r="K77" s="756">
        <f>F77+G77+L77</f>
        <v>11780.370922049999</v>
      </c>
      <c r="L77" s="1068">
        <f>'BAD DEBT 4168 9280'!L49</f>
        <v>-228.16212794999996</v>
      </c>
      <c r="M77" s="1028"/>
      <c r="N77" s="757"/>
      <c r="O77" s="757"/>
    </row>
    <row r="78" spans="2:15" ht="24.75" customHeight="1" thickBot="1">
      <c r="B78" s="1437"/>
      <c r="C78" s="1441"/>
      <c r="D78" s="1194" t="s">
        <v>7</v>
      </c>
      <c r="E78" s="1070" t="s">
        <v>115</v>
      </c>
      <c r="F78" s="1071">
        <f>'BAD DEBT 4168 9280'!F50</f>
        <v>0</v>
      </c>
      <c r="G78" s="1071">
        <v>0</v>
      </c>
      <c r="H78" s="1071">
        <v>0</v>
      </c>
      <c r="I78" s="1071">
        <f>+F78</f>
        <v>0</v>
      </c>
      <c r="J78" s="1354">
        <f>J74</f>
        <v>0.55000000000000004</v>
      </c>
      <c r="K78" s="633">
        <f>F78+G78+L78</f>
        <v>0</v>
      </c>
      <c r="L78" s="1068">
        <f>'BAD DEBT 4168 9280'!L50</f>
        <v>0</v>
      </c>
      <c r="M78" s="1028"/>
      <c r="N78" s="757"/>
      <c r="O78" s="757"/>
    </row>
    <row r="79" spans="2:15" ht="24.75" customHeight="1" thickBot="1">
      <c r="B79" s="1437"/>
      <c r="C79" s="1441"/>
      <c r="D79" s="1051" t="s">
        <v>9</v>
      </c>
      <c r="E79" s="1052"/>
      <c r="F79" s="10">
        <f>SUM(F76:F78)</f>
        <v>102099.15141999991</v>
      </c>
      <c r="G79" s="10">
        <f>SUM(G76:G78)</f>
        <v>0</v>
      </c>
      <c r="H79" s="10">
        <f>SUM(H76:H78)</f>
        <v>0</v>
      </c>
      <c r="I79" s="10">
        <f>SUM(I76:I78)</f>
        <v>90090.618369999909</v>
      </c>
      <c r="J79" s="1355">
        <f>+-(L76+L78)/(I76+I78)</f>
        <v>1.9E-2</v>
      </c>
      <c r="K79" s="18">
        <f>SUM(K76:K78)</f>
        <v>100159.26754301992</v>
      </c>
      <c r="L79" s="18">
        <f>SUM(L76:L78)</f>
        <v>-1939.8838769799981</v>
      </c>
      <c r="M79" s="529"/>
      <c r="N79" s="12">
        <f>'BAD DEBT 4168 9280'!M51</f>
        <v>-4174.6734200000001</v>
      </c>
      <c r="O79" s="12" t="e">
        <f>'BAD DEBT 4168 9280'!P51+#REF!+'BAD DEBT 4188 9280'!P50+'BAD DEBT 4188 9117'!P50</f>
        <v>#REF!</v>
      </c>
    </row>
    <row r="80" spans="2:15" ht="24.75" customHeight="1" thickBot="1">
      <c r="B80" s="1438"/>
      <c r="C80" s="1090" t="s">
        <v>18</v>
      </c>
      <c r="D80" s="1091"/>
      <c r="E80" s="1092"/>
      <c r="F80" s="806">
        <f>+F79+F75</f>
        <v>220607.64994</v>
      </c>
      <c r="G80" s="806">
        <f>+G79+G75</f>
        <v>0</v>
      </c>
      <c r="H80" s="806">
        <f>+H79+H75</f>
        <v>0</v>
      </c>
      <c r="I80" s="806">
        <f>+I79+I75</f>
        <v>208599.11689</v>
      </c>
      <c r="J80" s="1356">
        <f>IF(ISERROR(-L80/I80),0,IF(-L80/I80&lt;0,100%,IF(-L80/I80&gt;100%,100%,-L80/I80)))</f>
        <v>2.0093782808631524E-2</v>
      </c>
      <c r="K80" s="806">
        <f>F80+G80+L80</f>
        <v>216416.10459114</v>
      </c>
      <c r="L80" s="1093">
        <f>SUM(L79,L75)</f>
        <v>-4191.5453488599996</v>
      </c>
      <c r="M80" s="1093"/>
      <c r="N80" s="1093">
        <f>SUM(N79,N75)</f>
        <v>-9020.2991899999997</v>
      </c>
      <c r="O80" s="807" t="e">
        <f>SUM(O79,O75)</f>
        <v>#REF!</v>
      </c>
    </row>
    <row r="81" spans="7:15">
      <c r="L81" s="6"/>
      <c r="M81" s="6"/>
      <c r="O81" s="6"/>
    </row>
    <row r="82" spans="7:15">
      <c r="O82" s="6"/>
    </row>
    <row r="84" spans="7:15">
      <c r="G84" s="180">
        <v>4168</v>
      </c>
      <c r="H84" s="180"/>
      <c r="I84" s="180">
        <v>9115</v>
      </c>
      <c r="J84" s="1357"/>
      <c r="K84" s="1242">
        <v>-145430.0691191151</v>
      </c>
      <c r="L84" s="180"/>
      <c r="M84" s="180"/>
      <c r="N84" s="180"/>
    </row>
    <row r="85" spans="7:15">
      <c r="G85" s="180">
        <v>4168</v>
      </c>
      <c r="H85" s="180"/>
      <c r="I85" s="180">
        <v>9280</v>
      </c>
      <c r="J85" s="1357"/>
      <c r="K85" s="1242">
        <v>-99375.039271509857</v>
      </c>
      <c r="L85" s="180"/>
      <c r="M85" s="180"/>
      <c r="N85" s="180"/>
    </row>
    <row r="86" spans="7:15">
      <c r="G86" s="180">
        <v>4168</v>
      </c>
      <c r="H86" s="180"/>
      <c r="I86" s="180">
        <v>9282</v>
      </c>
      <c r="J86" s="1357"/>
      <c r="K86" s="1242">
        <v>-2383.124985222943</v>
      </c>
      <c r="L86" s="180"/>
      <c r="M86" s="180"/>
      <c r="N86" s="180"/>
    </row>
    <row r="87" spans="7:15">
      <c r="G87" s="180">
        <v>4169</v>
      </c>
      <c r="H87" s="180"/>
      <c r="I87" s="180">
        <v>9117</v>
      </c>
      <c r="J87" s="1357"/>
      <c r="K87" s="1242">
        <v>-5041.1856818560609</v>
      </c>
      <c r="L87" s="180"/>
      <c r="M87" s="180"/>
      <c r="N87" s="180"/>
    </row>
    <row r="88" spans="7:15">
      <c r="G88" s="180">
        <v>4169</v>
      </c>
      <c r="H88" s="180"/>
      <c r="I88" s="180">
        <v>9280</v>
      </c>
      <c r="J88" s="1357"/>
      <c r="K88" s="1242">
        <v>-14.438847119169131</v>
      </c>
      <c r="L88" s="180"/>
      <c r="M88" s="180"/>
      <c r="N88" s="180"/>
    </row>
    <row r="89" spans="7:15">
      <c r="G89" s="1245">
        <v>4188</v>
      </c>
      <c r="H89" s="1245"/>
      <c r="I89" s="1245">
        <v>9280</v>
      </c>
      <c r="J89" s="1266"/>
      <c r="K89" s="1249">
        <v>-1057.446128401541</v>
      </c>
      <c r="L89" s="1245"/>
      <c r="M89" s="180"/>
      <c r="N89" s="180"/>
    </row>
    <row r="90" spans="7:15">
      <c r="G90" s="180"/>
      <c r="H90" s="180"/>
      <c r="I90" s="180"/>
      <c r="J90" s="1357"/>
      <c r="K90" s="1242">
        <f>SUM(K84:K89)</f>
        <v>-253301.30403322465</v>
      </c>
      <c r="L90" s="180"/>
      <c r="M90" s="180"/>
      <c r="N90" s="180"/>
    </row>
  </sheetData>
  <mergeCells count="37">
    <mergeCell ref="E3:L3"/>
    <mergeCell ref="B8:B63"/>
    <mergeCell ref="C8:C18"/>
    <mergeCell ref="D8:D10"/>
    <mergeCell ref="D11:E11"/>
    <mergeCell ref="D12:D14"/>
    <mergeCell ref="D15:D16"/>
    <mergeCell ref="D17:E17"/>
    <mergeCell ref="C19:C29"/>
    <mergeCell ref="D61:E61"/>
    <mergeCell ref="B7:C7"/>
    <mergeCell ref="C30:C40"/>
    <mergeCell ref="D30:D32"/>
    <mergeCell ref="D33:E33"/>
    <mergeCell ref="D34:D36"/>
    <mergeCell ref="D37:D38"/>
    <mergeCell ref="B72:B80"/>
    <mergeCell ref="C72:C75"/>
    <mergeCell ref="C76:C79"/>
    <mergeCell ref="D19:D21"/>
    <mergeCell ref="D22:E22"/>
    <mergeCell ref="D23:D25"/>
    <mergeCell ref="D26:D27"/>
    <mergeCell ref="D28:E28"/>
    <mergeCell ref="C52:C62"/>
    <mergeCell ref="D52:D54"/>
    <mergeCell ref="D55:E55"/>
    <mergeCell ref="D56:D58"/>
    <mergeCell ref="D59:D60"/>
    <mergeCell ref="B71:C71"/>
    <mergeCell ref="D39:E39"/>
    <mergeCell ref="C41:C51"/>
    <mergeCell ref="D41:D43"/>
    <mergeCell ref="D44:E44"/>
    <mergeCell ref="D45:D47"/>
    <mergeCell ref="D48:D49"/>
    <mergeCell ref="D50:E50"/>
  </mergeCells>
  <pageMargins left="0.2" right="0.23622047244094491" top="0.48" bottom="0.36" header="0.31496062992125984" footer="0.31496062992125984"/>
  <pageSetup scale="60" orientation="landscape" r:id="rId1"/>
  <ignoredErrors>
    <ignoredError sqref="J11 J18 J29 J62:J63 J55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X25"/>
  <sheetViews>
    <sheetView showGridLines="0" workbookViewId="0">
      <selection activeCell="A3" sqref="A3"/>
    </sheetView>
  </sheetViews>
  <sheetFormatPr defaultRowHeight="12.75"/>
  <cols>
    <col min="1" max="1" width="9" style="180" customWidth="1"/>
    <col min="2" max="2" width="8.42578125" style="180" customWidth="1"/>
    <col min="3" max="3" width="17.42578125" style="180" customWidth="1"/>
    <col min="4" max="4" width="14.85546875" style="180" customWidth="1"/>
    <col min="5" max="5" width="9.28515625" style="180" customWidth="1"/>
    <col min="6" max="6" width="8" style="180" bestFit="1" customWidth="1"/>
    <col min="7" max="7" width="7.7109375" style="180" customWidth="1"/>
    <col min="8" max="8" width="7.5703125" style="180" bestFit="1" customWidth="1"/>
    <col min="9" max="9" width="8.28515625" style="180" bestFit="1" customWidth="1"/>
    <col min="10" max="10" width="7.5703125" style="180" bestFit="1" customWidth="1"/>
    <col min="11" max="11" width="9" style="180" bestFit="1" customWidth="1"/>
    <col min="12" max="12" width="6.42578125" style="180" bestFit="1" customWidth="1"/>
    <col min="13" max="13" width="13.5703125" style="180" bestFit="1" customWidth="1"/>
    <col min="14" max="14" width="4.42578125" style="180" customWidth="1"/>
    <col min="15" max="15" width="8.5703125" style="180" customWidth="1"/>
    <col min="16" max="16" width="8" style="180" bestFit="1" customWidth="1"/>
    <col min="17" max="18" width="10" style="180" bestFit="1" customWidth="1"/>
    <col min="19" max="19" width="7.42578125" style="180" bestFit="1" customWidth="1"/>
    <col min="20" max="20" width="12.5703125" style="180" bestFit="1" customWidth="1"/>
    <col min="21" max="21" width="12.42578125" style="191" customWidth="1"/>
    <col min="22" max="22" width="11.5703125" style="180" bestFit="1" customWidth="1"/>
    <col min="23" max="23" width="8.5703125" style="180" bestFit="1" customWidth="1"/>
    <col min="24" max="24" width="15.85546875" style="180" bestFit="1" customWidth="1"/>
    <col min="25" max="25" width="7.5703125" style="180" bestFit="1" customWidth="1"/>
    <col min="26" max="26" width="5" style="180" bestFit="1" customWidth="1"/>
    <col min="27" max="27" width="7.85546875" style="180" bestFit="1" customWidth="1"/>
    <col min="28" max="28" width="12" style="180" bestFit="1" customWidth="1"/>
    <col min="29" max="29" width="12.85546875" style="180" bestFit="1" customWidth="1"/>
    <col min="30" max="30" width="13.5703125" style="180" bestFit="1" customWidth="1"/>
    <col min="31" max="31" width="12.42578125" style="180" bestFit="1" customWidth="1"/>
    <col min="32" max="32" width="5" style="180" bestFit="1" customWidth="1"/>
    <col min="33" max="33" width="10.85546875" style="180" bestFit="1" customWidth="1"/>
    <col min="34" max="34" width="8.85546875" style="180" bestFit="1" customWidth="1"/>
    <col min="35" max="36" width="12.7109375" style="180" bestFit="1" customWidth="1"/>
    <col min="37" max="37" width="8.7109375" style="180" bestFit="1" customWidth="1"/>
    <col min="38" max="38" width="8.140625" style="180" bestFit="1" customWidth="1"/>
    <col min="39" max="39" width="10.7109375" style="180" bestFit="1" customWidth="1"/>
    <col min="40" max="40" width="7" style="180" bestFit="1" customWidth="1"/>
    <col min="41" max="41" width="9.85546875" style="180" bestFit="1" customWidth="1"/>
    <col min="42" max="42" width="7.42578125" style="180" bestFit="1" customWidth="1"/>
    <col min="43" max="43" width="14.140625" style="180" bestFit="1" customWidth="1"/>
    <col min="44" max="44" width="10.140625" style="180" bestFit="1" customWidth="1"/>
    <col min="45" max="45" width="8.85546875" style="180" bestFit="1" customWidth="1"/>
    <col min="46" max="46" width="12.7109375" style="180" bestFit="1" customWidth="1"/>
    <col min="47" max="47" width="9.5703125" style="180" bestFit="1" customWidth="1"/>
    <col min="48" max="48" width="16.5703125" style="180" bestFit="1" customWidth="1"/>
    <col min="49" max="49" width="12.7109375" style="180" bestFit="1" customWidth="1"/>
    <col min="50" max="50" width="9.7109375" style="180" bestFit="1" customWidth="1"/>
    <col min="51" max="16384" width="9.140625" style="180"/>
  </cols>
  <sheetData>
    <row r="1" spans="1:50" s="494" customFormat="1" ht="34.5" customHeight="1">
      <c r="A1" s="372" t="s">
        <v>104</v>
      </c>
      <c r="B1" s="373" t="s">
        <v>102</v>
      </c>
      <c r="C1" s="373" t="s">
        <v>101</v>
      </c>
      <c r="D1" s="373" t="s">
        <v>100</v>
      </c>
      <c r="E1" s="373" t="s">
        <v>99</v>
      </c>
      <c r="F1" s="373" t="s">
        <v>98</v>
      </c>
      <c r="G1" s="372" t="s">
        <v>97</v>
      </c>
      <c r="H1" s="372" t="s">
        <v>96</v>
      </c>
      <c r="I1" s="372" t="s">
        <v>95</v>
      </c>
      <c r="J1" s="372" t="s">
        <v>94</v>
      </c>
      <c r="K1" s="372" t="s">
        <v>93</v>
      </c>
      <c r="L1" s="372" t="s">
        <v>92</v>
      </c>
      <c r="M1" s="372" t="s">
        <v>91</v>
      </c>
      <c r="N1" s="372" t="s">
        <v>90</v>
      </c>
      <c r="O1" s="372" t="s">
        <v>89</v>
      </c>
      <c r="P1" s="372" t="s">
        <v>88</v>
      </c>
      <c r="Q1" s="372" t="s">
        <v>87</v>
      </c>
      <c r="R1" s="372" t="s">
        <v>86</v>
      </c>
      <c r="S1" s="372" t="s">
        <v>85</v>
      </c>
      <c r="T1" s="372" t="s">
        <v>84</v>
      </c>
      <c r="U1" s="374" t="s">
        <v>133</v>
      </c>
      <c r="V1" s="374" t="s">
        <v>106</v>
      </c>
      <c r="W1" s="372" t="s">
        <v>83</v>
      </c>
      <c r="X1" s="372" t="s">
        <v>82</v>
      </c>
      <c r="Y1" s="372" t="s">
        <v>81</v>
      </c>
      <c r="Z1" s="372" t="s">
        <v>80</v>
      </c>
      <c r="AA1" s="372" t="s">
        <v>79</v>
      </c>
      <c r="AB1" s="372" t="s">
        <v>78</v>
      </c>
      <c r="AC1" s="372" t="s">
        <v>77</v>
      </c>
      <c r="AD1" s="375" t="s">
        <v>76</v>
      </c>
      <c r="AE1" s="375" t="s">
        <v>75</v>
      </c>
      <c r="AF1" s="375" t="s">
        <v>74</v>
      </c>
      <c r="AG1" s="375" t="s">
        <v>73</v>
      </c>
      <c r="AH1" s="375" t="s">
        <v>72</v>
      </c>
      <c r="AI1" s="372" t="s">
        <v>71</v>
      </c>
      <c r="AJ1" s="372" t="s">
        <v>70</v>
      </c>
      <c r="AK1" s="372" t="s">
        <v>69</v>
      </c>
      <c r="AL1" s="372" t="s">
        <v>68</v>
      </c>
      <c r="AM1" s="372" t="s">
        <v>67</v>
      </c>
      <c r="AN1" s="372" t="s">
        <v>66</v>
      </c>
      <c r="AO1" s="372" t="s">
        <v>65</v>
      </c>
      <c r="AP1" s="372" t="s">
        <v>64</v>
      </c>
      <c r="AQ1" s="372" t="s">
        <v>63</v>
      </c>
      <c r="AR1" s="372" t="s">
        <v>62</v>
      </c>
      <c r="AS1" s="372" t="s">
        <v>61</v>
      </c>
      <c r="AT1" s="372" t="s">
        <v>60</v>
      </c>
      <c r="AU1" s="372" t="s">
        <v>59</v>
      </c>
      <c r="AV1" s="372" t="s">
        <v>58</v>
      </c>
      <c r="AW1" s="372" t="s">
        <v>57</v>
      </c>
      <c r="AX1" s="376" t="s">
        <v>56</v>
      </c>
    </row>
    <row r="2" spans="1:50">
      <c r="A2" s="1252">
        <v>43373</v>
      </c>
      <c r="B2" s="1252">
        <f>$A$2</f>
        <v>43373</v>
      </c>
      <c r="C2" s="377" t="s">
        <v>142</v>
      </c>
      <c r="D2" s="377" t="s">
        <v>130</v>
      </c>
      <c r="E2" s="379" t="s">
        <v>50</v>
      </c>
      <c r="F2" s="377" t="s">
        <v>49</v>
      </c>
      <c r="G2" s="378"/>
      <c r="H2" s="379"/>
      <c r="I2" s="377">
        <v>4168</v>
      </c>
      <c r="J2" s="377">
        <v>9115</v>
      </c>
      <c r="K2" s="377">
        <v>13430001</v>
      </c>
      <c r="L2" s="377"/>
      <c r="M2" s="377"/>
      <c r="N2" s="377"/>
      <c r="O2" s="377"/>
      <c r="P2" s="377"/>
      <c r="Q2" s="377">
        <v>400124000</v>
      </c>
      <c r="R2" s="377"/>
      <c r="S2" s="377"/>
      <c r="T2" s="377"/>
      <c r="U2" s="518">
        <f>'BAD DEBT 9115'!H55</f>
        <v>-238674579.13999999</v>
      </c>
      <c r="V2" s="495"/>
      <c r="W2" s="377"/>
      <c r="X2" s="377" t="s">
        <v>130</v>
      </c>
      <c r="Y2" s="377"/>
      <c r="Z2" s="377"/>
      <c r="AA2" s="377"/>
      <c r="AB2" s="377"/>
      <c r="AC2" s="377"/>
      <c r="AD2" s="377"/>
      <c r="AE2" s="377"/>
      <c r="AF2" s="377"/>
      <c r="AG2" s="377"/>
      <c r="AH2" s="377"/>
      <c r="AI2" s="377"/>
      <c r="AJ2" s="377"/>
      <c r="AK2" s="377"/>
      <c r="AL2" s="377"/>
      <c r="AM2" s="377"/>
      <c r="AN2" s="377"/>
      <c r="AO2" s="377"/>
      <c r="AP2" s="377"/>
      <c r="AQ2" s="377"/>
      <c r="AR2" s="377"/>
      <c r="AS2" s="377"/>
      <c r="AT2" s="377"/>
      <c r="AU2" s="377"/>
      <c r="AV2" s="377"/>
      <c r="AW2" s="377"/>
      <c r="AX2" s="377"/>
    </row>
    <row r="3" spans="1:50">
      <c r="A3" s="1252">
        <f>A2</f>
        <v>43373</v>
      </c>
      <c r="B3" s="1252">
        <f t="shared" ref="B3:B17" si="0">$A$2</f>
        <v>43373</v>
      </c>
      <c r="C3" s="377" t="s">
        <v>142</v>
      </c>
      <c r="D3" s="377" t="s">
        <v>130</v>
      </c>
      <c r="E3" s="379" t="s">
        <v>50</v>
      </c>
      <c r="F3" s="377" t="s">
        <v>49</v>
      </c>
      <c r="G3" s="378"/>
      <c r="H3" s="379"/>
      <c r="I3" s="377">
        <v>4168</v>
      </c>
      <c r="J3" s="377">
        <v>9115</v>
      </c>
      <c r="K3" s="377">
        <v>11411069</v>
      </c>
      <c r="L3" s="377"/>
      <c r="M3" s="377"/>
      <c r="N3" s="377"/>
      <c r="O3" s="377"/>
      <c r="P3" s="377"/>
      <c r="Q3" s="377">
        <v>400124000</v>
      </c>
      <c r="R3" s="377"/>
      <c r="S3" s="377"/>
      <c r="T3" s="377"/>
      <c r="U3" s="518">
        <f>U2*-1</f>
        <v>238674579.13999999</v>
      </c>
      <c r="V3" s="495"/>
      <c r="W3" s="377"/>
      <c r="X3" s="377" t="s">
        <v>130</v>
      </c>
      <c r="Y3" s="377"/>
      <c r="Z3" s="377"/>
      <c r="AA3" s="377"/>
      <c r="AB3" s="377"/>
      <c r="AC3" s="377"/>
      <c r="AD3" s="377"/>
      <c r="AE3" s="377"/>
      <c r="AF3" s="377"/>
      <c r="AG3" s="377"/>
      <c r="AH3" s="377"/>
      <c r="AI3" s="377"/>
      <c r="AJ3" s="377"/>
      <c r="AK3" s="377"/>
      <c r="AL3" s="377"/>
      <c r="AM3" s="377"/>
      <c r="AN3" s="377"/>
      <c r="AO3" s="377"/>
      <c r="AP3" s="377"/>
      <c r="AQ3" s="377"/>
      <c r="AR3" s="377"/>
      <c r="AS3" s="377"/>
      <c r="AT3" s="377"/>
      <c r="AU3" s="377"/>
      <c r="AV3" s="377"/>
      <c r="AW3" s="377"/>
      <c r="AX3" s="377"/>
    </row>
    <row r="4" spans="1:50">
      <c r="A4" s="1253">
        <f>$A$2</f>
        <v>43373</v>
      </c>
      <c r="B4" s="1253">
        <f t="shared" si="0"/>
        <v>43373</v>
      </c>
      <c r="C4" s="380" t="s">
        <v>142</v>
      </c>
      <c r="D4" s="380" t="s">
        <v>130</v>
      </c>
      <c r="E4" s="382" t="s">
        <v>50</v>
      </c>
      <c r="F4" s="380" t="s">
        <v>49</v>
      </c>
      <c r="G4" s="381"/>
      <c r="H4" s="382"/>
      <c r="I4" s="380">
        <v>4168</v>
      </c>
      <c r="J4" s="380">
        <v>9280</v>
      </c>
      <c r="K4" s="380">
        <v>13430001</v>
      </c>
      <c r="L4" s="380"/>
      <c r="M4" s="380"/>
      <c r="N4" s="380"/>
      <c r="O4" s="380"/>
      <c r="P4" s="380"/>
      <c r="Q4" s="380">
        <v>400651000</v>
      </c>
      <c r="R4" s="380"/>
      <c r="S4" s="380"/>
      <c r="T4" s="380"/>
      <c r="U4" s="519">
        <f>'BAD DEBT 4168 9280'!H55</f>
        <v>243901221.89999995</v>
      </c>
      <c r="V4" s="496"/>
      <c r="W4" s="380"/>
      <c r="X4" s="380" t="s">
        <v>130</v>
      </c>
      <c r="Y4" s="380"/>
      <c r="Z4" s="380"/>
      <c r="AA4" s="380"/>
      <c r="AB4" s="380"/>
      <c r="AC4" s="380"/>
      <c r="AD4" s="380"/>
      <c r="AE4" s="380"/>
      <c r="AF4" s="380"/>
      <c r="AG4" s="380"/>
      <c r="AH4" s="380"/>
      <c r="AI4" s="380"/>
      <c r="AJ4" s="380"/>
      <c r="AK4" s="380"/>
      <c r="AL4" s="380"/>
      <c r="AM4" s="380"/>
      <c r="AN4" s="380"/>
      <c r="AO4" s="380"/>
      <c r="AP4" s="380"/>
      <c r="AQ4" s="380"/>
      <c r="AR4" s="380"/>
      <c r="AS4" s="380"/>
      <c r="AT4" s="380"/>
      <c r="AU4" s="380"/>
      <c r="AV4" s="380"/>
      <c r="AW4" s="380"/>
      <c r="AX4" s="380"/>
    </row>
    <row r="5" spans="1:50">
      <c r="A5" s="1253">
        <f t="shared" ref="A5:A17" si="1">$A$2</f>
        <v>43373</v>
      </c>
      <c r="B5" s="1253">
        <f t="shared" si="0"/>
        <v>43373</v>
      </c>
      <c r="C5" s="380" t="s">
        <v>142</v>
      </c>
      <c r="D5" s="380" t="s">
        <v>130</v>
      </c>
      <c r="E5" s="382" t="s">
        <v>50</v>
      </c>
      <c r="F5" s="380" t="s">
        <v>49</v>
      </c>
      <c r="G5" s="381"/>
      <c r="H5" s="382"/>
      <c r="I5" s="380">
        <v>4168</v>
      </c>
      <c r="J5" s="380">
        <v>9280</v>
      </c>
      <c r="K5" s="380">
        <v>11411069</v>
      </c>
      <c r="L5" s="380"/>
      <c r="M5" s="380"/>
      <c r="N5" s="380"/>
      <c r="O5" s="380"/>
      <c r="P5" s="380"/>
      <c r="Q5" s="380">
        <v>400651000</v>
      </c>
      <c r="R5" s="380"/>
      <c r="S5" s="380"/>
      <c r="T5" s="380"/>
      <c r="U5" s="519">
        <f>U4*-1</f>
        <v>-243901221.89999995</v>
      </c>
      <c r="V5" s="496"/>
      <c r="W5" s="380"/>
      <c r="X5" s="380" t="s">
        <v>130</v>
      </c>
      <c r="Y5" s="380"/>
      <c r="Z5" s="380"/>
      <c r="AA5" s="380"/>
      <c r="AB5" s="380"/>
      <c r="AC5" s="380"/>
      <c r="AD5" s="380"/>
      <c r="AE5" s="380"/>
      <c r="AF5" s="380"/>
      <c r="AG5" s="380"/>
      <c r="AH5" s="380"/>
      <c r="AI5" s="380"/>
      <c r="AJ5" s="380"/>
      <c r="AK5" s="380"/>
      <c r="AL5" s="380"/>
      <c r="AM5" s="380"/>
      <c r="AN5" s="380"/>
      <c r="AO5" s="380"/>
      <c r="AP5" s="380"/>
      <c r="AQ5" s="380"/>
      <c r="AR5" s="380"/>
      <c r="AS5" s="380"/>
      <c r="AT5" s="380"/>
      <c r="AU5" s="380"/>
      <c r="AV5" s="380"/>
      <c r="AW5" s="380"/>
      <c r="AX5" s="380"/>
    </row>
    <row r="6" spans="1:50">
      <c r="A6" s="1252">
        <f t="shared" si="1"/>
        <v>43373</v>
      </c>
      <c r="B6" s="1252">
        <f t="shared" si="0"/>
        <v>43373</v>
      </c>
      <c r="C6" s="377" t="s">
        <v>142</v>
      </c>
      <c r="D6" s="377" t="s">
        <v>130</v>
      </c>
      <c r="E6" s="379" t="s">
        <v>50</v>
      </c>
      <c r="F6" s="377" t="s">
        <v>49</v>
      </c>
      <c r="G6" s="378"/>
      <c r="H6" s="379"/>
      <c r="I6" s="377">
        <v>4168</v>
      </c>
      <c r="J6" s="377">
        <v>9282</v>
      </c>
      <c r="K6" s="377">
        <v>13430001</v>
      </c>
      <c r="L6" s="377"/>
      <c r="M6" s="377"/>
      <c r="N6" s="377"/>
      <c r="O6" s="377"/>
      <c r="P6" s="377"/>
      <c r="Q6" s="377">
        <v>400102000</v>
      </c>
      <c r="R6" s="377"/>
      <c r="S6" s="377"/>
      <c r="T6" s="377"/>
      <c r="U6" s="518">
        <f>'BAD DEBT 4168 9282'!H54</f>
        <v>-10006063.389999982</v>
      </c>
      <c r="V6" s="495"/>
      <c r="W6" s="377"/>
      <c r="X6" s="377" t="s">
        <v>130</v>
      </c>
      <c r="Y6" s="377"/>
      <c r="Z6" s="377"/>
      <c r="AA6" s="377"/>
      <c r="AB6" s="377"/>
      <c r="AC6" s="377"/>
      <c r="AD6" s="377"/>
      <c r="AE6" s="377"/>
      <c r="AF6" s="377"/>
      <c r="AG6" s="377"/>
      <c r="AH6" s="377"/>
      <c r="AI6" s="377"/>
      <c r="AJ6" s="377"/>
      <c r="AK6" s="377"/>
      <c r="AL6" s="377"/>
      <c r="AM6" s="377"/>
      <c r="AN6" s="377"/>
      <c r="AO6" s="377"/>
      <c r="AP6" s="377"/>
      <c r="AQ6" s="377"/>
      <c r="AR6" s="377"/>
      <c r="AS6" s="377"/>
      <c r="AT6" s="377"/>
      <c r="AU6" s="377"/>
      <c r="AV6" s="377"/>
      <c r="AW6" s="377"/>
      <c r="AX6" s="377"/>
    </row>
    <row r="7" spans="1:50">
      <c r="A7" s="1252">
        <f t="shared" si="1"/>
        <v>43373</v>
      </c>
      <c r="B7" s="1252">
        <f t="shared" si="0"/>
        <v>43373</v>
      </c>
      <c r="C7" s="377" t="s">
        <v>142</v>
      </c>
      <c r="D7" s="377" t="s">
        <v>130</v>
      </c>
      <c r="E7" s="379" t="s">
        <v>50</v>
      </c>
      <c r="F7" s="377" t="s">
        <v>49</v>
      </c>
      <c r="G7" s="378"/>
      <c r="H7" s="379"/>
      <c r="I7" s="377">
        <v>4168</v>
      </c>
      <c r="J7" s="377">
        <v>9282</v>
      </c>
      <c r="K7" s="377">
        <v>11411069</v>
      </c>
      <c r="L7" s="377"/>
      <c r="M7" s="377"/>
      <c r="N7" s="377"/>
      <c r="O7" s="377"/>
      <c r="P7" s="377"/>
      <c r="Q7" s="377">
        <v>400102000</v>
      </c>
      <c r="R7" s="377"/>
      <c r="S7" s="377"/>
      <c r="T7" s="377"/>
      <c r="U7" s="518">
        <f>U6*-1</f>
        <v>10006063.389999982</v>
      </c>
      <c r="V7" s="495"/>
      <c r="W7" s="377"/>
      <c r="X7" s="377" t="s">
        <v>130</v>
      </c>
      <c r="Y7" s="377"/>
      <c r="Z7" s="377"/>
      <c r="AA7" s="377"/>
      <c r="AB7" s="377"/>
      <c r="AC7" s="377"/>
      <c r="AD7" s="377"/>
      <c r="AE7" s="377"/>
      <c r="AF7" s="377"/>
      <c r="AG7" s="377"/>
      <c r="AH7" s="377"/>
      <c r="AI7" s="377"/>
      <c r="AJ7" s="377"/>
      <c r="AK7" s="377"/>
      <c r="AL7" s="377"/>
      <c r="AM7" s="377"/>
      <c r="AN7" s="377"/>
      <c r="AO7" s="377"/>
      <c r="AP7" s="377"/>
      <c r="AQ7" s="377"/>
      <c r="AR7" s="377"/>
      <c r="AS7" s="377"/>
      <c r="AT7" s="377"/>
      <c r="AU7" s="377"/>
      <c r="AV7" s="377"/>
      <c r="AW7" s="377"/>
      <c r="AX7" s="377"/>
    </row>
    <row r="8" spans="1:50">
      <c r="A8" s="1253">
        <f t="shared" si="1"/>
        <v>43373</v>
      </c>
      <c r="B8" s="1253">
        <f t="shared" si="0"/>
        <v>43373</v>
      </c>
      <c r="C8" s="380" t="s">
        <v>142</v>
      </c>
      <c r="D8" s="380" t="s">
        <v>130</v>
      </c>
      <c r="E8" s="382" t="s">
        <v>50</v>
      </c>
      <c r="F8" s="380" t="s">
        <v>49</v>
      </c>
      <c r="G8" s="381"/>
      <c r="H8" s="382"/>
      <c r="I8" s="380">
        <v>4168</v>
      </c>
      <c r="J8" s="380">
        <v>9290</v>
      </c>
      <c r="K8" s="380">
        <v>13430001</v>
      </c>
      <c r="L8" s="380"/>
      <c r="M8" s="380"/>
      <c r="N8" s="380"/>
      <c r="O8" s="380"/>
      <c r="P8" s="380"/>
      <c r="Q8" s="380">
        <v>400830000</v>
      </c>
      <c r="R8" s="380"/>
      <c r="S8" s="380"/>
      <c r="T8" s="380"/>
      <c r="U8" s="519">
        <f>'BAD DEBT 4168 9290'!H54</f>
        <v>-245736</v>
      </c>
      <c r="V8" s="496"/>
      <c r="W8" s="380"/>
      <c r="X8" s="380" t="s">
        <v>130</v>
      </c>
      <c r="Y8" s="380"/>
      <c r="Z8" s="380"/>
      <c r="AA8" s="380"/>
      <c r="AB8" s="380"/>
      <c r="AC8" s="380"/>
      <c r="AD8" s="380"/>
      <c r="AE8" s="380"/>
      <c r="AF8" s="380"/>
      <c r="AG8" s="380"/>
      <c r="AH8" s="380"/>
      <c r="AI8" s="380"/>
      <c r="AJ8" s="380"/>
      <c r="AK8" s="380"/>
      <c r="AL8" s="380"/>
      <c r="AM8" s="380"/>
      <c r="AN8" s="380"/>
      <c r="AO8" s="380"/>
      <c r="AP8" s="380"/>
      <c r="AQ8" s="380"/>
      <c r="AR8" s="380"/>
      <c r="AS8" s="380"/>
      <c r="AT8" s="380"/>
      <c r="AU8" s="380"/>
      <c r="AV8" s="380"/>
      <c r="AW8" s="380"/>
      <c r="AX8" s="380"/>
    </row>
    <row r="9" spans="1:50">
      <c r="A9" s="1253">
        <f t="shared" si="1"/>
        <v>43373</v>
      </c>
      <c r="B9" s="1253">
        <f t="shared" si="0"/>
        <v>43373</v>
      </c>
      <c r="C9" s="380" t="s">
        <v>142</v>
      </c>
      <c r="D9" s="380" t="s">
        <v>130</v>
      </c>
      <c r="E9" s="382" t="s">
        <v>50</v>
      </c>
      <c r="F9" s="380" t="s">
        <v>49</v>
      </c>
      <c r="G9" s="381"/>
      <c r="H9" s="382"/>
      <c r="I9" s="380">
        <v>4168</v>
      </c>
      <c r="J9" s="380">
        <v>9290</v>
      </c>
      <c r="K9" s="380">
        <v>11411069</v>
      </c>
      <c r="L9" s="380"/>
      <c r="M9" s="380"/>
      <c r="N9" s="380"/>
      <c r="O9" s="380"/>
      <c r="P9" s="380"/>
      <c r="Q9" s="380">
        <v>400830000</v>
      </c>
      <c r="R9" s="380"/>
      <c r="S9" s="380"/>
      <c r="T9" s="380"/>
      <c r="U9" s="519">
        <f>U8*-1</f>
        <v>245736</v>
      </c>
      <c r="V9" s="496"/>
      <c r="W9" s="380"/>
      <c r="X9" s="380" t="s">
        <v>130</v>
      </c>
      <c r="Y9" s="380"/>
      <c r="Z9" s="380"/>
      <c r="AA9" s="380"/>
      <c r="AB9" s="380"/>
      <c r="AC9" s="380"/>
      <c r="AD9" s="380"/>
      <c r="AE9" s="380"/>
      <c r="AF9" s="380"/>
      <c r="AG9" s="380"/>
      <c r="AH9" s="380"/>
      <c r="AI9" s="380"/>
      <c r="AJ9" s="380"/>
      <c r="AK9" s="380"/>
      <c r="AL9" s="380"/>
      <c r="AM9" s="380"/>
      <c r="AN9" s="380"/>
      <c r="AO9" s="380"/>
      <c r="AP9" s="380"/>
      <c r="AQ9" s="380"/>
      <c r="AR9" s="380"/>
      <c r="AS9" s="380"/>
      <c r="AT9" s="380"/>
      <c r="AU9" s="380"/>
      <c r="AV9" s="380"/>
      <c r="AW9" s="380"/>
      <c r="AX9" s="380"/>
    </row>
    <row r="10" spans="1:50">
      <c r="A10" s="1252">
        <f t="shared" si="1"/>
        <v>43373</v>
      </c>
      <c r="B10" s="1252">
        <f t="shared" si="0"/>
        <v>43373</v>
      </c>
      <c r="C10" s="377" t="s">
        <v>142</v>
      </c>
      <c r="D10" s="377" t="s">
        <v>130</v>
      </c>
      <c r="E10" s="379" t="s">
        <v>50</v>
      </c>
      <c r="F10" s="377" t="s">
        <v>49</v>
      </c>
      <c r="G10" s="378"/>
      <c r="H10" s="379"/>
      <c r="I10" s="377">
        <v>4168</v>
      </c>
      <c r="J10" s="377">
        <v>9130</v>
      </c>
      <c r="K10" s="377">
        <v>13430001</v>
      </c>
      <c r="L10" s="377"/>
      <c r="M10" s="377"/>
      <c r="N10" s="377"/>
      <c r="O10" s="377"/>
      <c r="P10" s="377"/>
      <c r="Q10" s="377">
        <v>400124000</v>
      </c>
      <c r="R10" s="377"/>
      <c r="S10" s="377"/>
      <c r="T10" s="377"/>
      <c r="U10" s="518">
        <f>'BAD DEBT 9130'!H54</f>
        <v>-383800.72000000003</v>
      </c>
      <c r="V10" s="495"/>
      <c r="W10" s="377"/>
      <c r="X10" s="377" t="s">
        <v>130</v>
      </c>
      <c r="Y10" s="377"/>
      <c r="Z10" s="377"/>
      <c r="AA10" s="377"/>
      <c r="AB10" s="377"/>
      <c r="AC10" s="377"/>
      <c r="AD10" s="377"/>
      <c r="AE10" s="377"/>
      <c r="AF10" s="377"/>
      <c r="AG10" s="377"/>
      <c r="AH10" s="377"/>
      <c r="AI10" s="377"/>
      <c r="AJ10" s="377"/>
      <c r="AK10" s="377"/>
      <c r="AL10" s="377"/>
      <c r="AM10" s="377"/>
      <c r="AN10" s="377"/>
      <c r="AO10" s="377"/>
      <c r="AP10" s="377"/>
      <c r="AQ10" s="377"/>
      <c r="AR10" s="377"/>
      <c r="AS10" s="377"/>
      <c r="AT10" s="377"/>
      <c r="AU10" s="377"/>
      <c r="AV10" s="377"/>
      <c r="AW10" s="377"/>
      <c r="AX10" s="377"/>
    </row>
    <row r="11" spans="1:50">
      <c r="A11" s="1252">
        <f t="shared" si="1"/>
        <v>43373</v>
      </c>
      <c r="B11" s="1252">
        <f t="shared" si="0"/>
        <v>43373</v>
      </c>
      <c r="C11" s="377" t="s">
        <v>142</v>
      </c>
      <c r="D11" s="377" t="s">
        <v>130</v>
      </c>
      <c r="E11" s="379" t="s">
        <v>50</v>
      </c>
      <c r="F11" s="377" t="s">
        <v>49</v>
      </c>
      <c r="G11" s="378"/>
      <c r="H11" s="379"/>
      <c r="I11" s="377">
        <v>4168</v>
      </c>
      <c r="J11" s="377">
        <v>9130</v>
      </c>
      <c r="K11" s="377">
        <v>11411069</v>
      </c>
      <c r="L11" s="377"/>
      <c r="M11" s="377"/>
      <c r="N11" s="377"/>
      <c r="O11" s="377"/>
      <c r="P11" s="377"/>
      <c r="Q11" s="377">
        <v>400124000</v>
      </c>
      <c r="R11" s="377"/>
      <c r="S11" s="377"/>
      <c r="T11" s="377"/>
      <c r="U11" s="518">
        <f>U10*-1</f>
        <v>383800.72000000003</v>
      </c>
      <c r="V11" s="495"/>
      <c r="W11" s="377"/>
      <c r="X11" s="377" t="s">
        <v>130</v>
      </c>
      <c r="Y11" s="377"/>
      <c r="Z11" s="377"/>
      <c r="AA11" s="377"/>
      <c r="AB11" s="377"/>
      <c r="AC11" s="377"/>
      <c r="AD11" s="377"/>
      <c r="AE11" s="377"/>
      <c r="AF11" s="377"/>
      <c r="AG11" s="377"/>
      <c r="AH11" s="377"/>
      <c r="AI11" s="377"/>
      <c r="AJ11" s="377"/>
      <c r="AK11" s="377"/>
      <c r="AL11" s="377"/>
      <c r="AM11" s="377"/>
      <c r="AN11" s="377"/>
      <c r="AO11" s="377"/>
      <c r="AP11" s="377"/>
      <c r="AQ11" s="377"/>
      <c r="AR11" s="377"/>
      <c r="AS11" s="377"/>
      <c r="AT11" s="377"/>
      <c r="AU11" s="377"/>
      <c r="AV11" s="377"/>
      <c r="AW11" s="377"/>
      <c r="AX11" s="377"/>
    </row>
    <row r="12" spans="1:50">
      <c r="A12" s="1253">
        <f t="shared" si="1"/>
        <v>43373</v>
      </c>
      <c r="B12" s="1253">
        <f t="shared" si="0"/>
        <v>43373</v>
      </c>
      <c r="C12" s="380" t="s">
        <v>143</v>
      </c>
      <c r="D12" s="380" t="s">
        <v>130</v>
      </c>
      <c r="E12" s="382" t="s">
        <v>50</v>
      </c>
      <c r="F12" s="380" t="s">
        <v>49</v>
      </c>
      <c r="G12" s="381"/>
      <c r="H12" s="382"/>
      <c r="I12" s="380">
        <v>4188</v>
      </c>
      <c r="J12" s="380">
        <v>9117</v>
      </c>
      <c r="K12" s="380">
        <v>13430001</v>
      </c>
      <c r="L12" s="380"/>
      <c r="M12" s="380"/>
      <c r="N12" s="380"/>
      <c r="O12" s="380"/>
      <c r="P12" s="380"/>
      <c r="Q12" s="380">
        <v>400981000</v>
      </c>
      <c r="R12" s="380"/>
      <c r="S12" s="380"/>
      <c r="T12" s="380"/>
      <c r="U12" s="519">
        <f>'BAD DEBT 4188 9117'!H54</f>
        <v>-168372.84</v>
      </c>
      <c r="V12" s="496"/>
      <c r="W12" s="380"/>
      <c r="X12" s="380" t="s">
        <v>130</v>
      </c>
      <c r="Y12" s="380"/>
      <c r="Z12" s="380"/>
      <c r="AA12" s="380"/>
      <c r="AB12" s="380"/>
      <c r="AC12" s="380"/>
      <c r="AD12" s="380"/>
      <c r="AE12" s="380"/>
      <c r="AF12" s="380"/>
      <c r="AG12" s="380"/>
      <c r="AH12" s="380"/>
      <c r="AI12" s="380"/>
      <c r="AJ12" s="380"/>
      <c r="AK12" s="380"/>
      <c r="AL12" s="380"/>
      <c r="AM12" s="380"/>
      <c r="AN12" s="380"/>
      <c r="AO12" s="380"/>
      <c r="AP12" s="380"/>
      <c r="AQ12" s="380"/>
      <c r="AR12" s="380"/>
      <c r="AS12" s="380"/>
      <c r="AT12" s="380"/>
      <c r="AU12" s="380"/>
      <c r="AV12" s="380"/>
      <c r="AW12" s="380"/>
      <c r="AX12" s="380"/>
    </row>
    <row r="13" spans="1:50">
      <c r="A13" s="1253">
        <f t="shared" si="1"/>
        <v>43373</v>
      </c>
      <c r="B13" s="1253">
        <f t="shared" si="0"/>
        <v>43373</v>
      </c>
      <c r="C13" s="380" t="s">
        <v>143</v>
      </c>
      <c r="D13" s="380" t="s">
        <v>130</v>
      </c>
      <c r="E13" s="382" t="s">
        <v>50</v>
      </c>
      <c r="F13" s="380" t="s">
        <v>49</v>
      </c>
      <c r="G13" s="381"/>
      <c r="H13" s="382"/>
      <c r="I13" s="380">
        <v>4188</v>
      </c>
      <c r="J13" s="380">
        <v>9117</v>
      </c>
      <c r="K13" s="380">
        <v>11411069</v>
      </c>
      <c r="L13" s="380"/>
      <c r="M13" s="380"/>
      <c r="N13" s="380"/>
      <c r="O13" s="380"/>
      <c r="P13" s="380"/>
      <c r="Q13" s="380">
        <v>400981000</v>
      </c>
      <c r="R13" s="380"/>
      <c r="S13" s="380"/>
      <c r="T13" s="380"/>
      <c r="U13" s="519">
        <f>U12*-1</f>
        <v>168372.84</v>
      </c>
      <c r="V13" s="496"/>
      <c r="W13" s="380"/>
      <c r="X13" s="380" t="s">
        <v>130</v>
      </c>
      <c r="Y13" s="380"/>
      <c r="Z13" s="380"/>
      <c r="AA13" s="380"/>
      <c r="AB13" s="380"/>
      <c r="AC13" s="380"/>
      <c r="AD13" s="380"/>
      <c r="AE13" s="380"/>
      <c r="AF13" s="380"/>
      <c r="AG13" s="380"/>
      <c r="AH13" s="380"/>
      <c r="AI13" s="380"/>
      <c r="AJ13" s="380"/>
      <c r="AK13" s="380"/>
      <c r="AL13" s="380"/>
      <c r="AM13" s="380"/>
      <c r="AN13" s="380"/>
      <c r="AO13" s="380"/>
      <c r="AP13" s="380"/>
      <c r="AQ13" s="380"/>
      <c r="AR13" s="380"/>
      <c r="AS13" s="380"/>
      <c r="AT13" s="380"/>
      <c r="AU13" s="380"/>
      <c r="AV13" s="380"/>
      <c r="AW13" s="380"/>
      <c r="AX13" s="380"/>
    </row>
    <row r="14" spans="1:50">
      <c r="A14" s="1252">
        <f t="shared" si="1"/>
        <v>43373</v>
      </c>
      <c r="B14" s="1252">
        <f t="shared" si="0"/>
        <v>43373</v>
      </c>
      <c r="C14" s="377" t="s">
        <v>143</v>
      </c>
      <c r="D14" s="377" t="s">
        <v>130</v>
      </c>
      <c r="E14" s="379" t="s">
        <v>50</v>
      </c>
      <c r="F14" s="377" t="s">
        <v>49</v>
      </c>
      <c r="G14" s="378"/>
      <c r="H14" s="379"/>
      <c r="I14" s="377">
        <v>4188</v>
      </c>
      <c r="J14" s="377">
        <v>9280</v>
      </c>
      <c r="K14" s="377">
        <v>13430001</v>
      </c>
      <c r="L14" s="377"/>
      <c r="M14" s="377"/>
      <c r="N14" s="377"/>
      <c r="O14" s="377"/>
      <c r="P14" s="377"/>
      <c r="Q14" s="377">
        <v>400659000</v>
      </c>
      <c r="R14" s="377"/>
      <c r="S14" s="377"/>
      <c r="T14" s="377"/>
      <c r="U14" s="518">
        <f>'BAD DEBT 4188 9280'!H54</f>
        <v>-37120.509999997012</v>
      </c>
      <c r="V14" s="495"/>
      <c r="W14" s="377"/>
      <c r="X14" s="377" t="s">
        <v>130</v>
      </c>
      <c r="Y14" s="377"/>
      <c r="Z14" s="377"/>
      <c r="AA14" s="377"/>
      <c r="AB14" s="377"/>
      <c r="AC14" s="377"/>
      <c r="AD14" s="377"/>
      <c r="AE14" s="377"/>
      <c r="AF14" s="377"/>
      <c r="AG14" s="377"/>
      <c r="AH14" s="377"/>
      <c r="AI14" s="377"/>
      <c r="AJ14" s="377"/>
      <c r="AK14" s="377"/>
      <c r="AL14" s="377"/>
      <c r="AM14" s="377"/>
      <c r="AN14" s="377"/>
      <c r="AO14" s="377"/>
      <c r="AP14" s="377"/>
      <c r="AQ14" s="377"/>
      <c r="AR14" s="377"/>
      <c r="AS14" s="377"/>
      <c r="AT14" s="377"/>
      <c r="AU14" s="377"/>
      <c r="AV14" s="377"/>
      <c r="AW14" s="377"/>
      <c r="AX14" s="377"/>
    </row>
    <row r="15" spans="1:50">
      <c r="A15" s="1252">
        <f t="shared" si="1"/>
        <v>43373</v>
      </c>
      <c r="B15" s="1252">
        <f t="shared" si="0"/>
        <v>43373</v>
      </c>
      <c r="C15" s="377" t="s">
        <v>143</v>
      </c>
      <c r="D15" s="377" t="s">
        <v>130</v>
      </c>
      <c r="E15" s="379" t="s">
        <v>50</v>
      </c>
      <c r="F15" s="377" t="s">
        <v>49</v>
      </c>
      <c r="G15" s="378"/>
      <c r="H15" s="379"/>
      <c r="I15" s="377">
        <v>4188</v>
      </c>
      <c r="J15" s="377">
        <v>9280</v>
      </c>
      <c r="K15" s="377">
        <v>11411069</v>
      </c>
      <c r="L15" s="377"/>
      <c r="M15" s="377"/>
      <c r="N15" s="377"/>
      <c r="O15" s="377"/>
      <c r="P15" s="377"/>
      <c r="Q15" s="377">
        <v>400659000</v>
      </c>
      <c r="R15" s="377"/>
      <c r="S15" s="377"/>
      <c r="T15" s="377"/>
      <c r="U15" s="518">
        <f>U14*-1</f>
        <v>37120.509999997012</v>
      </c>
      <c r="V15" s="495"/>
      <c r="W15" s="377"/>
      <c r="X15" s="377" t="s">
        <v>130</v>
      </c>
      <c r="Y15" s="377"/>
      <c r="Z15" s="377"/>
      <c r="AA15" s="377"/>
      <c r="AB15" s="377"/>
      <c r="AC15" s="377"/>
      <c r="AD15" s="377"/>
      <c r="AE15" s="377"/>
      <c r="AF15" s="377"/>
      <c r="AG15" s="377"/>
      <c r="AH15" s="377"/>
      <c r="AI15" s="377"/>
      <c r="AJ15" s="377"/>
      <c r="AK15" s="377"/>
      <c r="AL15" s="377"/>
      <c r="AM15" s="377"/>
      <c r="AN15" s="377"/>
      <c r="AO15" s="377"/>
      <c r="AP15" s="377"/>
      <c r="AQ15" s="377"/>
      <c r="AR15" s="377"/>
      <c r="AS15" s="377"/>
      <c r="AT15" s="377"/>
      <c r="AU15" s="377"/>
      <c r="AV15" s="377"/>
      <c r="AW15" s="377"/>
      <c r="AX15" s="377"/>
    </row>
    <row r="16" spans="1:50">
      <c r="A16" s="1253">
        <f t="shared" si="1"/>
        <v>43373</v>
      </c>
      <c r="B16" s="1253">
        <f t="shared" si="0"/>
        <v>43373</v>
      </c>
      <c r="C16" s="380" t="s">
        <v>144</v>
      </c>
      <c r="D16" s="380" t="s">
        <v>130</v>
      </c>
      <c r="E16" s="382" t="s">
        <v>50</v>
      </c>
      <c r="F16" s="380" t="s">
        <v>49</v>
      </c>
      <c r="G16" s="381"/>
      <c r="H16" s="382"/>
      <c r="I16" s="380">
        <v>4188</v>
      </c>
      <c r="J16" s="380">
        <v>9282</v>
      </c>
      <c r="K16" s="380">
        <v>13430001</v>
      </c>
      <c r="L16" s="380"/>
      <c r="M16" s="380"/>
      <c r="N16" s="380"/>
      <c r="O16" s="380"/>
      <c r="P16" s="380"/>
      <c r="Q16" s="380">
        <v>400401000</v>
      </c>
      <c r="R16" s="380"/>
      <c r="S16" s="380"/>
      <c r="T16" s="380"/>
      <c r="U16" s="519">
        <f>'FUNNEL BAD DEBT'!U17</f>
        <v>234024.75</v>
      </c>
      <c r="V16" s="496"/>
      <c r="W16" s="380"/>
      <c r="X16" s="380" t="s">
        <v>130</v>
      </c>
      <c r="Y16" s="380"/>
      <c r="Z16" s="380"/>
      <c r="AA16" s="380"/>
      <c r="AB16" s="380"/>
      <c r="AC16" s="380"/>
      <c r="AD16" s="380"/>
      <c r="AE16" s="380"/>
      <c r="AF16" s="380"/>
      <c r="AG16" s="380"/>
      <c r="AH16" s="380"/>
      <c r="AI16" s="380"/>
      <c r="AJ16" s="380"/>
      <c r="AK16" s="380"/>
      <c r="AL16" s="380"/>
      <c r="AM16" s="380"/>
      <c r="AN16" s="380"/>
      <c r="AO16" s="380"/>
      <c r="AP16" s="380"/>
      <c r="AQ16" s="380"/>
      <c r="AR16" s="380"/>
      <c r="AS16" s="380"/>
      <c r="AT16" s="380"/>
      <c r="AU16" s="380"/>
      <c r="AV16" s="380"/>
      <c r="AW16" s="380"/>
      <c r="AX16" s="380"/>
    </row>
    <row r="17" spans="1:50">
      <c r="A17" s="1253">
        <f t="shared" si="1"/>
        <v>43373</v>
      </c>
      <c r="B17" s="1253">
        <f t="shared" si="0"/>
        <v>43373</v>
      </c>
      <c r="C17" s="380" t="s">
        <v>144</v>
      </c>
      <c r="D17" s="380" t="s">
        <v>130</v>
      </c>
      <c r="E17" s="382" t="s">
        <v>50</v>
      </c>
      <c r="F17" s="380" t="s">
        <v>49</v>
      </c>
      <c r="G17" s="381"/>
      <c r="H17" s="382"/>
      <c r="I17" s="380">
        <v>4188</v>
      </c>
      <c r="J17" s="380">
        <v>9282</v>
      </c>
      <c r="K17" s="380">
        <v>11411069</v>
      </c>
      <c r="L17" s="380"/>
      <c r="M17" s="380"/>
      <c r="N17" s="380"/>
      <c r="O17" s="380"/>
      <c r="P17" s="380"/>
      <c r="Q17" s="380">
        <v>400401000</v>
      </c>
      <c r="R17" s="380"/>
      <c r="S17" s="380"/>
      <c r="T17" s="380"/>
      <c r="U17" s="519">
        <f>U16*-1</f>
        <v>-234024.75</v>
      </c>
      <c r="V17" s="496"/>
      <c r="W17" s="380"/>
      <c r="X17" s="380" t="s">
        <v>130</v>
      </c>
      <c r="Y17" s="380"/>
      <c r="Z17" s="380"/>
      <c r="AA17" s="380"/>
      <c r="AB17" s="380"/>
      <c r="AC17" s="380"/>
      <c r="AD17" s="380"/>
      <c r="AE17" s="380"/>
      <c r="AF17" s="380"/>
      <c r="AG17" s="380"/>
      <c r="AH17" s="380"/>
      <c r="AI17" s="380"/>
      <c r="AJ17" s="380"/>
      <c r="AK17" s="380"/>
      <c r="AL17" s="380"/>
      <c r="AM17" s="380"/>
      <c r="AN17" s="380"/>
      <c r="AO17" s="380"/>
      <c r="AP17" s="380"/>
      <c r="AQ17" s="380"/>
      <c r="AR17" s="380"/>
      <c r="AS17" s="380"/>
      <c r="AT17" s="380"/>
      <c r="AU17" s="380"/>
      <c r="AV17" s="380"/>
      <c r="AW17" s="380"/>
      <c r="AX17" s="380"/>
    </row>
    <row r="25" spans="1:50">
      <c r="R25" s="4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Y61"/>
  <sheetViews>
    <sheetView showGridLines="0" zoomScaleNormal="100" workbookViewId="0">
      <pane ySplit="1" topLeftCell="A2" activePane="bottomLeft" state="frozen"/>
      <selection activeCell="M1" sqref="M1"/>
      <selection pane="bottomLeft" activeCell="A3" sqref="A3"/>
    </sheetView>
  </sheetViews>
  <sheetFormatPr defaultRowHeight="12.75"/>
  <cols>
    <col min="1" max="1" width="9.42578125" style="421" customWidth="1"/>
    <col min="2" max="2" width="11.42578125" style="421" bestFit="1" customWidth="1"/>
    <col min="3" max="3" width="20.28515625" style="180" bestFit="1" customWidth="1"/>
    <col min="4" max="4" width="18.28515625" style="180" bestFit="1" customWidth="1"/>
    <col min="5" max="5" width="5.7109375" style="180" customWidth="1"/>
    <col min="6" max="6" width="5.85546875" style="180" customWidth="1"/>
    <col min="7" max="7" width="6.85546875" style="180" customWidth="1"/>
    <col min="8" max="8" width="12.28515625" style="180" bestFit="1" customWidth="1"/>
    <col min="9" max="9" width="11.28515625" style="180" bestFit="1" customWidth="1"/>
    <col min="10" max="10" width="7.5703125" style="180" bestFit="1" customWidth="1"/>
    <col min="11" max="11" width="9" style="180" bestFit="1" customWidth="1"/>
    <col min="12" max="12" width="10.28515625" style="180" bestFit="1" customWidth="1"/>
    <col min="13" max="13" width="6.7109375" style="180" bestFit="1" customWidth="1"/>
    <col min="14" max="14" width="4.5703125" style="180" bestFit="1" customWidth="1"/>
    <col min="15" max="15" width="4.140625" style="180" bestFit="1" customWidth="1"/>
    <col min="16" max="16" width="12.7109375" style="180" bestFit="1" customWidth="1"/>
    <col min="17" max="17" width="11.7109375" style="180" bestFit="1" customWidth="1"/>
    <col min="18" max="18" width="13.5703125" style="180" bestFit="1" customWidth="1"/>
    <col min="19" max="19" width="12.42578125" style="180" bestFit="1" customWidth="1"/>
    <col min="20" max="20" width="13.28515625" style="180" bestFit="1" customWidth="1"/>
    <col min="21" max="21" width="16.140625" style="191" bestFit="1" customWidth="1"/>
    <col min="22" max="22" width="13.7109375" style="191" bestFit="1" customWidth="1"/>
    <col min="23" max="23" width="12.5703125" style="180" bestFit="1" customWidth="1"/>
    <col min="24" max="24" width="18.28515625" style="180" bestFit="1" customWidth="1"/>
    <col min="25" max="25" width="7.85546875" style="180" customWidth="1"/>
    <col min="26" max="26" width="4.85546875" style="180" customWidth="1"/>
    <col min="27" max="27" width="7.42578125" style="180" customWidth="1"/>
    <col min="28" max="28" width="7.7109375" style="180" customWidth="1"/>
    <col min="29" max="30" width="7.140625" style="180" customWidth="1"/>
    <col min="31" max="31" width="7" style="180" customWidth="1"/>
    <col min="32" max="32" width="5" style="180" customWidth="1"/>
    <col min="33" max="33" width="6.42578125" style="180" customWidth="1"/>
    <col min="34" max="34" width="8.85546875" style="180" customWidth="1"/>
    <col min="35" max="36" width="7" style="180" customWidth="1"/>
    <col min="37" max="38" width="8.85546875" style="180" customWidth="1"/>
    <col min="39" max="39" width="7.7109375" style="180" customWidth="1"/>
    <col min="40" max="40" width="7.28515625" style="180" customWidth="1"/>
    <col min="41" max="41" width="5.85546875" style="180" customWidth="1"/>
    <col min="42" max="42" width="7.28515625" style="180" customWidth="1"/>
    <col min="43" max="43" width="8.85546875" style="180" customWidth="1"/>
    <col min="44" max="44" width="5.85546875" style="180" customWidth="1"/>
    <col min="45" max="45" width="8.85546875" style="180" customWidth="1"/>
    <col min="46" max="46" width="7" style="180" customWidth="1"/>
    <col min="47" max="47" width="5.85546875" style="180" customWidth="1"/>
    <col min="48" max="48" width="9.28515625" style="180" customWidth="1"/>
    <col min="49" max="49" width="7" style="180" customWidth="1"/>
    <col min="50" max="50" width="5.5703125" style="180" customWidth="1"/>
    <col min="51" max="51" width="9.5703125" style="180" customWidth="1"/>
    <col min="52" max="56" width="3.28515625" style="180" customWidth="1"/>
    <col min="57" max="16384" width="9.140625" style="180"/>
  </cols>
  <sheetData>
    <row r="1" spans="1:77" s="383" customFormat="1" ht="40.5" customHeight="1">
      <c r="A1" s="372" t="s">
        <v>103</v>
      </c>
      <c r="B1" s="372" t="s">
        <v>102</v>
      </c>
      <c r="C1" s="372" t="s">
        <v>101</v>
      </c>
      <c r="D1" s="372" t="s">
        <v>100</v>
      </c>
      <c r="E1" s="372" t="s">
        <v>99</v>
      </c>
      <c r="F1" s="372" t="s">
        <v>98</v>
      </c>
      <c r="G1" s="372" t="s">
        <v>97</v>
      </c>
      <c r="H1" s="372" t="s">
        <v>96</v>
      </c>
      <c r="I1" s="372" t="s">
        <v>95</v>
      </c>
      <c r="J1" s="372" t="s">
        <v>94</v>
      </c>
      <c r="K1" s="372" t="s">
        <v>93</v>
      </c>
      <c r="L1" s="372" t="s">
        <v>92</v>
      </c>
      <c r="M1" s="372" t="s">
        <v>91</v>
      </c>
      <c r="N1" s="372" t="s">
        <v>90</v>
      </c>
      <c r="O1" s="372" t="s">
        <v>89</v>
      </c>
      <c r="P1" s="372" t="s">
        <v>88</v>
      </c>
      <c r="Q1" s="372" t="s">
        <v>87</v>
      </c>
      <c r="R1" s="372" t="s">
        <v>86</v>
      </c>
      <c r="S1" s="372" t="s">
        <v>85</v>
      </c>
      <c r="T1" s="372" t="s">
        <v>84</v>
      </c>
      <c r="U1" s="372" t="s">
        <v>105</v>
      </c>
      <c r="V1" s="372" t="s">
        <v>106</v>
      </c>
      <c r="W1" s="372" t="s">
        <v>83</v>
      </c>
      <c r="X1" s="372" t="s">
        <v>82</v>
      </c>
      <c r="Y1" s="384" t="s">
        <v>81</v>
      </c>
      <c r="Z1" s="384" t="s">
        <v>80</v>
      </c>
      <c r="AA1" s="384" t="s">
        <v>79</v>
      </c>
      <c r="AB1" s="384" t="s">
        <v>78</v>
      </c>
      <c r="AC1" s="384" t="s">
        <v>77</v>
      </c>
      <c r="AD1" s="384" t="s">
        <v>76</v>
      </c>
      <c r="AE1" s="384" t="s">
        <v>75</v>
      </c>
      <c r="AF1" s="384" t="s">
        <v>74</v>
      </c>
      <c r="AG1" s="384" t="s">
        <v>73</v>
      </c>
      <c r="AH1" s="384" t="s">
        <v>72</v>
      </c>
      <c r="AI1" s="384" t="s">
        <v>71</v>
      </c>
      <c r="AJ1" s="384" t="s">
        <v>70</v>
      </c>
      <c r="AK1" s="384" t="s">
        <v>69</v>
      </c>
      <c r="AL1" s="384" t="s">
        <v>68</v>
      </c>
      <c r="AM1" s="384" t="s">
        <v>67</v>
      </c>
      <c r="AN1" s="384" t="s">
        <v>66</v>
      </c>
      <c r="AO1" s="384" t="s">
        <v>65</v>
      </c>
      <c r="AP1" s="384" t="s">
        <v>64</v>
      </c>
      <c r="AQ1" s="384" t="s">
        <v>63</v>
      </c>
      <c r="AR1" s="384" t="s">
        <v>62</v>
      </c>
      <c r="AS1" s="384" t="s">
        <v>61</v>
      </c>
      <c r="AT1" s="384" t="s">
        <v>60</v>
      </c>
      <c r="AU1" s="384" t="s">
        <v>59</v>
      </c>
      <c r="AV1" s="384" t="s">
        <v>58</v>
      </c>
      <c r="AW1" s="384" t="s">
        <v>57</v>
      </c>
      <c r="AX1" s="384" t="s">
        <v>56</v>
      </c>
      <c r="AY1" s="383" t="s">
        <v>55</v>
      </c>
      <c r="AZ1" s="372" t="s">
        <v>81</v>
      </c>
      <c r="BA1" s="372" t="s">
        <v>80</v>
      </c>
      <c r="BB1" s="372" t="s">
        <v>79</v>
      </c>
      <c r="BC1" s="372" t="s">
        <v>78</v>
      </c>
      <c r="BD1" s="372" t="s">
        <v>77</v>
      </c>
      <c r="BE1" s="372" t="s">
        <v>76</v>
      </c>
      <c r="BF1" s="372" t="s">
        <v>75</v>
      </c>
      <c r="BG1" s="372" t="s">
        <v>74</v>
      </c>
      <c r="BH1" s="372" t="s">
        <v>73</v>
      </c>
      <c r="BI1" s="372" t="s">
        <v>72</v>
      </c>
      <c r="BJ1" s="372" t="s">
        <v>71</v>
      </c>
      <c r="BK1" s="372" t="s">
        <v>70</v>
      </c>
      <c r="BL1" s="372" t="s">
        <v>69</v>
      </c>
      <c r="BM1" s="372" t="s">
        <v>68</v>
      </c>
      <c r="BN1" s="372" t="s">
        <v>67</v>
      </c>
      <c r="BO1" s="372" t="s">
        <v>66</v>
      </c>
      <c r="BP1" s="372" t="s">
        <v>65</v>
      </c>
      <c r="BQ1" s="372" t="s">
        <v>64</v>
      </c>
      <c r="BR1" s="372" t="s">
        <v>63</v>
      </c>
      <c r="BS1" s="372" t="s">
        <v>62</v>
      </c>
      <c r="BT1" s="372" t="s">
        <v>61</v>
      </c>
      <c r="BU1" s="372" t="s">
        <v>60</v>
      </c>
      <c r="BV1" s="372" t="s">
        <v>59</v>
      </c>
      <c r="BW1" s="372" t="s">
        <v>58</v>
      </c>
      <c r="BX1" s="372" t="s">
        <v>57</v>
      </c>
      <c r="BY1" s="372" t="s">
        <v>56</v>
      </c>
    </row>
    <row r="2" spans="1:77" s="386" customFormat="1">
      <c r="A2" s="485">
        <v>43373</v>
      </c>
      <c r="B2" s="485">
        <f>$A$2</f>
        <v>43373</v>
      </c>
      <c r="C2" s="385" t="s">
        <v>136</v>
      </c>
      <c r="D2" s="385" t="s">
        <v>134</v>
      </c>
      <c r="E2" s="386" t="s">
        <v>50</v>
      </c>
      <c r="F2" s="386" t="s">
        <v>49</v>
      </c>
      <c r="G2" s="387"/>
      <c r="I2" s="386">
        <v>4168</v>
      </c>
      <c r="J2" s="386">
        <v>9115</v>
      </c>
      <c r="K2" s="386">
        <v>13430110</v>
      </c>
      <c r="L2" s="386" t="s">
        <v>51</v>
      </c>
      <c r="Q2" s="386">
        <v>400124000</v>
      </c>
      <c r="R2" s="388"/>
      <c r="S2" s="389"/>
      <c r="U2" s="390">
        <f t="shared" ref="U2:U8" si="0">-U10</f>
        <v>3337400.9499999667</v>
      </c>
      <c r="V2" s="390"/>
      <c r="W2" s="390"/>
      <c r="X2" s="386" t="s">
        <v>134</v>
      </c>
      <c r="AY2" s="387"/>
    </row>
    <row r="3" spans="1:77" s="391" customFormat="1">
      <c r="A3" s="486">
        <f t="shared" ref="A3:B25" si="1">$A$2</f>
        <v>43373</v>
      </c>
      <c r="B3" s="486">
        <f t="shared" si="1"/>
        <v>43373</v>
      </c>
      <c r="C3" s="392" t="s">
        <v>136</v>
      </c>
      <c r="D3" s="392" t="s">
        <v>134</v>
      </c>
      <c r="E3" s="391" t="s">
        <v>50</v>
      </c>
      <c r="F3" s="391" t="s">
        <v>49</v>
      </c>
      <c r="G3" s="393"/>
      <c r="I3" s="391">
        <v>4168</v>
      </c>
      <c r="J3" s="391">
        <v>9130</v>
      </c>
      <c r="K3" s="391">
        <v>13430110</v>
      </c>
      <c r="L3" s="391" t="s">
        <v>51</v>
      </c>
      <c r="Q3" s="391">
        <v>400124000</v>
      </c>
      <c r="R3" s="394"/>
      <c r="S3" s="395"/>
      <c r="U3" s="396">
        <f t="shared" si="0"/>
        <v>0.17000000000422233</v>
      </c>
      <c r="V3" s="396"/>
      <c r="W3" s="396"/>
      <c r="X3" s="391" t="s">
        <v>134</v>
      </c>
      <c r="AY3" s="393"/>
    </row>
    <row r="4" spans="1:77" s="391" customFormat="1">
      <c r="A4" s="486">
        <f t="shared" si="1"/>
        <v>43373</v>
      </c>
      <c r="B4" s="486">
        <f t="shared" si="1"/>
        <v>43373</v>
      </c>
      <c r="C4" s="392" t="s">
        <v>136</v>
      </c>
      <c r="D4" s="392" t="s">
        <v>134</v>
      </c>
      <c r="E4" s="391" t="s">
        <v>50</v>
      </c>
      <c r="F4" s="391" t="s">
        <v>49</v>
      </c>
      <c r="G4" s="393"/>
      <c r="I4" s="391">
        <v>4168</v>
      </c>
      <c r="J4" s="391">
        <v>9280</v>
      </c>
      <c r="K4" s="391">
        <v>13430110</v>
      </c>
      <c r="L4" s="391" t="s">
        <v>48</v>
      </c>
      <c r="Q4" s="391">
        <v>400651000</v>
      </c>
      <c r="R4" s="394"/>
      <c r="S4" s="395"/>
      <c r="U4" s="396">
        <f t="shared" si="0"/>
        <v>-2245191.9839999317</v>
      </c>
      <c r="V4" s="396"/>
      <c r="W4" s="396"/>
      <c r="X4" s="391" t="s">
        <v>134</v>
      </c>
      <c r="AY4" s="393"/>
    </row>
    <row r="5" spans="1:77" s="391" customFormat="1">
      <c r="A5" s="486">
        <f t="shared" si="1"/>
        <v>43373</v>
      </c>
      <c r="B5" s="486">
        <f t="shared" si="1"/>
        <v>43373</v>
      </c>
      <c r="C5" s="392" t="s">
        <v>136</v>
      </c>
      <c r="D5" s="392" t="s">
        <v>134</v>
      </c>
      <c r="E5" s="391" t="s">
        <v>50</v>
      </c>
      <c r="F5" s="391" t="s">
        <v>49</v>
      </c>
      <c r="G5" s="393"/>
      <c r="I5" s="391">
        <v>4168</v>
      </c>
      <c r="J5" s="391">
        <v>9282</v>
      </c>
      <c r="K5" s="391">
        <v>13430110</v>
      </c>
      <c r="L5" s="391" t="s">
        <v>107</v>
      </c>
      <c r="Q5" s="391">
        <v>400102000</v>
      </c>
      <c r="R5" s="394"/>
      <c r="S5" s="395"/>
      <c r="U5" s="396">
        <f t="shared" si="0"/>
        <v>2110173.7319999957</v>
      </c>
      <c r="V5" s="396"/>
      <c r="W5" s="396"/>
      <c r="X5" s="391" t="s">
        <v>134</v>
      </c>
      <c r="AY5" s="393"/>
    </row>
    <row r="6" spans="1:77" s="391" customFormat="1">
      <c r="A6" s="486">
        <f t="shared" si="1"/>
        <v>43373</v>
      </c>
      <c r="B6" s="486">
        <f t="shared" si="1"/>
        <v>43373</v>
      </c>
      <c r="C6" s="392" t="s">
        <v>136</v>
      </c>
      <c r="D6" s="392" t="s">
        <v>134</v>
      </c>
      <c r="E6" s="391" t="s">
        <v>50</v>
      </c>
      <c r="F6" s="391" t="s">
        <v>49</v>
      </c>
      <c r="G6" s="393"/>
      <c r="I6" s="391">
        <v>4168</v>
      </c>
      <c r="J6" s="391">
        <v>9290</v>
      </c>
      <c r="K6" s="391">
        <v>13430110</v>
      </c>
      <c r="L6" s="391" t="s">
        <v>135</v>
      </c>
      <c r="Q6" s="391">
        <v>400830000</v>
      </c>
      <c r="R6" s="394"/>
      <c r="S6" s="395"/>
      <c r="U6" s="396">
        <f t="shared" si="0"/>
        <v>0</v>
      </c>
      <c r="V6" s="396"/>
      <c r="W6" s="396"/>
      <c r="X6" s="391" t="s">
        <v>134</v>
      </c>
      <c r="AY6" s="393"/>
    </row>
    <row r="7" spans="1:77" s="391" customFormat="1">
      <c r="A7" s="486">
        <f t="shared" si="1"/>
        <v>43373</v>
      </c>
      <c r="B7" s="486">
        <f t="shared" si="1"/>
        <v>43373</v>
      </c>
      <c r="C7" s="392" t="s">
        <v>137</v>
      </c>
      <c r="D7" s="392" t="s">
        <v>134</v>
      </c>
      <c r="E7" s="391" t="s">
        <v>50</v>
      </c>
      <c r="F7" s="391" t="s">
        <v>49</v>
      </c>
      <c r="G7" s="393"/>
      <c r="I7" s="391">
        <v>4188</v>
      </c>
      <c r="J7" s="391">
        <v>9117</v>
      </c>
      <c r="K7" s="391">
        <v>13430110</v>
      </c>
      <c r="L7" s="391" t="s">
        <v>53</v>
      </c>
      <c r="Q7" s="391">
        <v>400981000</v>
      </c>
      <c r="R7" s="394"/>
      <c r="S7" s="395"/>
      <c r="U7" s="396">
        <f t="shared" si="0"/>
        <v>168373.20000000045</v>
      </c>
      <c r="V7" s="396"/>
      <c r="W7" s="396"/>
      <c r="X7" s="391" t="s">
        <v>134</v>
      </c>
      <c r="AY7" s="393"/>
    </row>
    <row r="8" spans="1:77" s="391" customFormat="1">
      <c r="A8" s="486">
        <f t="shared" si="1"/>
        <v>43373</v>
      </c>
      <c r="B8" s="486">
        <f t="shared" si="1"/>
        <v>43373</v>
      </c>
      <c r="C8" s="392" t="s">
        <v>137</v>
      </c>
      <c r="D8" s="392" t="s">
        <v>134</v>
      </c>
      <c r="E8" s="391" t="s">
        <v>50</v>
      </c>
      <c r="F8" s="391" t="s">
        <v>49</v>
      </c>
      <c r="G8" s="393"/>
      <c r="I8" s="391">
        <v>4188</v>
      </c>
      <c r="J8" s="391">
        <v>9280</v>
      </c>
      <c r="K8" s="391">
        <v>13430110</v>
      </c>
      <c r="L8" s="391" t="s">
        <v>54</v>
      </c>
      <c r="Q8" s="391">
        <v>400659000</v>
      </c>
      <c r="R8" s="394"/>
      <c r="S8" s="395"/>
      <c r="U8" s="396">
        <f t="shared" si="0"/>
        <v>37120.43999999878</v>
      </c>
      <c r="V8" s="396"/>
      <c r="W8" s="396"/>
      <c r="X8" s="391" t="s">
        <v>134</v>
      </c>
      <c r="AY8" s="393"/>
    </row>
    <row r="9" spans="1:77" s="391" customFormat="1">
      <c r="A9" s="486">
        <f t="shared" si="1"/>
        <v>43373</v>
      </c>
      <c r="B9" s="486">
        <f t="shared" si="1"/>
        <v>43373</v>
      </c>
      <c r="C9" s="392" t="s">
        <v>137</v>
      </c>
      <c r="D9" s="392" t="s">
        <v>134</v>
      </c>
      <c r="E9" s="391" t="s">
        <v>50</v>
      </c>
      <c r="F9" s="391" t="s">
        <v>49</v>
      </c>
      <c r="G9" s="393"/>
      <c r="I9" s="391">
        <v>4188</v>
      </c>
      <c r="J9" s="391">
        <v>9282</v>
      </c>
      <c r="K9" s="398">
        <v>13430110</v>
      </c>
      <c r="L9" s="398" t="s">
        <v>52</v>
      </c>
      <c r="Q9" s="398">
        <v>400666000</v>
      </c>
      <c r="R9" s="394"/>
      <c r="S9" s="395"/>
      <c r="U9" s="402">
        <f t="shared" ref="U9" si="2">-U17</f>
        <v>-234024.75</v>
      </c>
      <c r="V9" s="396"/>
      <c r="W9" s="396"/>
      <c r="AY9" s="393"/>
    </row>
    <row r="10" spans="1:77" s="386" customFormat="1">
      <c r="A10" s="485">
        <f t="shared" si="1"/>
        <v>43373</v>
      </c>
      <c r="B10" s="485">
        <f t="shared" si="1"/>
        <v>43373</v>
      </c>
      <c r="C10" s="385" t="s">
        <v>136</v>
      </c>
      <c r="D10" s="385" t="s">
        <v>134</v>
      </c>
      <c r="E10" s="386" t="s">
        <v>50</v>
      </c>
      <c r="F10" s="386" t="s">
        <v>49</v>
      </c>
      <c r="G10" s="387"/>
      <c r="I10" s="386">
        <v>4168</v>
      </c>
      <c r="J10" s="386">
        <v>9115</v>
      </c>
      <c r="K10" s="386">
        <v>11421000</v>
      </c>
      <c r="Q10" s="386">
        <v>400124000</v>
      </c>
      <c r="R10" s="388"/>
      <c r="S10" s="389"/>
      <c r="U10" s="390">
        <f>'BAD DEBT 9115'!P6*1000</f>
        <v>-3337400.9499999667</v>
      </c>
      <c r="V10" s="390"/>
      <c r="W10" s="390"/>
      <c r="X10" s="386" t="s">
        <v>134</v>
      </c>
      <c r="AY10" s="387"/>
    </row>
    <row r="11" spans="1:77" s="391" customFormat="1">
      <c r="A11" s="486">
        <f t="shared" si="1"/>
        <v>43373</v>
      </c>
      <c r="B11" s="486">
        <f t="shared" si="1"/>
        <v>43373</v>
      </c>
      <c r="C11" s="392" t="s">
        <v>136</v>
      </c>
      <c r="D11" s="392" t="s">
        <v>134</v>
      </c>
      <c r="E11" s="391" t="s">
        <v>50</v>
      </c>
      <c r="F11" s="391" t="s">
        <v>49</v>
      </c>
      <c r="G11" s="393"/>
      <c r="I11" s="391">
        <v>4168</v>
      </c>
      <c r="J11" s="391">
        <v>9130</v>
      </c>
      <c r="K11" s="391">
        <v>11421000</v>
      </c>
      <c r="Q11" s="391">
        <v>400124000</v>
      </c>
      <c r="R11" s="394"/>
      <c r="S11" s="395"/>
      <c r="U11" s="396">
        <f>('BAD DEBT 9130'!P6)*1000</f>
        <v>-0.17000000000422233</v>
      </c>
      <c r="V11" s="396"/>
      <c r="W11" s="396"/>
      <c r="X11" s="391" t="s">
        <v>134</v>
      </c>
      <c r="AY11" s="393"/>
    </row>
    <row r="12" spans="1:77" s="391" customFormat="1">
      <c r="A12" s="486">
        <f t="shared" si="1"/>
        <v>43373</v>
      </c>
      <c r="B12" s="486">
        <f t="shared" si="1"/>
        <v>43373</v>
      </c>
      <c r="C12" s="392" t="s">
        <v>136</v>
      </c>
      <c r="D12" s="392" t="s">
        <v>134</v>
      </c>
      <c r="E12" s="391" t="s">
        <v>50</v>
      </c>
      <c r="F12" s="391" t="s">
        <v>49</v>
      </c>
      <c r="G12" s="393"/>
      <c r="I12" s="391">
        <v>4168</v>
      </c>
      <c r="J12" s="391">
        <v>9280</v>
      </c>
      <c r="K12" s="391">
        <v>11421000</v>
      </c>
      <c r="Q12" s="391">
        <v>400651000</v>
      </c>
      <c r="R12" s="394"/>
      <c r="S12" s="395"/>
      <c r="U12" s="396">
        <f>('BAD DEBT 4168 9280'!P17)*1000</f>
        <v>2245191.9839999317</v>
      </c>
      <c r="V12" s="396"/>
      <c r="W12" s="396"/>
      <c r="X12" s="391" t="s">
        <v>134</v>
      </c>
      <c r="AY12" s="393"/>
    </row>
    <row r="13" spans="1:77" s="391" customFormat="1">
      <c r="A13" s="486">
        <f t="shared" si="1"/>
        <v>43373</v>
      </c>
      <c r="B13" s="486">
        <f t="shared" si="1"/>
        <v>43373</v>
      </c>
      <c r="C13" s="392" t="s">
        <v>136</v>
      </c>
      <c r="D13" s="392" t="s">
        <v>134</v>
      </c>
      <c r="E13" s="391" t="s">
        <v>50</v>
      </c>
      <c r="F13" s="391" t="s">
        <v>49</v>
      </c>
      <c r="G13" s="393"/>
      <c r="I13" s="391">
        <v>4168</v>
      </c>
      <c r="J13" s="391">
        <v>9282</v>
      </c>
      <c r="K13" s="391">
        <v>11421000</v>
      </c>
      <c r="Q13" s="391">
        <v>400102000</v>
      </c>
      <c r="R13" s="394"/>
      <c r="S13" s="395"/>
      <c r="U13" s="396">
        <f>('BAD DEBT 4168 9282'!P17)*1000</f>
        <v>-2110173.7319999957</v>
      </c>
      <c r="V13" s="396"/>
      <c r="W13" s="396"/>
      <c r="X13" s="391" t="s">
        <v>134</v>
      </c>
      <c r="AY13" s="393"/>
    </row>
    <row r="14" spans="1:77" s="391" customFormat="1">
      <c r="A14" s="486">
        <f t="shared" si="1"/>
        <v>43373</v>
      </c>
      <c r="B14" s="486">
        <f t="shared" si="1"/>
        <v>43373</v>
      </c>
      <c r="C14" s="392" t="s">
        <v>136</v>
      </c>
      <c r="D14" s="392" t="s">
        <v>134</v>
      </c>
      <c r="E14" s="391" t="s">
        <v>50</v>
      </c>
      <c r="F14" s="391" t="s">
        <v>49</v>
      </c>
      <c r="G14" s="393"/>
      <c r="I14" s="391">
        <v>4168</v>
      </c>
      <c r="J14" s="391">
        <v>9290</v>
      </c>
      <c r="K14" s="391">
        <v>11421000</v>
      </c>
      <c r="Q14" s="391">
        <v>400830000</v>
      </c>
      <c r="R14" s="394"/>
      <c r="S14" s="395"/>
      <c r="U14" s="396">
        <f>('BAD DEBT 4168 9290'!P17)*1000</f>
        <v>0</v>
      </c>
      <c r="V14" s="396"/>
      <c r="W14" s="396"/>
      <c r="X14" s="391" t="s">
        <v>134</v>
      </c>
      <c r="AY14" s="393"/>
    </row>
    <row r="15" spans="1:77" s="391" customFormat="1">
      <c r="A15" s="486">
        <f t="shared" si="1"/>
        <v>43373</v>
      </c>
      <c r="B15" s="486">
        <f t="shared" si="1"/>
        <v>43373</v>
      </c>
      <c r="C15" s="392" t="s">
        <v>137</v>
      </c>
      <c r="D15" s="392" t="s">
        <v>134</v>
      </c>
      <c r="E15" s="391" t="s">
        <v>50</v>
      </c>
      <c r="F15" s="391" t="s">
        <v>49</v>
      </c>
      <c r="G15" s="393"/>
      <c r="I15" s="391">
        <v>4188</v>
      </c>
      <c r="J15" s="391">
        <v>9117</v>
      </c>
      <c r="K15" s="391">
        <v>11421000</v>
      </c>
      <c r="Q15" s="391">
        <v>400981000</v>
      </c>
      <c r="R15" s="394"/>
      <c r="S15" s="395"/>
      <c r="U15" s="396">
        <f>('BAD DEBT 4188 9117'!P28)*1000</f>
        <v>-168373.20000000045</v>
      </c>
      <c r="V15" s="396"/>
      <c r="W15" s="396"/>
      <c r="X15" s="391" t="s">
        <v>134</v>
      </c>
      <c r="AY15" s="393"/>
    </row>
    <row r="16" spans="1:77" s="391" customFormat="1">
      <c r="A16" s="486">
        <f t="shared" si="1"/>
        <v>43373</v>
      </c>
      <c r="B16" s="486">
        <f t="shared" si="1"/>
        <v>43373</v>
      </c>
      <c r="C16" s="392" t="s">
        <v>137</v>
      </c>
      <c r="D16" s="392" t="s">
        <v>134</v>
      </c>
      <c r="E16" s="391" t="s">
        <v>50</v>
      </c>
      <c r="F16" s="391" t="s">
        <v>49</v>
      </c>
      <c r="G16" s="393"/>
      <c r="I16" s="391">
        <v>4188</v>
      </c>
      <c r="J16" s="391">
        <v>9280</v>
      </c>
      <c r="K16" s="391">
        <v>11421000</v>
      </c>
      <c r="Q16" s="391">
        <v>400659000</v>
      </c>
      <c r="R16" s="394"/>
      <c r="S16" s="395"/>
      <c r="U16" s="396">
        <f>('BAD DEBT 4188 9280'!P17)*1000</f>
        <v>-37120.43999999878</v>
      </c>
      <c r="V16" s="396"/>
      <c r="W16" s="396"/>
      <c r="X16" s="391" t="s">
        <v>134</v>
      </c>
      <c r="AY16" s="393"/>
    </row>
    <row r="17" spans="1:73" s="398" customFormat="1">
      <c r="A17" s="487">
        <f t="shared" si="1"/>
        <v>43373</v>
      </c>
      <c r="B17" s="487">
        <f t="shared" si="1"/>
        <v>43373</v>
      </c>
      <c r="C17" s="397" t="s">
        <v>138</v>
      </c>
      <c r="D17" s="397" t="s">
        <v>134</v>
      </c>
      <c r="E17" s="398" t="s">
        <v>50</v>
      </c>
      <c r="F17" s="398" t="s">
        <v>49</v>
      </c>
      <c r="G17" s="399"/>
      <c r="I17" s="398">
        <v>4188</v>
      </c>
      <c r="J17" s="398">
        <v>9282</v>
      </c>
      <c r="K17" s="398">
        <v>11421000</v>
      </c>
      <c r="Q17" s="398">
        <v>400666000</v>
      </c>
      <c r="R17" s="400"/>
      <c r="S17" s="401"/>
      <c r="U17" s="402">
        <f>('BAD DEBT 4188 9282'!P17)*1000</f>
        <v>234024.75</v>
      </c>
      <c r="V17" s="402"/>
      <c r="W17" s="402"/>
      <c r="X17" s="398" t="s">
        <v>134</v>
      </c>
      <c r="AY17" s="399"/>
    </row>
    <row r="18" spans="1:73" s="404" customFormat="1">
      <c r="A18" s="488">
        <f t="shared" si="1"/>
        <v>43373</v>
      </c>
      <c r="B18" s="489">
        <f t="shared" si="1"/>
        <v>43373</v>
      </c>
      <c r="C18" s="403" t="s">
        <v>139</v>
      </c>
      <c r="D18" s="403" t="s">
        <v>131</v>
      </c>
      <c r="E18" s="404" t="s">
        <v>50</v>
      </c>
      <c r="F18" s="404" t="s">
        <v>49</v>
      </c>
      <c r="G18" s="405"/>
      <c r="I18" s="404">
        <v>4168</v>
      </c>
      <c r="J18" s="404">
        <v>9115</v>
      </c>
      <c r="K18" s="404">
        <v>11421000</v>
      </c>
      <c r="Q18" s="404">
        <v>400124000</v>
      </c>
      <c r="R18" s="406"/>
      <c r="S18" s="407"/>
      <c r="U18" s="408">
        <f t="shared" ref="U18:U26" si="3">-U28</f>
        <v>883367.89980656607</v>
      </c>
      <c r="V18" s="408"/>
      <c r="W18" s="408"/>
      <c r="X18" s="404" t="s">
        <v>204</v>
      </c>
      <c r="AY18" s="405"/>
    </row>
    <row r="19" spans="1:73" s="410" customFormat="1">
      <c r="A19" s="490">
        <f t="shared" si="1"/>
        <v>43373</v>
      </c>
      <c r="B19" s="491">
        <f t="shared" si="1"/>
        <v>43373</v>
      </c>
      <c r="C19" s="409" t="s">
        <v>139</v>
      </c>
      <c r="D19" s="409" t="s">
        <v>131</v>
      </c>
      <c r="E19" s="410" t="s">
        <v>50</v>
      </c>
      <c r="F19" s="410" t="s">
        <v>49</v>
      </c>
      <c r="G19" s="411"/>
      <c r="I19" s="410">
        <v>4168</v>
      </c>
      <c r="J19" s="410">
        <v>9130</v>
      </c>
      <c r="K19" s="410">
        <v>11421000</v>
      </c>
      <c r="Q19" s="410">
        <v>400124000</v>
      </c>
      <c r="R19" s="412"/>
      <c r="S19" s="413"/>
      <c r="U19" s="414">
        <f t="shared" si="3"/>
        <v>0.17000000000422233</v>
      </c>
      <c r="V19" s="414"/>
      <c r="W19" s="414"/>
      <c r="X19" s="410" t="str">
        <f>X18</f>
        <v>PDD - Análise de Suficiência</v>
      </c>
      <c r="AY19" s="411"/>
    </row>
    <row r="20" spans="1:73" s="410" customFormat="1">
      <c r="A20" s="490">
        <f>A19</f>
        <v>43373</v>
      </c>
      <c r="B20" s="491">
        <f t="shared" si="1"/>
        <v>43373</v>
      </c>
      <c r="C20" s="409" t="s">
        <v>139</v>
      </c>
      <c r="D20" s="409" t="s">
        <v>131</v>
      </c>
      <c r="E20" s="410" t="s">
        <v>50</v>
      </c>
      <c r="F20" s="410" t="s">
        <v>49</v>
      </c>
      <c r="G20" s="411"/>
      <c r="I20" s="410">
        <v>4168</v>
      </c>
      <c r="J20" s="410">
        <v>9280</v>
      </c>
      <c r="K20" s="410">
        <v>11421000</v>
      </c>
      <c r="Q20" s="410">
        <v>400651000</v>
      </c>
      <c r="R20" s="412"/>
      <c r="S20" s="413"/>
      <c r="U20" s="414">
        <f t="shared" si="3"/>
        <v>-4914512.5432960335</v>
      </c>
      <c r="V20" s="414"/>
      <c r="W20" s="414"/>
      <c r="X20" s="410" t="str">
        <f>X18</f>
        <v>PDD - Análise de Suficiência</v>
      </c>
      <c r="AY20" s="411"/>
    </row>
    <row r="21" spans="1:73" s="410" customFormat="1">
      <c r="A21" s="490">
        <f t="shared" si="1"/>
        <v>43373</v>
      </c>
      <c r="B21" s="491">
        <f t="shared" si="1"/>
        <v>43373</v>
      </c>
      <c r="C21" s="409" t="s">
        <v>139</v>
      </c>
      <c r="D21" s="409" t="s">
        <v>131</v>
      </c>
      <c r="E21" s="410" t="s">
        <v>50</v>
      </c>
      <c r="F21" s="410" t="s">
        <v>49</v>
      </c>
      <c r="G21" s="411"/>
      <c r="I21" s="410">
        <v>4168</v>
      </c>
      <c r="J21" s="410">
        <v>9280</v>
      </c>
      <c r="K21" s="410">
        <v>11421000</v>
      </c>
      <c r="Q21" s="410">
        <v>400621000</v>
      </c>
      <c r="R21" s="412"/>
      <c r="S21" s="413"/>
      <c r="U21" s="414">
        <f t="shared" si="3"/>
        <v>-258658.55491031759</v>
      </c>
      <c r="V21" s="414"/>
      <c r="W21" s="414"/>
      <c r="X21" s="410" t="str">
        <f>X19</f>
        <v>PDD - Análise de Suficiência</v>
      </c>
      <c r="AY21" s="411"/>
    </row>
    <row r="22" spans="1:73" s="410" customFormat="1">
      <c r="A22" s="490">
        <f t="shared" si="1"/>
        <v>43373</v>
      </c>
      <c r="B22" s="491">
        <f t="shared" si="1"/>
        <v>43373</v>
      </c>
      <c r="C22" s="409" t="s">
        <v>139</v>
      </c>
      <c r="D22" s="409" t="s">
        <v>131</v>
      </c>
      <c r="E22" s="410" t="s">
        <v>50</v>
      </c>
      <c r="F22" s="410" t="s">
        <v>49</v>
      </c>
      <c r="G22" s="411"/>
      <c r="I22" s="410">
        <v>4168</v>
      </c>
      <c r="J22" s="410">
        <v>9282</v>
      </c>
      <c r="K22" s="410">
        <v>11421000</v>
      </c>
      <c r="Q22" s="410">
        <v>400102000</v>
      </c>
      <c r="R22" s="412"/>
      <c r="S22" s="413"/>
      <c r="U22" s="414">
        <f t="shared" si="3"/>
        <v>9555292.5965537112</v>
      </c>
      <c r="V22" s="414"/>
      <c r="W22" s="414"/>
      <c r="X22" s="410" t="str">
        <f>X21</f>
        <v>PDD - Análise de Suficiência</v>
      </c>
      <c r="AY22" s="411"/>
    </row>
    <row r="23" spans="1:73" s="410" customFormat="1">
      <c r="A23" s="490">
        <f t="shared" si="1"/>
        <v>43373</v>
      </c>
      <c r="B23" s="491">
        <f t="shared" si="1"/>
        <v>43373</v>
      </c>
      <c r="C23" s="409" t="s">
        <v>139</v>
      </c>
      <c r="D23" s="409" t="s">
        <v>131</v>
      </c>
      <c r="E23" s="410" t="s">
        <v>50</v>
      </c>
      <c r="F23" s="410" t="s">
        <v>49</v>
      </c>
      <c r="G23" s="411"/>
      <c r="I23" s="410">
        <v>4168</v>
      </c>
      <c r="J23" s="410">
        <v>9282</v>
      </c>
      <c r="K23" s="410">
        <v>11421000</v>
      </c>
      <c r="Q23" s="410">
        <v>400102000</v>
      </c>
      <c r="R23" s="412"/>
      <c r="S23" s="413"/>
      <c r="U23" s="414">
        <f t="shared" si="3"/>
        <v>9555292.5965537112</v>
      </c>
      <c r="V23" s="414"/>
      <c r="W23" s="414"/>
      <c r="X23" s="410" t="str">
        <f>X22</f>
        <v>PDD - Análise de Suficiência</v>
      </c>
      <c r="AY23" s="411"/>
    </row>
    <row r="24" spans="1:73" s="410" customFormat="1">
      <c r="A24" s="490">
        <f t="shared" si="1"/>
        <v>43373</v>
      </c>
      <c r="B24" s="491">
        <f t="shared" si="1"/>
        <v>43373</v>
      </c>
      <c r="C24" s="409" t="s">
        <v>139</v>
      </c>
      <c r="D24" s="409" t="s">
        <v>131</v>
      </c>
      <c r="E24" s="410" t="s">
        <v>50</v>
      </c>
      <c r="F24" s="410" t="s">
        <v>49</v>
      </c>
      <c r="G24" s="411"/>
      <c r="I24" s="410">
        <v>4168</v>
      </c>
      <c r="J24" s="410">
        <v>9290</v>
      </c>
      <c r="K24" s="410">
        <v>11421000</v>
      </c>
      <c r="Q24" s="410">
        <v>400830000</v>
      </c>
      <c r="R24" s="412"/>
      <c r="S24" s="413"/>
      <c r="U24" s="414">
        <f t="shared" si="3"/>
        <v>0</v>
      </c>
      <c r="V24" s="414"/>
      <c r="W24" s="414"/>
      <c r="X24" s="410" t="str">
        <f>X22</f>
        <v>PDD - Análise de Suficiência</v>
      </c>
      <c r="AY24" s="411"/>
    </row>
    <row r="25" spans="1:73" s="410" customFormat="1">
      <c r="A25" s="490">
        <f t="shared" si="1"/>
        <v>43373</v>
      </c>
      <c r="B25" s="491">
        <f t="shared" si="1"/>
        <v>43373</v>
      </c>
      <c r="C25" s="409" t="s">
        <v>140</v>
      </c>
      <c r="D25" s="409" t="s">
        <v>131</v>
      </c>
      <c r="E25" s="410" t="s">
        <v>50</v>
      </c>
      <c r="F25" s="410" t="s">
        <v>49</v>
      </c>
      <c r="G25" s="411"/>
      <c r="I25" s="410">
        <v>4188</v>
      </c>
      <c r="J25" s="410">
        <v>9117</v>
      </c>
      <c r="K25" s="410">
        <v>11421000</v>
      </c>
      <c r="Q25" s="410">
        <v>400981000</v>
      </c>
      <c r="R25" s="412"/>
      <c r="S25" s="413"/>
      <c r="U25" s="414">
        <f t="shared" si="3"/>
        <v>255906.63440102935</v>
      </c>
      <c r="V25" s="414"/>
      <c r="W25" s="414"/>
      <c r="X25" s="410" t="str">
        <f>X24</f>
        <v>PDD - Análise de Suficiência</v>
      </c>
      <c r="AY25" s="411"/>
    </row>
    <row r="26" spans="1:73" s="410" customFormat="1">
      <c r="A26" s="490">
        <f t="shared" ref="A26:B37" si="4">$A$2</f>
        <v>43373</v>
      </c>
      <c r="B26" s="491">
        <f t="shared" si="4"/>
        <v>43373</v>
      </c>
      <c r="C26" s="409" t="s">
        <v>140</v>
      </c>
      <c r="D26" s="409" t="s">
        <v>131</v>
      </c>
      <c r="E26" s="410" t="s">
        <v>50</v>
      </c>
      <c r="F26" s="410" t="s">
        <v>49</v>
      </c>
      <c r="G26" s="411"/>
      <c r="I26" s="410">
        <v>4188</v>
      </c>
      <c r="J26" s="410">
        <v>9280</v>
      </c>
      <c r="K26" s="410">
        <v>11421000</v>
      </c>
      <c r="Q26" s="410">
        <v>400659000</v>
      </c>
      <c r="R26" s="412"/>
      <c r="S26" s="413"/>
      <c r="U26" s="414">
        <f t="shared" si="3"/>
        <v>357618.00999999879</v>
      </c>
      <c r="V26" s="414"/>
      <c r="W26" s="414"/>
      <c r="X26" s="410" t="str">
        <f>X25</f>
        <v>PDD - Análise de Suficiência</v>
      </c>
      <c r="AY26" s="411"/>
    </row>
    <row r="27" spans="1:73" s="416" customFormat="1">
      <c r="A27" s="492">
        <f t="shared" si="4"/>
        <v>43373</v>
      </c>
      <c r="B27" s="493">
        <f t="shared" si="4"/>
        <v>43373</v>
      </c>
      <c r="C27" s="415" t="s">
        <v>141</v>
      </c>
      <c r="D27" s="415" t="s">
        <v>131</v>
      </c>
      <c r="E27" s="416" t="s">
        <v>50</v>
      </c>
      <c r="F27" s="416" t="s">
        <v>49</v>
      </c>
      <c r="G27" s="417"/>
      <c r="I27" s="416">
        <v>4188</v>
      </c>
      <c r="J27" s="416">
        <v>9282</v>
      </c>
      <c r="K27" s="416">
        <v>11421000</v>
      </c>
      <c r="Q27" s="416">
        <v>400666000</v>
      </c>
      <c r="R27" s="418"/>
      <c r="S27" s="419"/>
      <c r="U27" s="420">
        <f t="shared" ref="U27" si="5">-U37</f>
        <v>-270716.43306000001</v>
      </c>
      <c r="V27" s="420"/>
      <c r="W27" s="420"/>
      <c r="X27" s="410" t="str">
        <f>X26</f>
        <v>PDD - Análise de Suficiência</v>
      </c>
      <c r="AY27" s="417"/>
    </row>
    <row r="28" spans="1:73" s="404" customFormat="1">
      <c r="A28" s="488">
        <f t="shared" si="4"/>
        <v>43373</v>
      </c>
      <c r="B28" s="489">
        <f t="shared" si="4"/>
        <v>43373</v>
      </c>
      <c r="C28" s="403" t="s">
        <v>139</v>
      </c>
      <c r="D28" s="403" t="s">
        <v>131</v>
      </c>
      <c r="E28" s="404" t="s">
        <v>50</v>
      </c>
      <c r="F28" s="404" t="s">
        <v>49</v>
      </c>
      <c r="G28" s="405"/>
      <c r="I28" s="404">
        <v>4168</v>
      </c>
      <c r="J28" s="404">
        <v>9115</v>
      </c>
      <c r="K28" s="404">
        <v>40089000</v>
      </c>
      <c r="Q28" s="404">
        <v>400124000</v>
      </c>
      <c r="R28" s="406"/>
      <c r="S28" s="407"/>
      <c r="T28" s="1295"/>
      <c r="U28" s="408">
        <f>'BAD DEBT 9115'!P12*1000+U10</f>
        <v>-883367.89980656607</v>
      </c>
      <c r="V28" s="408"/>
      <c r="W28" s="408"/>
      <c r="X28" s="404" t="str">
        <f>X19</f>
        <v>PDD - Análise de Suficiência</v>
      </c>
      <c r="AD28" s="404" t="s">
        <v>175</v>
      </c>
      <c r="AE28" s="404" t="s">
        <v>176</v>
      </c>
      <c r="AF28" s="404">
        <v>1077</v>
      </c>
      <c r="AG28" s="404" t="s">
        <v>177</v>
      </c>
      <c r="AH28" s="404">
        <v>10</v>
      </c>
      <c r="AY28" s="405"/>
      <c r="BE28" s="410" t="s">
        <v>175</v>
      </c>
      <c r="BF28" s="410" t="s">
        <v>176</v>
      </c>
      <c r="BG28" s="410">
        <v>1077</v>
      </c>
      <c r="BH28" s="410" t="s">
        <v>177</v>
      </c>
      <c r="BI28" s="410" t="s">
        <v>178</v>
      </c>
      <c r="BJ28" s="410"/>
      <c r="BK28" s="410"/>
      <c r="BL28" s="410"/>
      <c r="BM28" s="410"/>
      <c r="BN28" s="410"/>
      <c r="BO28" s="410"/>
      <c r="BP28" s="410"/>
      <c r="BQ28" s="410"/>
      <c r="BR28" s="410"/>
      <c r="BS28" s="410"/>
      <c r="BT28" s="410"/>
      <c r="BU28" s="410"/>
    </row>
    <row r="29" spans="1:73" s="410" customFormat="1">
      <c r="A29" s="490">
        <f t="shared" si="4"/>
        <v>43373</v>
      </c>
      <c r="B29" s="491">
        <f t="shared" si="4"/>
        <v>43373</v>
      </c>
      <c r="C29" s="409" t="s">
        <v>139</v>
      </c>
      <c r="D29" s="409" t="s">
        <v>131</v>
      </c>
      <c r="E29" s="410" t="s">
        <v>50</v>
      </c>
      <c r="F29" s="410" t="s">
        <v>49</v>
      </c>
      <c r="G29" s="411"/>
      <c r="I29" s="410">
        <v>4168</v>
      </c>
      <c r="J29" s="410">
        <v>9130</v>
      </c>
      <c r="K29" s="410">
        <v>40089000</v>
      </c>
      <c r="Q29" s="410">
        <v>400124000</v>
      </c>
      <c r="R29" s="412"/>
      <c r="S29" s="413"/>
      <c r="U29" s="414">
        <f>'BAD DEBT 9130'!P12*1000+U11</f>
        <v>-0.17000000000422233</v>
      </c>
      <c r="V29" s="414"/>
      <c r="W29" s="414"/>
      <c r="X29" s="410" t="str">
        <f>X19</f>
        <v>PDD - Análise de Suficiência</v>
      </c>
      <c r="AD29" s="410" t="s">
        <v>175</v>
      </c>
      <c r="AE29" s="410" t="s">
        <v>176</v>
      </c>
      <c r="AF29" s="410">
        <v>1077</v>
      </c>
      <c r="AG29" s="410" t="s">
        <v>177</v>
      </c>
      <c r="AH29" s="410">
        <v>10</v>
      </c>
      <c r="AY29" s="411"/>
      <c r="BE29" s="410" t="s">
        <v>175</v>
      </c>
      <c r="BF29" s="410" t="s">
        <v>176</v>
      </c>
      <c r="BG29" s="410">
        <v>1077</v>
      </c>
      <c r="BH29" s="410" t="s">
        <v>177</v>
      </c>
      <c r="BI29" s="410" t="s">
        <v>178</v>
      </c>
    </row>
    <row r="30" spans="1:73" s="410" customFormat="1">
      <c r="A30" s="490">
        <f t="shared" si="4"/>
        <v>43373</v>
      </c>
      <c r="B30" s="491">
        <f t="shared" si="4"/>
        <v>43373</v>
      </c>
      <c r="C30" s="409" t="s">
        <v>139</v>
      </c>
      <c r="D30" s="409" t="s">
        <v>131</v>
      </c>
      <c r="E30" s="410" t="s">
        <v>50</v>
      </c>
      <c r="F30" s="410" t="s">
        <v>49</v>
      </c>
      <c r="G30" s="411"/>
      <c r="I30" s="410">
        <v>4168</v>
      </c>
      <c r="J30" s="410">
        <v>9280</v>
      </c>
      <c r="K30" s="410">
        <v>40089000</v>
      </c>
      <c r="Q30" s="410">
        <v>400651000</v>
      </c>
      <c r="R30" s="412"/>
      <c r="S30" s="413"/>
      <c r="U30" s="414">
        <f>('BAD DEBT 4168 9280'!P23*1000+U12)*0.95</f>
        <v>4914512.5432960335</v>
      </c>
      <c r="V30" s="414"/>
      <c r="W30" s="414"/>
      <c r="X30" s="410" t="str">
        <f>X19</f>
        <v>PDD - Análise de Suficiência</v>
      </c>
      <c r="AD30" s="410" t="s">
        <v>175</v>
      </c>
      <c r="AE30" s="410" t="s">
        <v>179</v>
      </c>
      <c r="AF30" s="410">
        <v>1077</v>
      </c>
      <c r="AG30" s="410" t="s">
        <v>177</v>
      </c>
      <c r="AH30" s="410" t="s">
        <v>180</v>
      </c>
      <c r="AY30" s="411"/>
      <c r="BE30" s="410" t="s">
        <v>175</v>
      </c>
      <c r="BF30" s="410" t="s">
        <v>179</v>
      </c>
      <c r="BG30" s="410">
        <v>1077</v>
      </c>
      <c r="BH30" s="410" t="s">
        <v>177</v>
      </c>
      <c r="BI30" s="410" t="s">
        <v>180</v>
      </c>
    </row>
    <row r="31" spans="1:73" s="410" customFormat="1">
      <c r="A31" s="490">
        <f t="shared" si="4"/>
        <v>43373</v>
      </c>
      <c r="B31" s="491">
        <f t="shared" si="4"/>
        <v>43373</v>
      </c>
      <c r="C31" s="409" t="s">
        <v>139</v>
      </c>
      <c r="D31" s="409" t="s">
        <v>131</v>
      </c>
      <c r="E31" s="410" t="s">
        <v>50</v>
      </c>
      <c r="F31" s="410" t="s">
        <v>49</v>
      </c>
      <c r="G31" s="411"/>
      <c r="I31" s="410">
        <v>4168</v>
      </c>
      <c r="J31" s="410">
        <v>9280</v>
      </c>
      <c r="K31" s="410">
        <v>40089000</v>
      </c>
      <c r="Q31" s="410">
        <v>400621000</v>
      </c>
      <c r="R31" s="412"/>
      <c r="S31" s="413"/>
      <c r="U31" s="414">
        <f>('BAD DEBT 4168 9280'!P23*1000+U12)*0.05</f>
        <v>258658.55491031759</v>
      </c>
      <c r="V31" s="414"/>
      <c r="W31" s="414"/>
      <c r="X31" s="410" t="str">
        <f>X21</f>
        <v>PDD - Análise de Suficiência</v>
      </c>
      <c r="AD31" s="410" t="s">
        <v>175</v>
      </c>
      <c r="AE31" s="410" t="s">
        <v>181</v>
      </c>
      <c r="AF31" s="410">
        <v>1077</v>
      </c>
      <c r="AG31" s="410" t="s">
        <v>177</v>
      </c>
      <c r="AH31" s="410" t="s">
        <v>180</v>
      </c>
      <c r="AY31" s="411"/>
      <c r="BE31" s="410" t="s">
        <v>175</v>
      </c>
      <c r="BF31" s="410" t="s">
        <v>181</v>
      </c>
      <c r="BG31" s="410">
        <v>1077</v>
      </c>
      <c r="BH31" s="410" t="s">
        <v>177</v>
      </c>
      <c r="BI31" s="410" t="s">
        <v>180</v>
      </c>
    </row>
    <row r="32" spans="1:73" s="410" customFormat="1">
      <c r="A32" s="490">
        <f t="shared" si="4"/>
        <v>43373</v>
      </c>
      <c r="B32" s="491">
        <f t="shared" si="4"/>
        <v>43373</v>
      </c>
      <c r="C32" s="409" t="s">
        <v>139</v>
      </c>
      <c r="D32" s="409" t="s">
        <v>131</v>
      </c>
      <c r="E32" s="410" t="s">
        <v>50</v>
      </c>
      <c r="F32" s="410" t="s">
        <v>49</v>
      </c>
      <c r="G32" s="411"/>
      <c r="I32" s="410">
        <v>4168</v>
      </c>
      <c r="J32" s="410">
        <v>9282</v>
      </c>
      <c r="K32" s="410">
        <v>40089000</v>
      </c>
      <c r="Q32" s="410">
        <v>400102000</v>
      </c>
      <c r="R32" s="412"/>
      <c r="S32" s="413"/>
      <c r="U32" s="414">
        <f>('BAD DEBT 4168 9282'!P23*1000+U13)*0.5</f>
        <v>-9555292.5965537112</v>
      </c>
      <c r="V32" s="414"/>
      <c r="W32" s="414"/>
      <c r="X32" s="410" t="str">
        <f>X21</f>
        <v>PDD - Análise de Suficiência</v>
      </c>
      <c r="AD32" s="410" t="s">
        <v>175</v>
      </c>
      <c r="AE32" s="410" t="s">
        <v>182</v>
      </c>
      <c r="AF32" s="410">
        <v>1077</v>
      </c>
      <c r="AG32" s="410" t="s">
        <v>177</v>
      </c>
      <c r="AH32" s="410">
        <v>10</v>
      </c>
      <c r="AY32" s="411"/>
      <c r="BE32" s="410" t="s">
        <v>175</v>
      </c>
      <c r="BF32" s="410" t="s">
        <v>182</v>
      </c>
      <c r="BG32" s="410">
        <v>1077</v>
      </c>
      <c r="BH32" s="410" t="s">
        <v>177</v>
      </c>
      <c r="BI32" s="410" t="s">
        <v>178</v>
      </c>
    </row>
    <row r="33" spans="1:61" s="410" customFormat="1">
      <c r="A33" s="490">
        <f t="shared" si="4"/>
        <v>43373</v>
      </c>
      <c r="B33" s="491">
        <f t="shared" si="4"/>
        <v>43373</v>
      </c>
      <c r="C33" s="409" t="s">
        <v>139</v>
      </c>
      <c r="D33" s="409" t="s">
        <v>131</v>
      </c>
      <c r="E33" s="410" t="s">
        <v>50</v>
      </c>
      <c r="F33" s="410" t="s">
        <v>49</v>
      </c>
      <c r="G33" s="411"/>
      <c r="I33" s="410">
        <v>4168</v>
      </c>
      <c r="J33" s="410">
        <v>9282</v>
      </c>
      <c r="K33" s="410">
        <v>40089000</v>
      </c>
      <c r="Q33" s="410">
        <v>400102000</v>
      </c>
      <c r="R33" s="412"/>
      <c r="S33" s="413"/>
      <c r="U33" s="414">
        <f>('BAD DEBT 4168 9282'!P23*1000+U13)*0.5</f>
        <v>-9555292.5965537112</v>
      </c>
      <c r="V33" s="414"/>
      <c r="W33" s="414"/>
      <c r="X33" s="410" t="str">
        <f>X22</f>
        <v>PDD - Análise de Suficiência</v>
      </c>
      <c r="AD33" s="410" t="s">
        <v>175</v>
      </c>
      <c r="AE33" s="410" t="s">
        <v>182</v>
      </c>
      <c r="AF33" s="410">
        <v>1077</v>
      </c>
      <c r="AG33" s="410" t="s">
        <v>177</v>
      </c>
      <c r="AH33" s="410">
        <v>10</v>
      </c>
      <c r="AY33" s="411"/>
      <c r="BE33" s="410" t="s">
        <v>175</v>
      </c>
      <c r="BF33" s="410" t="s">
        <v>183</v>
      </c>
      <c r="BG33" s="410">
        <v>1077</v>
      </c>
      <c r="BH33" s="410" t="s">
        <v>177</v>
      </c>
      <c r="BI33" s="410" t="s">
        <v>178</v>
      </c>
    </row>
    <row r="34" spans="1:61" s="410" customFormat="1">
      <c r="A34" s="490">
        <f t="shared" si="4"/>
        <v>43373</v>
      </c>
      <c r="B34" s="491">
        <f t="shared" si="4"/>
        <v>43373</v>
      </c>
      <c r="C34" s="409" t="s">
        <v>139</v>
      </c>
      <c r="D34" s="409" t="s">
        <v>131</v>
      </c>
      <c r="E34" s="410" t="s">
        <v>50</v>
      </c>
      <c r="F34" s="410" t="s">
        <v>49</v>
      </c>
      <c r="G34" s="411"/>
      <c r="I34" s="410">
        <v>4168</v>
      </c>
      <c r="J34" s="410">
        <v>9290</v>
      </c>
      <c r="K34" s="410">
        <v>40089000</v>
      </c>
      <c r="Q34" s="410">
        <v>400830000</v>
      </c>
      <c r="R34" s="412"/>
      <c r="S34" s="413"/>
      <c r="U34" s="414">
        <f>('BAD DEBT 4168 9290'!P23)*1000+U14</f>
        <v>0</v>
      </c>
      <c r="V34" s="414"/>
      <c r="W34" s="414"/>
      <c r="X34" s="410" t="str">
        <f>X24</f>
        <v>PDD - Análise de Suficiência</v>
      </c>
      <c r="AD34" s="410" t="s">
        <v>175</v>
      </c>
      <c r="AE34" s="410" t="s">
        <v>184</v>
      </c>
      <c r="AF34" s="410">
        <v>1077</v>
      </c>
      <c r="AG34" s="410" t="s">
        <v>177</v>
      </c>
      <c r="AH34" s="410">
        <v>10</v>
      </c>
      <c r="AY34" s="411"/>
      <c r="BE34" s="410" t="s">
        <v>175</v>
      </c>
      <c r="BF34" s="410" t="s">
        <v>184</v>
      </c>
      <c r="BG34" s="410">
        <v>1077</v>
      </c>
      <c r="BH34" s="410" t="s">
        <v>177</v>
      </c>
      <c r="BI34" s="410" t="s">
        <v>178</v>
      </c>
    </row>
    <row r="35" spans="1:61" s="410" customFormat="1">
      <c r="A35" s="490">
        <f t="shared" si="4"/>
        <v>43373</v>
      </c>
      <c r="B35" s="491">
        <f t="shared" si="4"/>
        <v>43373</v>
      </c>
      <c r="C35" s="409" t="s">
        <v>140</v>
      </c>
      <c r="D35" s="409" t="s">
        <v>131</v>
      </c>
      <c r="E35" s="410" t="s">
        <v>50</v>
      </c>
      <c r="F35" s="410" t="s">
        <v>49</v>
      </c>
      <c r="G35" s="411"/>
      <c r="I35" s="410">
        <v>4188</v>
      </c>
      <c r="J35" s="410">
        <v>9117</v>
      </c>
      <c r="K35" s="410">
        <v>40089000</v>
      </c>
      <c r="Q35" s="410">
        <v>400981000</v>
      </c>
      <c r="R35" s="412"/>
      <c r="S35" s="413"/>
      <c r="U35" s="414">
        <f>'BAD DEBT 4188 9117'!P34*1000+U15</f>
        <v>-255906.63440102935</v>
      </c>
      <c r="V35" s="414"/>
      <c r="W35" s="414"/>
      <c r="X35" s="410" t="str">
        <f>X25</f>
        <v>PDD - Análise de Suficiência</v>
      </c>
      <c r="AD35" s="410" t="s">
        <v>175</v>
      </c>
      <c r="AE35" s="410" t="s">
        <v>185</v>
      </c>
      <c r="AF35" s="410">
        <v>6192</v>
      </c>
      <c r="AG35" s="410" t="s">
        <v>177</v>
      </c>
      <c r="AH35" s="410" t="s">
        <v>180</v>
      </c>
      <c r="AY35" s="411"/>
      <c r="BE35" s="410" t="s">
        <v>175</v>
      </c>
      <c r="BF35" s="410" t="s">
        <v>185</v>
      </c>
      <c r="BG35" s="410">
        <v>6192</v>
      </c>
      <c r="BH35" s="410" t="s">
        <v>177</v>
      </c>
      <c r="BI35" s="410" t="s">
        <v>180</v>
      </c>
    </row>
    <row r="36" spans="1:61" s="410" customFormat="1">
      <c r="A36" s="490">
        <f t="shared" si="4"/>
        <v>43373</v>
      </c>
      <c r="B36" s="491">
        <f t="shared" si="4"/>
        <v>43373</v>
      </c>
      <c r="C36" s="409" t="s">
        <v>140</v>
      </c>
      <c r="D36" s="409" t="s">
        <v>131</v>
      </c>
      <c r="E36" s="410" t="s">
        <v>50</v>
      </c>
      <c r="F36" s="410" t="s">
        <v>49</v>
      </c>
      <c r="G36" s="411"/>
      <c r="I36" s="410">
        <v>4188</v>
      </c>
      <c r="J36" s="410">
        <v>9280</v>
      </c>
      <c r="K36" s="410">
        <v>40089000</v>
      </c>
      <c r="Q36" s="410">
        <v>400659000</v>
      </c>
      <c r="R36" s="412"/>
      <c r="S36" s="413"/>
      <c r="U36" s="414">
        <f>'BAD DEBT 4188 9280'!P23*1000+U16</f>
        <v>-357618.00999999879</v>
      </c>
      <c r="V36" s="414"/>
      <c r="W36" s="414"/>
      <c r="X36" s="410" t="str">
        <f>X26</f>
        <v>PDD - Análise de Suficiência</v>
      </c>
      <c r="AD36" s="410" t="s">
        <v>175</v>
      </c>
      <c r="AE36" s="410" t="s">
        <v>186</v>
      </c>
      <c r="AF36" s="410">
        <v>6192</v>
      </c>
      <c r="AG36" s="410" t="s">
        <v>177</v>
      </c>
      <c r="AH36" s="410" t="s">
        <v>180</v>
      </c>
      <c r="AY36" s="411"/>
      <c r="BE36" s="410" t="s">
        <v>175</v>
      </c>
      <c r="BF36" s="410" t="s">
        <v>186</v>
      </c>
      <c r="BG36" s="410">
        <v>6192</v>
      </c>
      <c r="BH36" s="410" t="s">
        <v>177</v>
      </c>
      <c r="BI36" s="410" t="s">
        <v>180</v>
      </c>
    </row>
    <row r="37" spans="1:61" s="410" customFormat="1">
      <c r="A37" s="490">
        <f t="shared" si="4"/>
        <v>43373</v>
      </c>
      <c r="B37" s="491">
        <f t="shared" si="4"/>
        <v>43373</v>
      </c>
      <c r="C37" s="415" t="s">
        <v>141</v>
      </c>
      <c r="D37" s="409" t="s">
        <v>131</v>
      </c>
      <c r="E37" s="410" t="s">
        <v>50</v>
      </c>
      <c r="F37" s="410" t="s">
        <v>49</v>
      </c>
      <c r="G37" s="411"/>
      <c r="I37" s="410">
        <v>4188</v>
      </c>
      <c r="J37" s="410">
        <v>9282</v>
      </c>
      <c r="K37" s="410">
        <v>40089000</v>
      </c>
      <c r="Q37" s="410">
        <v>400666000</v>
      </c>
      <c r="R37" s="412"/>
      <c r="S37" s="413"/>
      <c r="U37" s="414">
        <f>('BAD DEBT 4188 9282'!P23)*1000+U17</f>
        <v>270716.43306000001</v>
      </c>
      <c r="V37" s="414"/>
      <c r="W37" s="414"/>
      <c r="X37" s="410" t="str">
        <f>X27</f>
        <v>PDD - Análise de Suficiência</v>
      </c>
      <c r="AD37" s="410" t="s">
        <v>175</v>
      </c>
      <c r="AE37" s="410" t="s">
        <v>183</v>
      </c>
      <c r="AF37" s="410">
        <v>1077</v>
      </c>
      <c r="AG37" s="410" t="s">
        <v>177</v>
      </c>
      <c r="AH37" s="410">
        <v>10</v>
      </c>
      <c r="AY37" s="411"/>
      <c r="BE37" s="410" t="s">
        <v>175</v>
      </c>
      <c r="BF37" s="410" t="s">
        <v>183</v>
      </c>
      <c r="BG37" s="410">
        <v>1077</v>
      </c>
      <c r="BH37" s="410" t="s">
        <v>177</v>
      </c>
      <c r="BI37" s="410" t="s">
        <v>178</v>
      </c>
    </row>
    <row r="38" spans="1:61">
      <c r="Q38" s="225"/>
      <c r="T38" s="180">
        <v>4169</v>
      </c>
      <c r="U38" s="191">
        <f>U35+U36</f>
        <v>-613524.64440102817</v>
      </c>
      <c r="V38" s="482">
        <f>U38/3.3967</f>
        <v>-180623.73609710252</v>
      </c>
    </row>
    <row r="39" spans="1:61">
      <c r="C39" s="423"/>
      <c r="D39" s="1240"/>
      <c r="E39" s="423"/>
      <c r="F39" s="423"/>
      <c r="G39" s="423"/>
      <c r="H39" s="1240">
        <v>39015974</v>
      </c>
      <c r="I39" s="423"/>
      <c r="J39" s="423"/>
      <c r="K39" s="423"/>
      <c r="L39" s="423"/>
      <c r="M39" s="423"/>
      <c r="N39" s="423"/>
      <c r="O39" s="423"/>
      <c r="P39" s="423"/>
      <c r="Q39" s="1241"/>
      <c r="R39" s="423"/>
      <c r="S39" s="423"/>
      <c r="T39" s="180">
        <v>4168</v>
      </c>
      <c r="U39" s="482">
        <f>SUM(U28:U34)+'BAD DEBT 9115'!N48+'BAD DEBT 4168 9280'!P51</f>
        <v>-14825610.918548778</v>
      </c>
      <c r="V39" s="482">
        <f>U39/3.3967-19963</f>
        <v>-4384673.1358815255</v>
      </c>
      <c r="W39" s="423"/>
      <c r="X39" s="423"/>
      <c r="Y39" s="423"/>
      <c r="Z39" s="423"/>
      <c r="AA39" s="423"/>
      <c r="AB39" s="423"/>
      <c r="AC39" s="423"/>
      <c r="AD39" s="423"/>
      <c r="AE39" s="423"/>
      <c r="AF39" s="423"/>
      <c r="AG39" s="423"/>
      <c r="AH39" s="423"/>
      <c r="AI39" s="423"/>
      <c r="AJ39" s="423"/>
      <c r="AK39" s="423"/>
      <c r="AL39" s="423"/>
      <c r="AM39" s="423"/>
      <c r="AN39" s="423"/>
      <c r="AO39" s="423"/>
      <c r="AP39" s="423"/>
      <c r="AQ39" s="423"/>
      <c r="AR39" s="423"/>
      <c r="AS39" s="423"/>
      <c r="AT39" s="423"/>
      <c r="AU39" s="423"/>
      <c r="AV39" s="423"/>
      <c r="AW39" s="423"/>
      <c r="AX39" s="423"/>
      <c r="AY39" s="423"/>
      <c r="AZ39" s="423"/>
      <c r="BA39" s="423"/>
      <c r="BB39" s="423"/>
      <c r="BC39" s="423"/>
      <c r="BD39" s="423"/>
      <c r="BE39" s="423"/>
    </row>
    <row r="40" spans="1:61">
      <c r="C40" s="423"/>
      <c r="D40" s="1240"/>
      <c r="E40" s="423"/>
      <c r="F40" s="423"/>
      <c r="G40" s="423"/>
      <c r="H40" s="1310">
        <v>12023942.869999999</v>
      </c>
      <c r="I40" s="423"/>
      <c r="J40" s="423"/>
      <c r="K40" s="423"/>
      <c r="L40" s="423"/>
      <c r="M40" s="423"/>
      <c r="N40" s="423"/>
      <c r="O40" s="423"/>
      <c r="P40" s="423"/>
      <c r="Q40" s="1241"/>
      <c r="R40" s="423"/>
      <c r="S40" s="423"/>
      <c r="T40" s="180">
        <v>4188</v>
      </c>
      <c r="U40" s="191">
        <f>U37</f>
        <v>270716.43306000001</v>
      </c>
      <c r="V40" s="482">
        <f>U40/3.3967</f>
        <v>79699.836034975131</v>
      </c>
      <c r="W40" s="423"/>
      <c r="X40" s="1241"/>
      <c r="Y40" s="423"/>
      <c r="Z40" s="423"/>
      <c r="AA40" s="423"/>
      <c r="AB40" s="423"/>
      <c r="AC40" s="423"/>
      <c r="AD40" s="423"/>
      <c r="AE40" s="423"/>
      <c r="AF40" s="423"/>
      <c r="AG40" s="423"/>
      <c r="AH40" s="423"/>
      <c r="AI40" s="423"/>
      <c r="AJ40" s="423"/>
      <c r="AK40" s="423"/>
      <c r="AL40" s="423"/>
      <c r="AM40" s="423"/>
      <c r="AN40" s="423"/>
      <c r="AO40" s="423"/>
      <c r="AP40" s="423"/>
      <c r="AQ40" s="423"/>
      <c r="AR40" s="423"/>
      <c r="AS40" s="423"/>
      <c r="AT40" s="423"/>
      <c r="AU40" s="423"/>
      <c r="AV40" s="423"/>
      <c r="AW40" s="423"/>
      <c r="AX40" s="423"/>
      <c r="AY40" s="423"/>
      <c r="AZ40" s="423"/>
      <c r="BA40" s="423"/>
      <c r="BB40" s="423"/>
      <c r="BC40" s="423"/>
      <c r="BD40" s="423"/>
      <c r="BE40" s="423"/>
    </row>
    <row r="41" spans="1:61">
      <c r="C41" s="423"/>
      <c r="D41" s="1240"/>
      <c r="E41" s="423"/>
      <c r="F41" s="423"/>
      <c r="G41" s="423"/>
      <c r="H41" s="1311">
        <f>H39/H40</f>
        <v>3.2448569010873887</v>
      </c>
      <c r="I41" s="423"/>
      <c r="J41" s="423"/>
      <c r="K41" s="423"/>
      <c r="L41" s="423"/>
      <c r="M41" s="423"/>
      <c r="N41" s="423"/>
      <c r="O41" s="423"/>
      <c r="P41" s="423"/>
      <c r="Q41" s="1241"/>
      <c r="R41" s="423"/>
      <c r="S41" s="423"/>
      <c r="T41" s="1266" t="s">
        <v>199</v>
      </c>
      <c r="U41" s="1267">
        <f>SUM(INPUT!M26:N26)</f>
        <v>4828754.1899999995</v>
      </c>
      <c r="V41" s="1270">
        <f>U41/3.3967</f>
        <v>1421601.6103865516</v>
      </c>
      <c r="W41" s="423"/>
      <c r="X41" s="1241"/>
      <c r="Y41" s="423"/>
      <c r="Z41" s="423"/>
      <c r="AA41" s="423"/>
      <c r="AB41" s="423"/>
      <c r="AC41" s="423"/>
      <c r="AD41" s="423"/>
      <c r="AE41" s="423"/>
      <c r="AF41" s="423"/>
      <c r="AG41" s="423"/>
      <c r="AH41" s="423"/>
      <c r="AI41" s="423"/>
      <c r="AJ41" s="423"/>
      <c r="AK41" s="423"/>
      <c r="AL41" s="423"/>
      <c r="AM41" s="423"/>
      <c r="AN41" s="423"/>
      <c r="AO41" s="423"/>
      <c r="AP41" s="423"/>
      <c r="AQ41" s="423"/>
      <c r="AR41" s="423"/>
      <c r="AS41" s="423"/>
      <c r="AT41" s="423"/>
      <c r="AU41" s="423"/>
      <c r="AV41" s="423"/>
      <c r="AW41" s="423"/>
      <c r="AX41" s="423"/>
      <c r="AY41" s="423"/>
      <c r="AZ41" s="423"/>
      <c r="BA41" s="423"/>
      <c r="BB41" s="423"/>
      <c r="BC41" s="423"/>
      <c r="BD41" s="423"/>
      <c r="BE41" s="423"/>
    </row>
    <row r="42" spans="1:61" ht="15">
      <c r="C42" s="423"/>
      <c r="D42" s="1240"/>
      <c r="E42" s="423"/>
      <c r="F42" s="423"/>
      <c r="G42" s="423"/>
      <c r="H42" s="423"/>
      <c r="I42" s="423"/>
      <c r="J42" s="423"/>
      <c r="K42" s="423"/>
      <c r="L42" s="423"/>
      <c r="M42" s="423"/>
      <c r="N42" s="423"/>
      <c r="O42" s="423"/>
      <c r="P42"/>
      <c r="Q42"/>
      <c r="R42"/>
      <c r="S42"/>
      <c r="T42" s="1268" t="s">
        <v>198</v>
      </c>
      <c r="U42" s="1269">
        <f>SUM(U38:U41)</f>
        <v>-10339664.939889807</v>
      </c>
      <c r="V42" s="1269">
        <f>SUM(V38:V41)</f>
        <v>-3063995.4255571011</v>
      </c>
      <c r="W42"/>
      <c r="X42" s="6"/>
      <c r="Y42" s="423"/>
      <c r="Z42" s="423"/>
      <c r="AA42" s="423"/>
      <c r="AB42" s="423"/>
      <c r="AC42" s="423"/>
      <c r="AD42" s="423"/>
      <c r="AE42" s="423"/>
      <c r="AF42" s="423"/>
      <c r="AG42" s="423"/>
      <c r="AH42" s="423"/>
      <c r="AI42" s="423"/>
      <c r="AJ42" s="423"/>
      <c r="AK42" s="423"/>
      <c r="AL42" s="423"/>
      <c r="AM42" s="423"/>
      <c r="AN42" s="423"/>
      <c r="AO42" s="423"/>
      <c r="AP42" s="423"/>
      <c r="AQ42" s="423"/>
      <c r="AR42" s="423"/>
      <c r="AS42" s="423"/>
      <c r="AT42" s="423"/>
      <c r="AU42" s="423"/>
      <c r="AV42" s="423"/>
      <c r="AW42" s="423"/>
      <c r="AX42" s="423"/>
      <c r="AY42" s="423"/>
      <c r="AZ42" s="423"/>
      <c r="BA42" s="423"/>
      <c r="BB42" s="423"/>
      <c r="BC42" s="423"/>
      <c r="BD42" s="423"/>
      <c r="BE42" s="423"/>
    </row>
    <row r="43" spans="1:61">
      <c r="C43" s="423"/>
      <c r="D43" s="423"/>
      <c r="E43" s="423"/>
      <c r="F43" s="423"/>
      <c r="G43" s="423"/>
      <c r="H43" s="423"/>
      <c r="I43" s="423"/>
      <c r="J43" s="423"/>
      <c r="K43" s="423"/>
      <c r="L43" s="423"/>
      <c r="M43" s="423"/>
      <c r="N43" s="423"/>
      <c r="O43" s="423"/>
      <c r="P43" s="1469" t="s">
        <v>187</v>
      </c>
      <c r="Q43" s="1469"/>
      <c r="R43" s="1469"/>
      <c r="S43" s="1469"/>
      <c r="T43" s="1469"/>
      <c r="U43" s="1469"/>
      <c r="V43" s="1469"/>
      <c r="W43" s="1469"/>
      <c r="X43" s="1469"/>
      <c r="Y43" s="423"/>
      <c r="Z43" s="423"/>
      <c r="AA43" s="423"/>
      <c r="AB43" s="423"/>
      <c r="AC43" s="423"/>
      <c r="AD43" s="423"/>
      <c r="AE43" s="423"/>
      <c r="AF43" s="423"/>
      <c r="AG43" s="423"/>
      <c r="AH43" s="423"/>
      <c r="AI43" s="423"/>
      <c r="AJ43" s="423"/>
      <c r="AK43" s="423"/>
      <c r="AL43" s="423"/>
      <c r="AM43" s="423"/>
      <c r="AN43" s="423"/>
      <c r="AO43" s="423"/>
      <c r="AP43" s="423"/>
      <c r="AQ43" s="423"/>
      <c r="AR43" s="423"/>
      <c r="AS43" s="423"/>
      <c r="AT43" s="423"/>
      <c r="AU43" s="423"/>
      <c r="AV43" s="423"/>
      <c r="AW43" s="423"/>
      <c r="AX43" s="423"/>
      <c r="AY43" s="423"/>
      <c r="AZ43" s="423"/>
      <c r="BA43" s="423"/>
      <c r="BB43" s="423"/>
      <c r="BC43" s="423"/>
      <c r="BD43" s="423"/>
      <c r="BE43" s="423"/>
    </row>
    <row r="44" spans="1:61">
      <c r="C44" s="423"/>
      <c r="D44" s="423"/>
      <c r="E44" s="423"/>
      <c r="F44" s="423"/>
      <c r="G44" s="423"/>
      <c r="H44" s="423"/>
      <c r="I44" s="423"/>
      <c r="J44" s="423"/>
      <c r="K44" s="423"/>
      <c r="L44" s="423"/>
      <c r="M44" s="423"/>
      <c r="N44" s="423"/>
      <c r="O44" s="423"/>
      <c r="P44" s="1246" t="s">
        <v>95</v>
      </c>
      <c r="Q44" s="1246" t="s">
        <v>94</v>
      </c>
      <c r="R44" s="1246" t="s">
        <v>76</v>
      </c>
      <c r="S44" s="1246" t="s">
        <v>75</v>
      </c>
      <c r="T44" s="1246" t="s">
        <v>74</v>
      </c>
      <c r="U44" s="1246" t="s">
        <v>73</v>
      </c>
      <c r="V44" s="1246" t="s">
        <v>72</v>
      </c>
      <c r="W44" s="1246" t="s">
        <v>188</v>
      </c>
      <c r="X44" s="1246" t="s">
        <v>87</v>
      </c>
      <c r="Y44" s="423"/>
      <c r="Z44" s="423"/>
      <c r="AA44" s="423"/>
      <c r="AB44" s="423"/>
      <c r="AC44" s="423"/>
      <c r="AD44" s="423"/>
      <c r="AE44" s="423"/>
      <c r="AF44" s="423"/>
      <c r="AG44" s="423"/>
      <c r="AH44" s="423"/>
      <c r="AI44" s="423"/>
      <c r="AJ44" s="423"/>
      <c r="AK44" s="423"/>
      <c r="AL44" s="423"/>
      <c r="AM44" s="423"/>
      <c r="AN44" s="423"/>
      <c r="AO44" s="423"/>
      <c r="AP44" s="423"/>
      <c r="AQ44" s="423"/>
      <c r="AR44" s="423"/>
      <c r="AS44" s="423"/>
      <c r="AT44" s="423"/>
      <c r="AU44" s="423"/>
      <c r="AV44" s="423"/>
      <c r="AW44" s="423"/>
      <c r="AX44" s="423"/>
      <c r="AY44" s="423"/>
      <c r="AZ44" s="423"/>
      <c r="BA44" s="423"/>
      <c r="BB44" s="423"/>
      <c r="BC44" s="423"/>
      <c r="BD44" s="423"/>
      <c r="BE44" s="423"/>
    </row>
    <row r="45" spans="1:61">
      <c r="C45" s="423"/>
      <c r="D45" s="423"/>
      <c r="E45" s="423"/>
      <c r="F45" s="423"/>
      <c r="G45" s="423"/>
      <c r="H45" s="423"/>
      <c r="I45" s="423"/>
      <c r="J45" s="423"/>
      <c r="K45" s="423"/>
      <c r="L45" s="423"/>
      <c r="M45" s="423"/>
      <c r="N45" s="423"/>
      <c r="O45" s="423"/>
      <c r="P45" s="1247">
        <v>4188</v>
      </c>
      <c r="Q45" s="1247">
        <v>9280</v>
      </c>
      <c r="R45" s="1247" t="s">
        <v>175</v>
      </c>
      <c r="S45" s="1247" t="s">
        <v>183</v>
      </c>
      <c r="T45" s="1247">
        <v>1077</v>
      </c>
      <c r="U45" s="1247" t="s">
        <v>177</v>
      </c>
      <c r="V45" s="1247">
        <v>10</v>
      </c>
      <c r="W45" s="1248" t="s">
        <v>162</v>
      </c>
      <c r="X45" s="1247">
        <v>400666000</v>
      </c>
      <c r="Y45" s="423"/>
      <c r="Z45" s="423"/>
      <c r="AA45" s="423"/>
      <c r="AB45" s="423"/>
      <c r="AC45" s="423"/>
      <c r="AD45" s="423"/>
      <c r="AE45" s="423"/>
      <c r="AF45" s="423"/>
      <c r="AG45" s="423"/>
      <c r="AH45" s="423"/>
      <c r="AI45" s="423"/>
      <c r="AJ45" s="423"/>
      <c r="AK45" s="423"/>
      <c r="AL45" s="423"/>
      <c r="AM45" s="423"/>
      <c r="AN45" s="423"/>
      <c r="AO45" s="423"/>
      <c r="AP45" s="423"/>
      <c r="AQ45" s="423"/>
      <c r="AR45" s="423"/>
      <c r="AS45" s="423"/>
      <c r="AT45" s="423"/>
      <c r="AU45" s="423"/>
      <c r="AV45" s="423"/>
      <c r="AW45" s="423"/>
      <c r="AX45" s="423"/>
      <c r="AY45" s="423"/>
      <c r="AZ45" s="423"/>
      <c r="BA45" s="423"/>
      <c r="BB45" s="423"/>
      <c r="BC45" s="423"/>
      <c r="BD45" s="423"/>
      <c r="BE45" s="423"/>
    </row>
    <row r="46" spans="1:61"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3"/>
      <c r="N46" s="423"/>
      <c r="O46" s="423"/>
      <c r="P46" s="1247">
        <v>4169</v>
      </c>
      <c r="Q46" s="1247">
        <v>9117</v>
      </c>
      <c r="R46" s="1247" t="s">
        <v>175</v>
      </c>
      <c r="S46" s="1247" t="s">
        <v>185</v>
      </c>
      <c r="T46" s="1247">
        <v>6192</v>
      </c>
      <c r="U46" s="1247" t="s">
        <v>177</v>
      </c>
      <c r="V46" s="1247" t="s">
        <v>180</v>
      </c>
      <c r="W46" s="1248" t="s">
        <v>189</v>
      </c>
      <c r="X46" s="1247">
        <v>400981000</v>
      </c>
      <c r="Y46" s="423"/>
      <c r="Z46" s="423"/>
      <c r="AA46" s="423"/>
      <c r="AB46" s="423"/>
      <c r="AC46" s="423"/>
      <c r="AD46" s="423"/>
      <c r="AE46" s="423"/>
      <c r="AF46" s="423"/>
      <c r="AG46" s="423"/>
      <c r="AH46" s="423"/>
      <c r="AI46" s="423"/>
      <c r="AJ46" s="423"/>
      <c r="AK46" s="423"/>
      <c r="AL46" s="423"/>
      <c r="AM46" s="423"/>
      <c r="AN46" s="423"/>
      <c r="AO46" s="423"/>
      <c r="AP46" s="423"/>
      <c r="AQ46" s="423"/>
      <c r="AR46" s="423"/>
      <c r="AS46" s="423"/>
      <c r="AT46" s="423"/>
      <c r="AU46" s="423"/>
      <c r="AV46" s="423"/>
      <c r="AW46" s="423"/>
      <c r="AX46" s="423"/>
      <c r="AY46" s="423"/>
      <c r="AZ46" s="423"/>
      <c r="BA46" s="423"/>
      <c r="BB46" s="423"/>
      <c r="BC46" s="423"/>
      <c r="BD46" s="423"/>
      <c r="BE46" s="423"/>
    </row>
    <row r="47" spans="1:61">
      <c r="C47" s="423"/>
      <c r="D47" s="1240"/>
      <c r="E47" s="423"/>
      <c r="F47" s="423"/>
      <c r="G47" s="423"/>
      <c r="H47" s="423"/>
      <c r="I47" s="423"/>
      <c r="J47" s="423"/>
      <c r="K47" s="423"/>
      <c r="L47" s="423"/>
      <c r="M47" s="423"/>
      <c r="N47" s="423"/>
      <c r="O47" s="423"/>
      <c r="P47" s="1247">
        <v>4169</v>
      </c>
      <c r="Q47" s="1247">
        <v>9280</v>
      </c>
      <c r="R47" s="1247" t="s">
        <v>175</v>
      </c>
      <c r="S47" s="1247" t="s">
        <v>186</v>
      </c>
      <c r="T47" s="1247">
        <v>6192</v>
      </c>
      <c r="U47" s="1247" t="s">
        <v>177</v>
      </c>
      <c r="V47" s="1247" t="s">
        <v>180</v>
      </c>
      <c r="W47" s="1248" t="s">
        <v>190</v>
      </c>
      <c r="X47" s="1247">
        <v>400659000</v>
      </c>
      <c r="Y47" s="423"/>
      <c r="Z47" s="423"/>
      <c r="AA47" s="423"/>
      <c r="AB47" s="423"/>
      <c r="AC47" s="423"/>
      <c r="AD47" s="423"/>
      <c r="AE47" s="423"/>
      <c r="AF47" s="423"/>
      <c r="AG47" s="423"/>
      <c r="AH47" s="423"/>
      <c r="AI47" s="423"/>
      <c r="AJ47" s="423"/>
      <c r="AK47" s="423"/>
      <c r="AL47" s="423"/>
      <c r="AM47" s="423"/>
      <c r="AN47" s="423"/>
      <c r="AO47" s="423"/>
      <c r="AP47" s="423"/>
      <c r="AQ47" s="423"/>
      <c r="AR47" s="423"/>
      <c r="AS47" s="423"/>
      <c r="AT47" s="423"/>
      <c r="AU47" s="423"/>
      <c r="AV47" s="423"/>
      <c r="AW47" s="423"/>
      <c r="AX47" s="423"/>
      <c r="AY47" s="423"/>
      <c r="AZ47" s="423"/>
      <c r="BA47" s="423"/>
      <c r="BB47" s="423"/>
      <c r="BC47" s="423"/>
      <c r="BD47" s="423"/>
      <c r="BE47" s="423"/>
    </row>
    <row r="48" spans="1:61">
      <c r="C48" s="423"/>
      <c r="D48" s="1240"/>
      <c r="E48" s="423"/>
      <c r="F48" s="423"/>
      <c r="G48" s="423"/>
      <c r="H48" s="423"/>
      <c r="I48" s="423"/>
      <c r="J48" s="423"/>
      <c r="K48" s="423"/>
      <c r="L48" s="423"/>
      <c r="M48" s="423"/>
      <c r="N48" s="423"/>
      <c r="O48" s="423"/>
      <c r="P48" s="1247">
        <v>4168</v>
      </c>
      <c r="Q48" s="1247">
        <v>9115</v>
      </c>
      <c r="R48" s="1247" t="s">
        <v>175</v>
      </c>
      <c r="S48" s="1247" t="s">
        <v>176</v>
      </c>
      <c r="T48" s="1247">
        <v>1077</v>
      </c>
      <c r="U48" s="1247" t="s">
        <v>177</v>
      </c>
      <c r="V48" s="1247">
        <v>10</v>
      </c>
      <c r="W48" s="1248" t="s">
        <v>191</v>
      </c>
      <c r="X48" s="1247">
        <v>400124000</v>
      </c>
      <c r="Y48" s="423"/>
      <c r="Z48" s="423"/>
      <c r="AA48" s="423"/>
      <c r="AB48" s="423"/>
      <c r="AC48" s="423"/>
      <c r="AD48" s="423"/>
      <c r="AE48" s="423"/>
      <c r="AF48" s="423"/>
      <c r="AG48" s="423"/>
      <c r="AH48" s="423"/>
      <c r="AI48" s="423"/>
      <c r="AJ48" s="423"/>
      <c r="AK48" s="423"/>
      <c r="AL48" s="423"/>
      <c r="AM48" s="423"/>
      <c r="AN48" s="423"/>
      <c r="AO48" s="423"/>
      <c r="AP48" s="423"/>
      <c r="AQ48" s="423"/>
      <c r="AR48" s="423"/>
      <c r="AS48" s="423"/>
      <c r="AT48" s="423"/>
      <c r="AU48" s="423"/>
      <c r="AV48" s="423"/>
      <c r="AW48" s="423"/>
      <c r="AX48" s="423"/>
      <c r="AY48" s="423"/>
      <c r="AZ48" s="423"/>
      <c r="BA48" s="423"/>
      <c r="BB48" s="423"/>
      <c r="BC48" s="423"/>
      <c r="BD48" s="423"/>
      <c r="BE48" s="423"/>
    </row>
    <row r="49" spans="3:57">
      <c r="C49" s="423"/>
      <c r="D49" s="1240"/>
      <c r="E49" s="423"/>
      <c r="F49" s="423"/>
      <c r="G49" s="423"/>
      <c r="H49" s="423"/>
      <c r="I49" s="423"/>
      <c r="J49" s="423"/>
      <c r="K49" s="423"/>
      <c r="L49" s="423"/>
      <c r="M49" s="423"/>
      <c r="N49" s="423"/>
      <c r="O49" s="423"/>
      <c r="P49" s="1247">
        <v>4168</v>
      </c>
      <c r="Q49" s="1247">
        <v>9130</v>
      </c>
      <c r="R49" s="1247" t="s">
        <v>175</v>
      </c>
      <c r="S49" s="1247" t="s">
        <v>176</v>
      </c>
      <c r="T49" s="1247">
        <v>1077</v>
      </c>
      <c r="U49" s="1247" t="s">
        <v>177</v>
      </c>
      <c r="V49" s="1247">
        <v>10</v>
      </c>
      <c r="W49" s="1248" t="s">
        <v>191</v>
      </c>
      <c r="X49" s="1247">
        <v>400124000</v>
      </c>
      <c r="Y49" s="423"/>
      <c r="Z49" s="423"/>
      <c r="AA49" s="423"/>
      <c r="AB49" s="423"/>
      <c r="AC49" s="423"/>
      <c r="AD49" s="423"/>
      <c r="AE49" s="423"/>
      <c r="AF49" s="423"/>
      <c r="AG49" s="423"/>
      <c r="AH49" s="423"/>
      <c r="AI49" s="423"/>
      <c r="AJ49" s="423"/>
      <c r="AK49" s="423"/>
      <c r="AL49" s="423"/>
      <c r="AM49" s="423"/>
      <c r="AN49" s="423"/>
      <c r="AO49" s="423"/>
      <c r="AP49" s="423"/>
      <c r="AQ49" s="423"/>
      <c r="AR49" s="423"/>
      <c r="AS49" s="423"/>
      <c r="AT49" s="423"/>
      <c r="AU49" s="423"/>
      <c r="AV49" s="423"/>
      <c r="AW49" s="423"/>
      <c r="AX49" s="423"/>
      <c r="AY49" s="423"/>
      <c r="AZ49" s="423"/>
      <c r="BA49" s="423"/>
      <c r="BB49" s="423"/>
      <c r="BC49" s="423"/>
      <c r="BD49" s="423"/>
      <c r="BE49" s="423"/>
    </row>
    <row r="50" spans="3:57">
      <c r="C50" s="423"/>
      <c r="D50" s="1240"/>
      <c r="E50" s="423"/>
      <c r="F50" s="423"/>
      <c r="G50" s="423"/>
      <c r="H50" s="423"/>
      <c r="I50" s="423"/>
      <c r="J50" s="423"/>
      <c r="K50" s="423"/>
      <c r="L50" s="423"/>
      <c r="M50" s="423"/>
      <c r="N50" s="423"/>
      <c r="O50" s="423"/>
      <c r="P50" s="1247">
        <v>4168</v>
      </c>
      <c r="Q50" s="1247">
        <v>9280</v>
      </c>
      <c r="R50" s="1247" t="s">
        <v>175</v>
      </c>
      <c r="S50" s="1247" t="s">
        <v>179</v>
      </c>
      <c r="T50" s="1247">
        <v>1077</v>
      </c>
      <c r="U50" s="1247" t="s">
        <v>177</v>
      </c>
      <c r="V50" s="1247" t="s">
        <v>180</v>
      </c>
      <c r="W50" s="1248" t="s">
        <v>192</v>
      </c>
      <c r="X50" s="1247">
        <v>400651000</v>
      </c>
      <c r="Y50" s="423"/>
      <c r="Z50" s="423"/>
      <c r="AA50" s="423"/>
      <c r="AB50" s="423"/>
      <c r="AC50" s="423"/>
      <c r="AD50" s="423"/>
      <c r="AE50" s="423"/>
      <c r="AF50" s="423"/>
      <c r="AG50" s="423"/>
      <c r="AH50" s="423"/>
      <c r="AI50" s="423"/>
      <c r="AJ50" s="423"/>
      <c r="AK50" s="423"/>
      <c r="AL50" s="423"/>
      <c r="AM50" s="423"/>
      <c r="AN50" s="423"/>
      <c r="AO50" s="423"/>
      <c r="AP50" s="423"/>
      <c r="AQ50" s="423"/>
      <c r="AR50" s="423"/>
      <c r="AS50" s="423"/>
      <c r="AT50" s="423"/>
      <c r="AU50" s="423"/>
      <c r="AV50" s="423"/>
      <c r="AW50" s="423"/>
      <c r="AX50" s="423"/>
      <c r="AY50" s="423"/>
      <c r="AZ50" s="423"/>
      <c r="BA50" s="423"/>
      <c r="BB50" s="423"/>
      <c r="BC50" s="423"/>
      <c r="BD50" s="423"/>
      <c r="BE50" s="423"/>
    </row>
    <row r="51" spans="3:57">
      <c r="C51" s="423"/>
      <c r="D51" s="423"/>
      <c r="E51" s="423"/>
      <c r="F51" s="423"/>
      <c r="G51" s="423"/>
      <c r="H51" s="423"/>
      <c r="I51" s="423"/>
      <c r="J51" s="423"/>
      <c r="K51" s="423"/>
      <c r="L51" s="423"/>
      <c r="M51" s="423"/>
      <c r="N51" s="423"/>
      <c r="O51" s="423"/>
      <c r="P51" s="1247">
        <v>4168</v>
      </c>
      <c r="Q51" s="1247">
        <v>9280</v>
      </c>
      <c r="R51" s="1247" t="s">
        <v>175</v>
      </c>
      <c r="S51" s="1247" t="s">
        <v>181</v>
      </c>
      <c r="T51" s="1247">
        <v>1077</v>
      </c>
      <c r="U51" s="1247" t="s">
        <v>177</v>
      </c>
      <c r="V51" s="1247" t="s">
        <v>180</v>
      </c>
      <c r="W51" s="1248" t="s">
        <v>193</v>
      </c>
      <c r="X51" s="1247">
        <v>400621000</v>
      </c>
      <c r="Y51" s="423"/>
      <c r="Z51" s="423"/>
      <c r="AA51" s="423"/>
      <c r="AB51" s="423"/>
      <c r="AC51" s="423"/>
      <c r="AD51" s="423"/>
      <c r="AE51" s="423"/>
      <c r="AF51" s="423"/>
      <c r="AG51" s="423"/>
      <c r="AH51" s="423"/>
      <c r="AI51" s="423"/>
      <c r="AJ51" s="423"/>
      <c r="AK51" s="423"/>
      <c r="AL51" s="423"/>
      <c r="AM51" s="423"/>
      <c r="AN51" s="423"/>
      <c r="AO51" s="423"/>
      <c r="AP51" s="423"/>
      <c r="AQ51" s="423"/>
      <c r="AR51" s="423"/>
      <c r="AS51" s="423"/>
      <c r="AT51" s="423"/>
      <c r="AU51" s="423"/>
      <c r="AV51" s="423"/>
      <c r="AW51" s="423"/>
      <c r="AX51" s="423"/>
      <c r="AY51" s="423"/>
      <c r="AZ51" s="423"/>
      <c r="BA51" s="423"/>
      <c r="BB51" s="423"/>
      <c r="BC51" s="423"/>
      <c r="BD51" s="423"/>
      <c r="BE51" s="423"/>
    </row>
    <row r="52" spans="3:57">
      <c r="C52" s="423"/>
      <c r="D52" s="423"/>
      <c r="E52" s="423"/>
      <c r="F52" s="423"/>
      <c r="G52" s="423"/>
      <c r="H52" s="423"/>
      <c r="I52" s="423"/>
      <c r="J52" s="423"/>
      <c r="K52" s="423"/>
      <c r="L52" s="423"/>
      <c r="M52" s="423"/>
      <c r="N52" s="423"/>
      <c r="O52" s="423"/>
      <c r="P52" s="1247">
        <v>4168</v>
      </c>
      <c r="Q52" s="1247">
        <v>9290</v>
      </c>
      <c r="R52" s="1247" t="s">
        <v>175</v>
      </c>
      <c r="S52" s="1247" t="s">
        <v>184</v>
      </c>
      <c r="T52" s="1247">
        <v>1077</v>
      </c>
      <c r="U52" s="1247" t="s">
        <v>177</v>
      </c>
      <c r="V52" s="1247">
        <v>10</v>
      </c>
      <c r="W52" s="1248" t="s">
        <v>194</v>
      </c>
      <c r="X52" s="1247">
        <v>400830000</v>
      </c>
      <c r="Y52" s="423"/>
      <c r="Z52" s="423"/>
      <c r="AA52" s="423"/>
      <c r="AB52" s="423"/>
      <c r="AC52" s="423"/>
      <c r="AD52" s="423"/>
      <c r="AE52" s="423"/>
      <c r="AF52" s="423"/>
      <c r="AG52" s="423"/>
      <c r="AH52" s="423"/>
      <c r="AI52" s="423"/>
      <c r="AJ52" s="423"/>
      <c r="AK52" s="423"/>
      <c r="AL52" s="423"/>
      <c r="AM52" s="423"/>
      <c r="AN52" s="423"/>
      <c r="AO52" s="423"/>
      <c r="AP52" s="423"/>
      <c r="AQ52" s="423"/>
      <c r="AR52" s="423"/>
      <c r="AS52" s="423"/>
      <c r="AT52" s="423"/>
      <c r="AU52" s="423"/>
      <c r="AV52" s="423"/>
      <c r="AW52" s="423"/>
      <c r="AX52" s="423"/>
      <c r="AY52" s="423"/>
      <c r="AZ52" s="423"/>
      <c r="BA52" s="423"/>
      <c r="BB52" s="423"/>
      <c r="BC52" s="423"/>
      <c r="BD52" s="423"/>
      <c r="BE52" s="423"/>
    </row>
    <row r="53" spans="3:57">
      <c r="P53" s="1247">
        <v>4168</v>
      </c>
      <c r="Q53" s="1247">
        <v>9282</v>
      </c>
      <c r="R53" s="1247" t="s">
        <v>175</v>
      </c>
      <c r="S53" s="1247" t="s">
        <v>182</v>
      </c>
      <c r="T53" s="1247">
        <v>1077</v>
      </c>
      <c r="U53" s="1247" t="s">
        <v>177</v>
      </c>
      <c r="V53" s="1247">
        <v>10</v>
      </c>
      <c r="W53" s="1248" t="s">
        <v>195</v>
      </c>
      <c r="X53" s="1247">
        <v>400102000</v>
      </c>
    </row>
    <row r="54" spans="3:57">
      <c r="P54" s="1247">
        <v>4168</v>
      </c>
      <c r="Q54" s="1247">
        <v>9282</v>
      </c>
      <c r="R54" s="1247" t="s">
        <v>175</v>
      </c>
      <c r="S54" s="1247" t="s">
        <v>196</v>
      </c>
      <c r="T54" s="1247">
        <v>1183</v>
      </c>
      <c r="U54" s="1247" t="s">
        <v>177</v>
      </c>
      <c r="V54" s="1247" t="s">
        <v>180</v>
      </c>
      <c r="W54" s="1248" t="s">
        <v>197</v>
      </c>
      <c r="X54" s="1247">
        <v>400651000</v>
      </c>
    </row>
    <row r="61" spans="3:57">
      <c r="I61" s="1236">
        <v>1728086.23</v>
      </c>
    </row>
  </sheetData>
  <sortState ref="A27:AY34">
    <sortCondition ref="I27:I34"/>
    <sortCondition ref="J27:J34"/>
  </sortState>
  <mergeCells count="1">
    <mergeCell ref="P43:X4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B1:S57"/>
  <sheetViews>
    <sheetView showGridLines="0" showRuler="0" showWhiteSpace="0" view="pageLayout" topLeftCell="E14" zoomScale="85" zoomScaleNormal="90" zoomScalePageLayoutView="85" workbookViewId="0">
      <selection activeCell="R36" sqref="R36"/>
    </sheetView>
  </sheetViews>
  <sheetFormatPr defaultRowHeight="12.75"/>
  <cols>
    <col min="1" max="1" width="3" style="30" customWidth="1"/>
    <col min="2" max="2" width="3.85546875" style="30" customWidth="1"/>
    <col min="3" max="3" width="5.7109375" style="30" customWidth="1"/>
    <col min="4" max="4" width="10.140625" style="30" bestFit="1" customWidth="1"/>
    <col min="5" max="5" width="25.140625" style="30" bestFit="1" customWidth="1"/>
    <col min="6" max="7" width="11" style="30" bestFit="1" customWidth="1"/>
    <col min="8" max="8" width="11.5703125" style="30" customWidth="1"/>
    <col min="9" max="9" width="13.140625" style="30" bestFit="1" customWidth="1"/>
    <col min="10" max="10" width="16.42578125" style="30" bestFit="1" customWidth="1"/>
    <col min="11" max="11" width="9.5703125" style="30" bestFit="1" customWidth="1"/>
    <col min="12" max="12" width="15.85546875" style="30" bestFit="1" customWidth="1"/>
    <col min="13" max="13" width="15.7109375" style="30" bestFit="1" customWidth="1"/>
    <col min="14" max="15" width="15.7109375" style="30" customWidth="1"/>
    <col min="16" max="16" width="14.7109375" style="30" bestFit="1" customWidth="1"/>
    <col min="17" max="17" width="2.28515625" style="30" customWidth="1"/>
    <col min="18" max="18" width="8.7109375" style="33" customWidth="1"/>
    <col min="19" max="16384" width="9.140625" style="30"/>
  </cols>
  <sheetData>
    <row r="1" spans="2:17" ht="21.75" thickBot="1">
      <c r="C1" s="327"/>
      <c r="E1" s="1488" t="s">
        <v>147</v>
      </c>
      <c r="F1" s="1488"/>
      <c r="G1" s="1488"/>
      <c r="H1" s="1488"/>
      <c r="I1" s="1488"/>
      <c r="J1" s="1488"/>
      <c r="K1" s="1488"/>
      <c r="L1" s="1488"/>
      <c r="M1" s="32"/>
      <c r="N1" s="32"/>
      <c r="O1" s="32"/>
      <c r="P1" s="32"/>
      <c r="Q1" s="178"/>
    </row>
    <row r="2" spans="2:17" ht="15.75" thickBot="1">
      <c r="B2" s="1449" t="s">
        <v>108</v>
      </c>
      <c r="C2" s="1450"/>
      <c r="D2" s="157" t="s">
        <v>21</v>
      </c>
      <c r="E2" s="157" t="s">
        <v>5</v>
      </c>
      <c r="F2" s="157" t="s">
        <v>12</v>
      </c>
      <c r="G2" s="158" t="s">
        <v>11</v>
      </c>
      <c r="H2" s="158" t="s">
        <v>3</v>
      </c>
      <c r="I2" s="158" t="s">
        <v>10</v>
      </c>
      <c r="J2" s="158" t="s">
        <v>0</v>
      </c>
      <c r="K2" s="159" t="s">
        <v>2</v>
      </c>
      <c r="L2" s="160" t="s">
        <v>14</v>
      </c>
      <c r="M2" s="526" t="s">
        <v>155</v>
      </c>
      <c r="N2" s="526" t="s">
        <v>164</v>
      </c>
      <c r="O2" s="160" t="s">
        <v>22</v>
      </c>
      <c r="P2" s="161" t="s">
        <v>16</v>
      </c>
      <c r="Q2" s="346"/>
    </row>
    <row r="3" spans="2:17" hidden="1">
      <c r="B3" s="1475" t="s">
        <v>20</v>
      </c>
      <c r="C3" s="1475" t="s">
        <v>8</v>
      </c>
      <c r="D3" s="1489" t="s">
        <v>6</v>
      </c>
      <c r="E3" s="34" t="s">
        <v>37</v>
      </c>
      <c r="F3" s="35"/>
      <c r="G3" s="165"/>
      <c r="H3" s="36">
        <v>0</v>
      </c>
      <c r="I3" s="172">
        <f t="shared" ref="I3:I11" si="0">F3+G3+H3</f>
        <v>0</v>
      </c>
      <c r="J3" s="173">
        <f>'SUMMARY BRL'!J6</f>
        <v>1</v>
      </c>
      <c r="K3" s="38">
        <f t="shared" ref="K3:K11" si="1">F3+G3+L3</f>
        <v>0</v>
      </c>
      <c r="L3" s="39">
        <f t="shared" ref="L3:L11" si="2">IF((-I3*J3)&gt;=0,0,(-I3*J3))</f>
        <v>0</v>
      </c>
      <c r="M3" s="40"/>
      <c r="N3" s="40"/>
      <c r="O3" s="40"/>
      <c r="P3" s="40"/>
      <c r="Q3" s="32"/>
    </row>
    <row r="4" spans="2:17" hidden="1">
      <c r="B4" s="1476"/>
      <c r="C4" s="1476"/>
      <c r="D4" s="1490"/>
      <c r="E4" s="42" t="s">
        <v>38</v>
      </c>
      <c r="F4" s="43"/>
      <c r="G4" s="166"/>
      <c r="H4" s="44">
        <v>0</v>
      </c>
      <c r="I4" s="57">
        <f t="shared" si="0"/>
        <v>0</v>
      </c>
      <c r="J4" s="59">
        <f>'SUMMARY BRL'!J7</f>
        <v>0.9</v>
      </c>
      <c r="K4" s="47">
        <f t="shared" si="1"/>
        <v>0</v>
      </c>
      <c r="L4" s="48">
        <f t="shared" si="2"/>
        <v>0</v>
      </c>
      <c r="M4" s="49"/>
      <c r="N4" s="49"/>
      <c r="O4" s="49"/>
      <c r="P4" s="49"/>
      <c r="Q4" s="32"/>
    </row>
    <row r="5" spans="2:17" ht="13.5" hidden="1" thickBot="1">
      <c r="B5" s="1476"/>
      <c r="C5" s="1476"/>
      <c r="D5" s="1480"/>
      <c r="E5" s="42" t="s">
        <v>36</v>
      </c>
      <c r="F5" s="50"/>
      <c r="G5" s="166"/>
      <c r="H5" s="44">
        <v>0</v>
      </c>
      <c r="I5" s="62">
        <f t="shared" si="0"/>
        <v>0</v>
      </c>
      <c r="J5" s="63">
        <f>'SUMMARY BRL'!J8</f>
        <v>0.9</v>
      </c>
      <c r="K5" s="47">
        <f t="shared" si="1"/>
        <v>0</v>
      </c>
      <c r="L5" s="48">
        <f t="shared" si="2"/>
        <v>0</v>
      </c>
      <c r="M5" s="49"/>
      <c r="N5" s="49"/>
      <c r="O5" s="49"/>
      <c r="P5" s="49"/>
    </row>
    <row r="6" spans="2:17" ht="13.5" hidden="1" thickBot="1">
      <c r="B6" s="1476"/>
      <c r="C6" s="1476"/>
      <c r="D6" s="1491" t="s">
        <v>23</v>
      </c>
      <c r="E6" s="1492"/>
      <c r="F6" s="167">
        <f>SUM(F3:F5)</f>
        <v>0</v>
      </c>
      <c r="G6" s="168">
        <f>SUM(G3:G5)</f>
        <v>0</v>
      </c>
      <c r="H6" s="169"/>
      <c r="I6" s="170">
        <f>SUM(I3:I5)</f>
        <v>0</v>
      </c>
      <c r="J6" s="53">
        <f>IF(ISERROR(-L6/I6),0,IF(-L6/I6&lt;0,100%,IF(-L6/I6&gt;100%,100%,-L6/I6)))</f>
        <v>0</v>
      </c>
      <c r="K6" s="52">
        <f>SUM(K3:K5)</f>
        <v>0</v>
      </c>
      <c r="L6" s="54">
        <f>SUM(L3:L5)</f>
        <v>0</v>
      </c>
      <c r="M6" s="144"/>
      <c r="N6" s="145"/>
      <c r="O6" s="145"/>
      <c r="P6" s="55">
        <f>-L6+M6</f>
        <v>0</v>
      </c>
    </row>
    <row r="7" spans="2:17" hidden="1">
      <c r="B7" s="1476"/>
      <c r="C7" s="1476"/>
      <c r="D7" s="1489" t="s">
        <v>4</v>
      </c>
      <c r="E7" s="171" t="s">
        <v>39</v>
      </c>
      <c r="F7" s="172"/>
      <c r="G7" s="172"/>
      <c r="H7" s="172"/>
      <c r="I7" s="172">
        <f>F7+G7+H7</f>
        <v>0</v>
      </c>
      <c r="J7" s="173">
        <f>'SUMMARY BRL'!J10</f>
        <v>0.6</v>
      </c>
      <c r="K7" s="38">
        <f t="shared" si="1"/>
        <v>0</v>
      </c>
      <c r="L7" s="39">
        <f t="shared" si="2"/>
        <v>0</v>
      </c>
      <c r="M7" s="49"/>
      <c r="N7" s="49"/>
      <c r="O7" s="49"/>
      <c r="P7" s="49"/>
    </row>
    <row r="8" spans="2:17" hidden="1">
      <c r="B8" s="1476"/>
      <c r="C8" s="1476"/>
      <c r="D8" s="1490"/>
      <c r="E8" s="56" t="s">
        <v>33</v>
      </c>
      <c r="F8" s="57"/>
      <c r="G8" s="57"/>
      <c r="H8" s="57"/>
      <c r="I8" s="57">
        <f>F8+G8+H8</f>
        <v>0</v>
      </c>
      <c r="J8" s="59">
        <f>'SUMMARY BRL'!J11</f>
        <v>0.6</v>
      </c>
      <c r="K8" s="47">
        <f t="shared" si="1"/>
        <v>0</v>
      </c>
      <c r="L8" s="48">
        <f t="shared" si="2"/>
        <v>0</v>
      </c>
      <c r="M8" s="49"/>
      <c r="N8" s="49"/>
      <c r="O8" s="49"/>
      <c r="P8" s="49"/>
    </row>
    <row r="9" spans="2:17" hidden="1">
      <c r="B9" s="1476"/>
      <c r="C9" s="1476"/>
      <c r="D9" s="1493"/>
      <c r="E9" s="60" t="s">
        <v>1</v>
      </c>
      <c r="F9" s="62"/>
      <c r="G9" s="62"/>
      <c r="H9" s="62"/>
      <c r="I9" s="62">
        <f t="shared" si="0"/>
        <v>0</v>
      </c>
      <c r="J9" s="63">
        <f>'SUMMARY BRL'!J12</f>
        <v>0.6</v>
      </c>
      <c r="K9" s="64">
        <f t="shared" si="1"/>
        <v>0</v>
      </c>
      <c r="L9" s="65">
        <f t="shared" si="2"/>
        <v>0</v>
      </c>
      <c r="M9" s="49"/>
      <c r="N9" s="49"/>
      <c r="O9" s="49"/>
      <c r="P9" s="49"/>
    </row>
    <row r="10" spans="2:17" hidden="1">
      <c r="B10" s="1476"/>
      <c r="C10" s="1476"/>
      <c r="D10" s="1494" t="s">
        <v>40</v>
      </c>
      <c r="E10" s="42" t="s">
        <v>33</v>
      </c>
      <c r="F10" s="172"/>
      <c r="G10" s="172"/>
      <c r="H10" s="174"/>
      <c r="I10" s="45">
        <f t="shared" si="0"/>
        <v>0</v>
      </c>
      <c r="J10" s="46" t="str">
        <f>'SUMMARY BRL'!J13</f>
        <v>1,9%/5,1%</v>
      </c>
      <c r="K10" s="47" t="e">
        <f t="shared" si="1"/>
        <v>#VALUE!</v>
      </c>
      <c r="L10" s="48" t="e">
        <f t="shared" si="2"/>
        <v>#VALUE!</v>
      </c>
      <c r="M10" s="49"/>
      <c r="N10" s="49"/>
      <c r="O10" s="49"/>
      <c r="P10" s="49"/>
    </row>
    <row r="11" spans="2:17" ht="13.5" hidden="1" thickBot="1">
      <c r="B11" s="1476"/>
      <c r="C11" s="1476"/>
      <c r="D11" s="1495"/>
      <c r="E11" s="42" t="s">
        <v>41</v>
      </c>
      <c r="F11" s="61"/>
      <c r="G11" s="61"/>
      <c r="H11" s="174"/>
      <c r="I11" s="45">
        <f t="shared" si="0"/>
        <v>0</v>
      </c>
      <c r="J11" s="66" t="str">
        <f>'SUMMARY BRL'!J14</f>
        <v>1,9%/5,1%</v>
      </c>
      <c r="K11" s="47" t="e">
        <f t="shared" si="1"/>
        <v>#VALUE!</v>
      </c>
      <c r="L11" s="48" t="e">
        <f t="shared" si="2"/>
        <v>#VALUE!</v>
      </c>
      <c r="M11" s="49"/>
      <c r="N11" s="49"/>
      <c r="O11" s="49"/>
      <c r="P11" s="49"/>
    </row>
    <row r="12" spans="2:17" ht="13.5" hidden="1" thickBot="1">
      <c r="B12" s="1476"/>
      <c r="C12" s="1476"/>
      <c r="D12" s="1491" t="s">
        <v>24</v>
      </c>
      <c r="E12" s="1492"/>
      <c r="F12" s="51">
        <f>SUM(F7:F11)</f>
        <v>0</v>
      </c>
      <c r="G12" s="51">
        <f>SUM(G7:G11)</f>
        <v>0</v>
      </c>
      <c r="H12" s="51">
        <f>SUM(H7:H11)</f>
        <v>0</v>
      </c>
      <c r="I12" s="51">
        <f>SUM(I7:I11)</f>
        <v>0</v>
      </c>
      <c r="J12" s="53">
        <f>IF(ISERROR(-L12/I12),0,IF(-L12/I12&lt;0,100%,IF(-L12/I12&gt;100%,100%,-L12/I12)))</f>
        <v>0</v>
      </c>
      <c r="K12" s="51" t="e">
        <f>SUM(K7:K11)</f>
        <v>#VALUE!</v>
      </c>
      <c r="L12" s="51" t="e">
        <f>SUM(L7:L11)</f>
        <v>#VALUE!</v>
      </c>
      <c r="M12" s="144"/>
      <c r="N12" s="145"/>
      <c r="O12" s="145"/>
      <c r="P12" s="55">
        <v>0</v>
      </c>
    </row>
    <row r="13" spans="2:17" ht="13.5" hidden="1" thickBot="1">
      <c r="B13" s="1476"/>
      <c r="C13" s="1477"/>
      <c r="D13" s="67" t="s">
        <v>9</v>
      </c>
      <c r="E13" s="68"/>
      <c r="F13" s="69">
        <f>F12+F6</f>
        <v>0</v>
      </c>
      <c r="G13" s="69">
        <f>G12+G6</f>
        <v>0</v>
      </c>
      <c r="H13" s="69">
        <f>H12+H6</f>
        <v>0</v>
      </c>
      <c r="I13" s="69">
        <f>I12+I6</f>
        <v>0</v>
      </c>
      <c r="J13" s="70">
        <f>IF(ISERROR(-L13/I13),0,IF(-L13/I13&lt;0,100%,IF(-L13/I13&gt;100%,100%,-L13/I13)))</f>
        <v>0</v>
      </c>
      <c r="K13" s="69" t="e">
        <f>K12+K6</f>
        <v>#VALUE!</v>
      </c>
      <c r="L13" s="69" t="e">
        <f>L12+L6</f>
        <v>#VALUE!</v>
      </c>
      <c r="M13" s="71">
        <f>SUM(M12,M6)</f>
        <v>0</v>
      </c>
      <c r="N13" s="71"/>
      <c r="O13" s="71"/>
      <c r="P13" s="71">
        <f>SUM(P12,P6)</f>
        <v>0</v>
      </c>
      <c r="Q13" s="31"/>
    </row>
    <row r="14" spans="2:17">
      <c r="B14" s="1476"/>
      <c r="C14" s="1475" t="s">
        <v>13</v>
      </c>
      <c r="D14" s="1390" t="s">
        <v>6</v>
      </c>
      <c r="E14" s="676" t="s">
        <v>37</v>
      </c>
      <c r="F14" s="677">
        <f>INPUT!B29</f>
        <v>81553.783229999943</v>
      </c>
      <c r="G14" s="678">
        <f>INPUT!D29</f>
        <v>-3472.1242000000007</v>
      </c>
      <c r="H14" s="855">
        <v>0</v>
      </c>
      <c r="I14" s="680">
        <f>F14+G14+H14</f>
        <v>78081.659029999937</v>
      </c>
      <c r="J14" s="681">
        <f>'SUMMARY BRL'!J6</f>
        <v>1</v>
      </c>
      <c r="K14" s="682">
        <f>IF((F14+G14+L14)&lt;0,0,(F14+G14+L14))</f>
        <v>0</v>
      </c>
      <c r="L14" s="683">
        <f>IF((-I14*J14)&gt;=0,0,(-I14*J14))</f>
        <v>-78081.659029999937</v>
      </c>
      <c r="M14" s="684"/>
      <c r="N14" s="684"/>
      <c r="O14" s="684"/>
      <c r="P14" s="684"/>
    </row>
    <row r="15" spans="2:17">
      <c r="B15" s="1476"/>
      <c r="C15" s="1476"/>
      <c r="D15" s="1391"/>
      <c r="E15" s="685" t="s">
        <v>38</v>
      </c>
      <c r="F15" s="686">
        <f>INPUT!B30</f>
        <v>3369.3312599999995</v>
      </c>
      <c r="G15" s="687">
        <f>INPUT!D30</f>
        <v>0</v>
      </c>
      <c r="H15" s="856">
        <v>0</v>
      </c>
      <c r="I15" s="689">
        <f>F15+G15+H15</f>
        <v>3369.3312599999995</v>
      </c>
      <c r="J15" s="690">
        <v>0.9</v>
      </c>
      <c r="K15" s="691">
        <f>IF((F15+G15+L15)&lt;0,0,(F15+G15+L15))</f>
        <v>336.9331259999999</v>
      </c>
      <c r="L15" s="692">
        <f>IF((-I15*J15)&gt;=0,0,(-I15*J15))</f>
        <v>-3032.3981339999996</v>
      </c>
      <c r="M15" s="693"/>
      <c r="N15" s="693"/>
      <c r="O15" s="693"/>
      <c r="P15" s="693"/>
    </row>
    <row r="16" spans="2:17" ht="13.5" thickBot="1">
      <c r="B16" s="1476"/>
      <c r="C16" s="1476"/>
      <c r="D16" s="1474"/>
      <c r="E16" s="685" t="s">
        <v>36</v>
      </c>
      <c r="F16" s="694">
        <f>INPUT!B31+INPUT!B32</f>
        <v>0</v>
      </c>
      <c r="G16" s="687">
        <f>INPUT!D31+INPUT!D32</f>
        <v>0</v>
      </c>
      <c r="H16" s="856">
        <v>0</v>
      </c>
      <c r="I16" s="695">
        <f>F16+G16+H16</f>
        <v>0</v>
      </c>
      <c r="J16" s="696">
        <v>0.9</v>
      </c>
      <c r="K16" s="693">
        <f>IF((F16+G16+L16)&lt;0,0,(F16+G16+L16))</f>
        <v>0</v>
      </c>
      <c r="L16" s="692">
        <f>IF((-I16*J16)&gt;=0,0,(-I16*J16))</f>
        <v>0</v>
      </c>
      <c r="M16" s="697"/>
      <c r="N16" s="697"/>
      <c r="O16" s="697"/>
      <c r="P16" s="693"/>
    </row>
    <row r="17" spans="2:19" ht="13.5" thickBot="1">
      <c r="B17" s="1476"/>
      <c r="C17" s="1476"/>
      <c r="D17" s="1470" t="s">
        <v>23</v>
      </c>
      <c r="E17" s="1471"/>
      <c r="F17" s="698">
        <f>SUM(F14:F16)</f>
        <v>84923.114489999949</v>
      </c>
      <c r="G17" s="699">
        <f>SUM(G14:G16)</f>
        <v>-3472.1242000000007</v>
      </c>
      <c r="H17" s="857"/>
      <c r="I17" s="773">
        <f>SUM(I14:I16)</f>
        <v>81450.990289999943</v>
      </c>
      <c r="J17" s="702">
        <f>IF(ISERROR(-L17/I17),0,IF(-L17/I17&lt;0,100%,IF(-L17/I17&gt;100%,100%,-L17/I17)))</f>
        <v>0.99586336366445172</v>
      </c>
      <c r="K17" s="701">
        <f>SUM(K14:K16)</f>
        <v>336.9331259999999</v>
      </c>
      <c r="L17" s="703">
        <f>SUM(L14:L16)</f>
        <v>-81114.05716399994</v>
      </c>
      <c r="M17" s="704">
        <f>INPUT!N9/1000</f>
        <v>-78868.865180000008</v>
      </c>
      <c r="N17" s="704"/>
      <c r="O17" s="704">
        <f>N17+M17</f>
        <v>-78868.865180000008</v>
      </c>
      <c r="P17" s="704">
        <f>-L17+O17</f>
        <v>2245.1919839999318</v>
      </c>
      <c r="Q17" s="179"/>
      <c r="S17" s="33"/>
    </row>
    <row r="18" spans="2:19" ht="13.5" thickBot="1">
      <c r="B18" s="1476"/>
      <c r="C18" s="1476"/>
      <c r="D18" s="1390" t="s">
        <v>4</v>
      </c>
      <c r="E18" s="705" t="s">
        <v>39</v>
      </c>
      <c r="F18" s="677">
        <f>INPUT!$B$33+INPUT!B34+INPUT!B35</f>
        <v>22705.315759999998</v>
      </c>
      <c r="G18" s="679">
        <f>INPUT!D33+INPUT!D34+INPUT!D35</f>
        <v>-427.90879999999993</v>
      </c>
      <c r="H18" s="679">
        <f>INPUT!F33+INPUT!F34+INPUT!F35</f>
        <v>-9009.2241038975553</v>
      </c>
      <c r="I18" s="679">
        <f>F18+G18+H18</f>
        <v>13268.182856102441</v>
      </c>
      <c r="J18" s="706">
        <f>INPUT!T6</f>
        <v>0.6</v>
      </c>
      <c r="K18" s="707">
        <f>IF((F18+G18+L18)&lt;0,0,(F18+G18+L18))</f>
        <v>14316.497246338531</v>
      </c>
      <c r="L18" s="683">
        <f>IF((-I18*J18)&gt;=0,0,(-I18*J18))</f>
        <v>-7960.9097136614646</v>
      </c>
      <c r="M18" s="708"/>
      <c r="N18" s="708"/>
      <c r="O18" s="708"/>
      <c r="P18" s="693"/>
    </row>
    <row r="19" spans="2:19" ht="13.5" thickBot="1">
      <c r="B19" s="1476"/>
      <c r="C19" s="1476"/>
      <c r="D19" s="1391"/>
      <c r="E19" s="709" t="s">
        <v>33</v>
      </c>
      <c r="F19" s="686">
        <f>INPUT!B36</f>
        <v>0</v>
      </c>
      <c r="G19" s="688">
        <f>INPUT!D36</f>
        <v>0</v>
      </c>
      <c r="H19" s="688">
        <f>INPUT!F36</f>
        <v>0</v>
      </c>
      <c r="I19" s="688">
        <f>F19+G19+H19</f>
        <v>0</v>
      </c>
      <c r="J19" s="706">
        <f>INPUT!T6</f>
        <v>0.6</v>
      </c>
      <c r="K19" s="711">
        <f>IF((F19+G19+L19)&lt;0,0,(F19+G19+L19))</f>
        <v>0</v>
      </c>
      <c r="L19" s="692">
        <f>IF((-I19*J19)&gt;=0,0,(-I19*J19))</f>
        <v>0</v>
      </c>
      <c r="M19" s="708"/>
      <c r="N19" s="708"/>
      <c r="O19" s="708"/>
      <c r="P19" s="693"/>
    </row>
    <row r="20" spans="2:19" ht="13.5" thickBot="1">
      <c r="B20" s="1476"/>
      <c r="C20" s="1476"/>
      <c r="D20" s="1472"/>
      <c r="E20" s="712" t="s">
        <v>1</v>
      </c>
      <c r="F20" s="694">
        <f>INPUT!B37</f>
        <v>0</v>
      </c>
      <c r="G20" s="713">
        <f>INPUT!D37</f>
        <v>0</v>
      </c>
      <c r="H20" s="713">
        <f>INPUT!F37</f>
        <v>0</v>
      </c>
      <c r="I20" s="713">
        <f>F20+G20+H20</f>
        <v>0</v>
      </c>
      <c r="J20" s="706">
        <f>INPUT!T6</f>
        <v>0.6</v>
      </c>
      <c r="K20" s="715">
        <f>IF((F20+G20+L20)&lt;0,0,(F20+G20+L20))</f>
        <v>0</v>
      </c>
      <c r="L20" s="716">
        <f>IF((-I20*J20)&gt;=0,0,(-I20*J20))</f>
        <v>0</v>
      </c>
      <c r="M20" s="708"/>
      <c r="N20" s="708"/>
      <c r="O20" s="708"/>
      <c r="P20" s="693">
        <v>-5310</v>
      </c>
    </row>
    <row r="21" spans="2:19" ht="13.5" thickBot="1">
      <c r="B21" s="1476"/>
      <c r="C21" s="1476"/>
      <c r="D21" s="1473" t="s">
        <v>40</v>
      </c>
      <c r="E21" s="685" t="s">
        <v>33</v>
      </c>
      <c r="F21" s="686">
        <f>INPUT!B38</f>
        <v>45806.778900000012</v>
      </c>
      <c r="G21" s="688">
        <f>INPUT!D38</f>
        <v>0</v>
      </c>
      <c r="H21" s="688">
        <f>INPUT!F38</f>
        <v>-14121.248345002326</v>
      </c>
      <c r="I21" s="688">
        <f>F21+G21+H21</f>
        <v>31685.530554997684</v>
      </c>
      <c r="J21" s="1283">
        <f>INPUT!T5</f>
        <v>1.9E-2</v>
      </c>
      <c r="K21" s="711">
        <f>IF((F21+G21+L21)&lt;0,0,(F21+G21+L21))</f>
        <v>45204.753819455058</v>
      </c>
      <c r="L21" s="692">
        <f>IF((-I21*J21)&gt;=0,0,(-I21*J21))</f>
        <v>-602.02508054495593</v>
      </c>
      <c r="M21" s="697"/>
      <c r="N21" s="697"/>
      <c r="O21" s="697"/>
      <c r="P21" s="693"/>
    </row>
    <row r="22" spans="2:19" ht="13.5" thickBot="1">
      <c r="B22" s="1476"/>
      <c r="C22" s="1476"/>
      <c r="D22" s="1474"/>
      <c r="E22" s="685" t="s">
        <v>41</v>
      </c>
      <c r="F22" s="686">
        <f>INPUT!B39</f>
        <v>122813.11323999996</v>
      </c>
      <c r="G22" s="688">
        <f>INPUT!L9+INPUT!D39</f>
        <v>-214734.70888734952</v>
      </c>
      <c r="H22" s="688">
        <f>INPUT!F39</f>
        <v>-34050.904067012765</v>
      </c>
      <c r="I22" s="688">
        <f>F22+G22+H22</f>
        <v>-125972.49971436232</v>
      </c>
      <c r="J22" s="1283">
        <f>INPUT!T5</f>
        <v>1.9E-2</v>
      </c>
      <c r="K22" s="711">
        <f>IF((F22+G22+L22)&lt;0,0,(F22+G22+L22))</f>
        <v>0</v>
      </c>
      <c r="L22" s="692">
        <f>IF((-I22*J22)&gt;=0,0,(-I22*J22))</f>
        <v>0</v>
      </c>
      <c r="M22" s="1202"/>
      <c r="N22" s="1203"/>
      <c r="O22" s="697"/>
      <c r="P22" s="693"/>
    </row>
    <row r="23" spans="2:19" ht="13.5" thickBot="1">
      <c r="B23" s="1476"/>
      <c r="C23" s="1476"/>
      <c r="D23" s="1470" t="s">
        <v>24</v>
      </c>
      <c r="E23" s="1471"/>
      <c r="F23" s="698">
        <f>SUM(F18:F22)</f>
        <v>191325.20789999998</v>
      </c>
      <c r="G23" s="698">
        <f>SUM(G18:G22)</f>
        <v>-215162.61768734953</v>
      </c>
      <c r="H23" s="698">
        <f>SUM(H18:H22)</f>
        <v>-57181.376515912649</v>
      </c>
      <c r="I23" s="698">
        <f>SUM(I18:I22)</f>
        <v>-81018.786303262197</v>
      </c>
      <c r="J23" s="702">
        <f>IF(ISERROR(-L23/I23),0,IF(-L23/I23&lt;0,100%,IF(-L23/I23&gt;100%,100%,-L23/I23)))</f>
        <v>1</v>
      </c>
      <c r="K23" s="698">
        <f>SUM(K18:K22)</f>
        <v>59521.251065793593</v>
      </c>
      <c r="L23" s="719">
        <f>SUM(L18:L22)</f>
        <v>-8562.9347942064196</v>
      </c>
      <c r="M23" s="704">
        <f>(INPUT!O9/1000)-INPUT!N24/1000</f>
        <v>-4185.6868610600004</v>
      </c>
      <c r="N23" s="704">
        <f>INPUT!P9/1000</f>
        <v>-1449.2688189399998</v>
      </c>
      <c r="O23" s="704">
        <f>N23+M23</f>
        <v>-5634.95568</v>
      </c>
      <c r="P23" s="704">
        <f>-L23+O23</f>
        <v>2927.9791142064196</v>
      </c>
      <c r="Q23" s="179"/>
      <c r="R23" s="1201"/>
    </row>
    <row r="24" spans="2:19" ht="13.5" thickBot="1">
      <c r="B24" s="1476"/>
      <c r="C24" s="1477"/>
      <c r="D24" s="749" t="s">
        <v>9</v>
      </c>
      <c r="E24" s="750"/>
      <c r="F24" s="751">
        <f>F17+F23</f>
        <v>276248.32238999993</v>
      </c>
      <c r="G24" s="751">
        <f>G17+G23</f>
        <v>-218634.74188734952</v>
      </c>
      <c r="H24" s="751">
        <f>H17+H23</f>
        <v>-57181.376515912649</v>
      </c>
      <c r="I24" s="751">
        <f>I17+I23</f>
        <v>432.20398673774616</v>
      </c>
      <c r="J24" s="752">
        <f>IF(ISERROR(-L24/I24),0,IF(-L24/I24&lt;0,100%,IF(-L24/I24&gt;100%,100%,-L24/I24)))</f>
        <v>1</v>
      </c>
      <c r="K24" s="751">
        <f>K17+K23</f>
        <v>59858.184191793596</v>
      </c>
      <c r="L24" s="751">
        <f>L17+L23</f>
        <v>-89676.991958206359</v>
      </c>
      <c r="M24" s="753">
        <f>SUM(M17,M23)</f>
        <v>-83054.552041060015</v>
      </c>
      <c r="N24" s="753">
        <f>N23+N17</f>
        <v>-1449.2688189399998</v>
      </c>
      <c r="O24" s="753">
        <f>O23+O17</f>
        <v>-84503.820860000007</v>
      </c>
      <c r="P24" s="753">
        <f>SUM(P17,P23)</f>
        <v>5173.1710982063514</v>
      </c>
      <c r="Q24" s="31"/>
    </row>
    <row r="25" spans="2:19" hidden="1">
      <c r="B25" s="1476"/>
      <c r="C25" s="1475" t="s">
        <v>15</v>
      </c>
      <c r="D25" s="1478" t="s">
        <v>6</v>
      </c>
      <c r="E25" s="86" t="s">
        <v>37</v>
      </c>
      <c r="F25" s="87"/>
      <c r="G25" s="88">
        <v>0</v>
      </c>
      <c r="H25" s="36"/>
      <c r="I25" s="89">
        <f>F25+G25+H25</f>
        <v>0</v>
      </c>
      <c r="J25" s="90">
        <f>'SUMMARY BRL'!J6</f>
        <v>1</v>
      </c>
      <c r="K25" s="91">
        <f>F25+G25+L25</f>
        <v>0</v>
      </c>
      <c r="L25" s="92">
        <f>IF((-I25*J25)&gt;=0,0,(-I25*J25))</f>
        <v>0</v>
      </c>
      <c r="M25" s="40"/>
      <c r="N25" s="40"/>
      <c r="O25" s="40"/>
      <c r="P25" s="40"/>
    </row>
    <row r="26" spans="2:19" hidden="1">
      <c r="B26" s="1476"/>
      <c r="C26" s="1476"/>
      <c r="D26" s="1479"/>
      <c r="E26" s="93" t="s">
        <v>38</v>
      </c>
      <c r="F26" s="94">
        <v>0</v>
      </c>
      <c r="G26" s="95">
        <v>0</v>
      </c>
      <c r="H26" s="44"/>
      <c r="I26" s="96">
        <f>F26+G26+H26</f>
        <v>0</v>
      </c>
      <c r="J26" s="97">
        <f>'SUMMARY BRL'!J7</f>
        <v>0.9</v>
      </c>
      <c r="K26" s="98">
        <f>F26+G26+L26</f>
        <v>0</v>
      </c>
      <c r="L26" s="99">
        <f>IF((-I26*J26)&gt;=0,0,(-I26*J26))</f>
        <v>0</v>
      </c>
      <c r="M26" s="49"/>
      <c r="N26" s="49"/>
      <c r="O26" s="49"/>
      <c r="P26" s="49"/>
    </row>
    <row r="27" spans="2:19" ht="13.5" hidden="1" thickBot="1">
      <c r="B27" s="1476"/>
      <c r="C27" s="1476"/>
      <c r="D27" s="1480"/>
      <c r="E27" s="93" t="s">
        <v>36</v>
      </c>
      <c r="F27" s="94">
        <v>0</v>
      </c>
      <c r="G27" s="95">
        <v>0</v>
      </c>
      <c r="H27" s="44"/>
      <c r="I27" s="96">
        <f>F27+G27+H27</f>
        <v>0</v>
      </c>
      <c r="J27" s="97">
        <f>'SUMMARY BRL'!J8</f>
        <v>0.9</v>
      </c>
      <c r="K27" s="98">
        <f>F27+G27+L27</f>
        <v>0</v>
      </c>
      <c r="L27" s="99">
        <f>IF((-I27*J27)&gt;=0,0,(-I27*J27))</f>
        <v>0</v>
      </c>
      <c r="M27" s="49"/>
      <c r="N27" s="49"/>
      <c r="O27" s="49"/>
      <c r="P27" s="49"/>
    </row>
    <row r="28" spans="2:19" ht="13.5" hidden="1" thickBot="1">
      <c r="B28" s="1476"/>
      <c r="C28" s="1476"/>
      <c r="D28" s="1481" t="s">
        <v>23</v>
      </c>
      <c r="E28" s="1482"/>
      <c r="F28" s="100">
        <f>SUM(F25:F27)</f>
        <v>0</v>
      </c>
      <c r="G28" s="101">
        <f>SUM(G25:G27)</f>
        <v>0</v>
      </c>
      <c r="H28" s="333"/>
      <c r="I28" s="102">
        <f>SUM(I25:I27)</f>
        <v>0</v>
      </c>
      <c r="J28" s="103">
        <f>IF(ISERROR(-L28/I28),0,IF(-L28/I28&lt;0,100%,IF(-L28/I28&gt;100%,100%,-L28/I28)))</f>
        <v>0</v>
      </c>
      <c r="K28" s="102">
        <f>SUM(K25:K27)</f>
        <v>0</v>
      </c>
      <c r="L28" s="104">
        <f>SUM(L25:L27)</f>
        <v>0</v>
      </c>
      <c r="M28" s="105"/>
      <c r="N28" s="105"/>
      <c r="O28" s="105"/>
      <c r="P28" s="105">
        <f>-L28+M28</f>
        <v>0</v>
      </c>
    </row>
    <row r="29" spans="2:19" hidden="1">
      <c r="B29" s="1476"/>
      <c r="C29" s="1476"/>
      <c r="D29" s="1478" t="s">
        <v>4</v>
      </c>
      <c r="E29" s="106" t="s">
        <v>39</v>
      </c>
      <c r="F29" s="87"/>
      <c r="G29" s="107"/>
      <c r="H29" s="89"/>
      <c r="I29" s="89">
        <f>F29+G29+H29</f>
        <v>0</v>
      </c>
      <c r="J29" s="108">
        <f>'SUMMARY BRL'!J10</f>
        <v>0.6</v>
      </c>
      <c r="K29" s="91">
        <f>F29+G29+L29</f>
        <v>0</v>
      </c>
      <c r="L29" s="92">
        <f>IF((-I29*J29)&gt;=0,0,(-I29*J29))</f>
        <v>0</v>
      </c>
      <c r="M29" s="49"/>
      <c r="N29" s="49"/>
      <c r="O29" s="49"/>
      <c r="P29" s="49"/>
    </row>
    <row r="30" spans="2:19" hidden="1">
      <c r="B30" s="1476"/>
      <c r="C30" s="1476"/>
      <c r="D30" s="1479"/>
      <c r="E30" s="109" t="s">
        <v>33</v>
      </c>
      <c r="F30" s="94"/>
      <c r="G30" s="110"/>
      <c r="H30" s="96"/>
      <c r="I30" s="96">
        <f>F30+G30+H30</f>
        <v>0</v>
      </c>
      <c r="J30" s="111">
        <f>'SUMMARY BRL'!J11</f>
        <v>0.6</v>
      </c>
      <c r="K30" s="98">
        <f>F30+G30+L30</f>
        <v>0</v>
      </c>
      <c r="L30" s="99">
        <f>IF((-I30*J30)&gt;=0,0,(-I30*J30))</f>
        <v>0</v>
      </c>
      <c r="M30" s="49"/>
      <c r="N30" s="49"/>
      <c r="O30" s="49"/>
      <c r="P30" s="49"/>
    </row>
    <row r="31" spans="2:19" hidden="1">
      <c r="B31" s="1476"/>
      <c r="C31" s="1476"/>
      <c r="D31" s="1483"/>
      <c r="E31" s="112" t="s">
        <v>1</v>
      </c>
      <c r="F31" s="113"/>
      <c r="G31" s="114"/>
      <c r="H31" s="115"/>
      <c r="I31" s="115">
        <f>F31+G31+H31</f>
        <v>0</v>
      </c>
      <c r="J31" s="116">
        <f>'SUMMARY BRL'!J12</f>
        <v>0.6</v>
      </c>
      <c r="K31" s="117">
        <f>F31+G31+L31</f>
        <v>0</v>
      </c>
      <c r="L31" s="118">
        <f>IF((-I31*J31)&gt;=0,0,(-I31*J31))</f>
        <v>0</v>
      </c>
      <c r="M31" s="49"/>
      <c r="N31" s="49"/>
      <c r="O31" s="49"/>
      <c r="P31" s="49"/>
    </row>
    <row r="32" spans="2:19" hidden="1">
      <c r="B32" s="1476"/>
      <c r="C32" s="1476"/>
      <c r="D32" s="1484" t="s">
        <v>40</v>
      </c>
      <c r="E32" s="93" t="s">
        <v>33</v>
      </c>
      <c r="F32" s="94"/>
      <c r="G32" s="110"/>
      <c r="H32" s="96"/>
      <c r="I32" s="96">
        <f>F32+G32+H32</f>
        <v>0</v>
      </c>
      <c r="J32" s="97" t="str">
        <f>'SUMMARY BRL'!J13</f>
        <v>1,9%/5,1%</v>
      </c>
      <c r="K32" s="98" t="e">
        <f>F32+G32+L32</f>
        <v>#VALUE!</v>
      </c>
      <c r="L32" s="99" t="e">
        <f>IF((-I32*J32)&gt;=0,0,(-I32*J32))</f>
        <v>#VALUE!</v>
      </c>
      <c r="M32" s="49"/>
      <c r="N32" s="49"/>
      <c r="O32" s="49"/>
      <c r="P32" s="49"/>
    </row>
    <row r="33" spans="2:19" ht="13.5" hidden="1" thickBot="1">
      <c r="B33" s="1476"/>
      <c r="C33" s="1476"/>
      <c r="D33" s="1485"/>
      <c r="E33" s="93" t="s">
        <v>41</v>
      </c>
      <c r="F33" s="94"/>
      <c r="G33" s="110"/>
      <c r="H33" s="96"/>
      <c r="I33" s="96">
        <f>F33+G33+H33</f>
        <v>0</v>
      </c>
      <c r="J33" s="119" t="str">
        <f>'SUMMARY BRL'!J14</f>
        <v>1,9%/5,1%</v>
      </c>
      <c r="K33" s="98" t="e">
        <f>F33+G33+L33</f>
        <v>#VALUE!</v>
      </c>
      <c r="L33" s="99" t="e">
        <f>IF((-I33*J33)&gt;=0,0,(-I33*J33))</f>
        <v>#VALUE!</v>
      </c>
      <c r="M33" s="49"/>
      <c r="N33" s="49"/>
      <c r="O33" s="49"/>
      <c r="P33" s="49"/>
    </row>
    <row r="34" spans="2:19" ht="13.5" hidden="1" thickBot="1">
      <c r="B34" s="1476"/>
      <c r="C34" s="1476"/>
      <c r="D34" s="1481" t="s">
        <v>24</v>
      </c>
      <c r="E34" s="1482"/>
      <c r="F34" s="100">
        <f>SUM(F29:F33)</f>
        <v>0</v>
      </c>
      <c r="G34" s="100">
        <f>SUM(G29:G33)</f>
        <v>0</v>
      </c>
      <c r="H34" s="100">
        <f>SUM(H29:H33)</f>
        <v>0</v>
      </c>
      <c r="I34" s="100">
        <f>SUM(I29:I33)</f>
        <v>0</v>
      </c>
      <c r="J34" s="103">
        <f>IF(ISERROR(-L34/I34),0,IF(-L34/I34&lt;0,100%,IF(-L34/I34&gt;100%,100%,-L34/I34)))</f>
        <v>0</v>
      </c>
      <c r="K34" s="100" t="e">
        <f>SUM(K29:K33)</f>
        <v>#VALUE!</v>
      </c>
      <c r="L34" s="120" t="e">
        <f>SUM(L29:L33)</f>
        <v>#VALUE!</v>
      </c>
      <c r="M34" s="105"/>
      <c r="N34" s="105"/>
      <c r="O34" s="105"/>
      <c r="P34" s="105" t="e">
        <f>-L34+M34</f>
        <v>#VALUE!</v>
      </c>
    </row>
    <row r="35" spans="2:19" ht="13.5" hidden="1" thickBot="1">
      <c r="B35" s="1476"/>
      <c r="C35" s="1477"/>
      <c r="D35" s="121" t="s">
        <v>9</v>
      </c>
      <c r="E35" s="122"/>
      <c r="F35" s="123">
        <f>F28+F34</f>
        <v>0</v>
      </c>
      <c r="G35" s="123">
        <f>G28+G34</f>
        <v>0</v>
      </c>
      <c r="H35" s="123">
        <f>H28+H34</f>
        <v>0</v>
      </c>
      <c r="I35" s="123">
        <f>I28+I34</f>
        <v>0</v>
      </c>
      <c r="J35" s="124">
        <f>IF(ISERROR(-L35/I35),0,IF(-L35/I35&lt;0,100%,IF(-L35/I35&gt;100%,100%,-L35/I35)))</f>
        <v>0</v>
      </c>
      <c r="K35" s="123" t="e">
        <f>K28+K34</f>
        <v>#VALUE!</v>
      </c>
      <c r="L35" s="123" t="e">
        <f>L28+L34</f>
        <v>#VALUE!</v>
      </c>
      <c r="M35" s="125">
        <f>SUM(M28,M34)</f>
        <v>0</v>
      </c>
      <c r="N35" s="125"/>
      <c r="O35" s="125"/>
      <c r="P35" s="125">
        <v>0</v>
      </c>
      <c r="Q35" s="31"/>
    </row>
    <row r="36" spans="2:19" ht="13.5" thickBot="1">
      <c r="B36" s="1477"/>
      <c r="C36" s="748" t="s">
        <v>17</v>
      </c>
      <c r="D36" s="725"/>
      <c r="E36" s="726"/>
      <c r="F36" s="727">
        <f>F13+F24+F35</f>
        <v>276248.32238999993</v>
      </c>
      <c r="G36" s="726">
        <f>G35+G24+G13</f>
        <v>-218634.74188734952</v>
      </c>
      <c r="H36" s="728">
        <f>H35+H24+H13</f>
        <v>-57181.376515912649</v>
      </c>
      <c r="I36" s="728">
        <f>I35+I24+I13</f>
        <v>432.20398673774616</v>
      </c>
      <c r="J36" s="647">
        <f>IF(ISERROR(-L36/I36),0,IF(-L36/I36&lt;0,100%,IF(-L36/I36&gt;100%,100%,-L36/I36)))</f>
        <v>0</v>
      </c>
      <c r="K36" s="729" t="e">
        <f t="shared" ref="K36:O36" si="3">K35+K24+K13</f>
        <v>#VALUE!</v>
      </c>
      <c r="L36" s="729" t="e">
        <f t="shared" si="3"/>
        <v>#VALUE!</v>
      </c>
      <c r="M36" s="730">
        <f t="shared" si="3"/>
        <v>-83054.552041060015</v>
      </c>
      <c r="N36" s="730">
        <f t="shared" si="3"/>
        <v>-1449.2688189399998</v>
      </c>
      <c r="O36" s="730">
        <f t="shared" si="3"/>
        <v>-84503.820860000007</v>
      </c>
      <c r="P36" s="729">
        <f>P35+P24+P13</f>
        <v>5173.1710982063514</v>
      </c>
      <c r="Q36" s="31"/>
    </row>
    <row r="37" spans="2:19" s="129" customFormat="1">
      <c r="B37" s="127"/>
      <c r="C37" s="25"/>
      <c r="D37" s="128"/>
      <c r="E37" s="27"/>
      <c r="F37" s="295"/>
      <c r="G37" s="295"/>
      <c r="H37" s="295"/>
      <c r="I37" s="27"/>
      <c r="J37" s="731"/>
      <c r="K37" s="732"/>
      <c r="L37" s="732"/>
      <c r="M37" s="732"/>
      <c r="N37" s="732"/>
      <c r="O37" s="732"/>
      <c r="P37" s="733"/>
      <c r="Q37" s="177"/>
      <c r="R37" s="1164"/>
    </row>
    <row r="38" spans="2:19" s="129" customFormat="1">
      <c r="B38" s="127"/>
      <c r="C38" s="25"/>
      <c r="D38" s="128"/>
      <c r="E38" s="27"/>
      <c r="F38" s="27"/>
      <c r="G38" s="27"/>
      <c r="H38" s="27"/>
      <c r="I38" s="27"/>
      <c r="J38" s="734" t="s">
        <v>25</v>
      </c>
      <c r="K38" s="735"/>
      <c r="L38" s="655" t="s">
        <v>14</v>
      </c>
      <c r="M38" s="655" t="s">
        <v>158</v>
      </c>
      <c r="N38" s="655" t="s">
        <v>159</v>
      </c>
      <c r="O38" s="655" t="s">
        <v>22</v>
      </c>
      <c r="P38" s="656" t="s">
        <v>16</v>
      </c>
      <c r="Q38" s="177"/>
      <c r="R38" s="49"/>
    </row>
    <row r="39" spans="2:19" s="129" customFormat="1">
      <c r="B39" s="127"/>
      <c r="C39" s="25"/>
      <c r="D39" s="128"/>
      <c r="E39" s="27"/>
      <c r="F39" s="27"/>
      <c r="G39" s="27"/>
      <c r="H39" s="27"/>
      <c r="I39" s="27"/>
      <c r="J39" s="736" t="s">
        <v>26</v>
      </c>
      <c r="K39" s="737"/>
      <c r="L39" s="738">
        <f>+L6+L17+L28</f>
        <v>-81114.05716399994</v>
      </c>
      <c r="M39" s="738">
        <f>+M6+M17+M28</f>
        <v>-78868.865180000008</v>
      </c>
      <c r="N39" s="738">
        <f>N17</f>
        <v>0</v>
      </c>
      <c r="O39" s="738">
        <f>O17</f>
        <v>-78868.865180000008</v>
      </c>
      <c r="P39" s="739">
        <f>+P6+P17+P28</f>
        <v>2245.1919839999318</v>
      </c>
      <c r="Q39" s="177"/>
      <c r="R39" s="49"/>
    </row>
    <row r="40" spans="2:19" s="129" customFormat="1" ht="15">
      <c r="B40" s="127"/>
      <c r="C40" s="25"/>
      <c r="D40" s="128"/>
      <c r="E40" s="27"/>
      <c r="F40" s="27"/>
      <c r="G40" s="27"/>
      <c r="H40" s="27"/>
      <c r="I40" s="27"/>
      <c r="J40" s="736" t="s">
        <v>27</v>
      </c>
      <c r="K40" s="737"/>
      <c r="L40" s="740" t="e">
        <f>+L12+L23+L34</f>
        <v>#VALUE!</v>
      </c>
      <c r="M40" s="740">
        <f>+M12+M23+M34</f>
        <v>-4185.6868610600004</v>
      </c>
      <c r="N40" s="740">
        <f>N23</f>
        <v>-1449.2688189399998</v>
      </c>
      <c r="O40" s="740">
        <f>O23</f>
        <v>-5634.95568</v>
      </c>
      <c r="P40" s="741" t="e">
        <f>+P12+P23+P34</f>
        <v>#VALUE!</v>
      </c>
      <c r="Q40" s="177"/>
      <c r="R40" s="49"/>
    </row>
    <row r="41" spans="2:19" s="129" customFormat="1" ht="13.5" thickBot="1">
      <c r="B41" s="127"/>
      <c r="C41" s="25"/>
      <c r="D41" s="128"/>
      <c r="E41" s="27"/>
      <c r="F41" s="27"/>
      <c r="G41" s="27"/>
      <c r="H41" s="27"/>
      <c r="I41" s="27"/>
      <c r="J41" s="736" t="s">
        <v>28</v>
      </c>
      <c r="K41" s="742"/>
      <c r="L41" s="743" t="e">
        <f>SUM(L39:L40)</f>
        <v>#VALUE!</v>
      </c>
      <c r="M41" s="743">
        <f>SUM(M39:M40)</f>
        <v>-83054.552041060015</v>
      </c>
      <c r="N41" s="743">
        <f>SUM(N39:N40)</f>
        <v>-1449.2688189399998</v>
      </c>
      <c r="O41" s="743">
        <f>SUM(O39:O40)</f>
        <v>-84503.820860000007</v>
      </c>
      <c r="P41" s="743" t="e">
        <f>SUM(P39:P40)</f>
        <v>#VALUE!</v>
      </c>
      <c r="Q41" s="177"/>
      <c r="R41" s="49"/>
      <c r="S41" s="31"/>
    </row>
    <row r="42" spans="2:19" s="129" customFormat="1" ht="14.25" thickTop="1" thickBot="1">
      <c r="B42" s="127"/>
      <c r="C42" s="25"/>
      <c r="D42" s="128"/>
      <c r="E42" s="27"/>
      <c r="F42" s="27"/>
      <c r="G42" s="27"/>
      <c r="H42" s="27"/>
      <c r="I42" s="27"/>
      <c r="J42" s="744"/>
      <c r="K42" s="745"/>
      <c r="L42" s="746"/>
      <c r="M42" s="746"/>
      <c r="N42" s="746"/>
      <c r="O42" s="746"/>
      <c r="P42" s="747"/>
      <c r="Q42" s="177"/>
      <c r="R42" s="49"/>
    </row>
    <row r="43" spans="2:19" ht="13.5" thickBot="1">
      <c r="R43" s="49"/>
      <c r="S43" s="31"/>
    </row>
    <row r="44" spans="2:19" ht="13.5" thickBot="1">
      <c r="B44" s="674"/>
      <c r="C44" s="675" t="s">
        <v>42</v>
      </c>
      <c r="D44" s="160" t="s">
        <v>21</v>
      </c>
      <c r="E44" s="157" t="s">
        <v>5</v>
      </c>
      <c r="F44" s="158" t="s">
        <v>12</v>
      </c>
      <c r="G44" s="158" t="s">
        <v>11</v>
      </c>
      <c r="H44" s="158" t="s">
        <v>3</v>
      </c>
      <c r="I44" s="158" t="s">
        <v>10</v>
      </c>
      <c r="J44" s="158" t="s">
        <v>0</v>
      </c>
      <c r="K44" s="162" t="s">
        <v>2</v>
      </c>
      <c r="L44" s="160" t="s">
        <v>14</v>
      </c>
      <c r="M44" s="163" t="s">
        <v>22</v>
      </c>
      <c r="N44" s="160" t="s">
        <v>164</v>
      </c>
      <c r="O44" s="160" t="s">
        <v>22</v>
      </c>
      <c r="P44" s="160" t="s">
        <v>16</v>
      </c>
    </row>
    <row r="45" spans="2:19" ht="21" hidden="1" customHeight="1">
      <c r="B45" s="1496" t="s">
        <v>19</v>
      </c>
      <c r="C45" s="1499" t="s">
        <v>8</v>
      </c>
      <c r="D45" s="131" t="s">
        <v>1</v>
      </c>
      <c r="E45" s="132" t="s">
        <v>1</v>
      </c>
      <c r="F45" s="45"/>
      <c r="G45" s="45">
        <v>0</v>
      </c>
      <c r="H45" s="45">
        <v>0</v>
      </c>
      <c r="I45" s="133">
        <f>+F45</f>
        <v>0</v>
      </c>
      <c r="J45" s="197">
        <f>'SUMMARY BRL'!J19</f>
        <v>2.3E-2</v>
      </c>
      <c r="K45" s="134">
        <f>F45+G45+L45</f>
        <v>0</v>
      </c>
      <c r="L45" s="135">
        <f>IF((-I45*J45)&gt;=0,0,(-I45*J45))</f>
        <v>0</v>
      </c>
    </row>
    <row r="46" spans="2:19" ht="21" hidden="1" customHeight="1" thickBot="1">
      <c r="B46" s="1497"/>
      <c r="C46" s="1500"/>
      <c r="D46" s="136" t="s">
        <v>7</v>
      </c>
      <c r="E46" s="137" t="s">
        <v>34</v>
      </c>
      <c r="F46" s="138">
        <v>0</v>
      </c>
      <c r="G46" s="138">
        <v>0</v>
      </c>
      <c r="H46" s="138">
        <v>0</v>
      </c>
      <c r="I46" s="138">
        <f>+F46</f>
        <v>0</v>
      </c>
      <c r="J46" s="306">
        <f>'SUMMARY BRL'!J20</f>
        <v>2.3E-2</v>
      </c>
      <c r="K46" s="139">
        <f>F46+G46+L46</f>
        <v>0</v>
      </c>
      <c r="L46" s="140">
        <f>IF((-I46*J46)&gt;=0,0,(-I46*J46))</f>
        <v>0</v>
      </c>
      <c r="M46" s="41"/>
      <c r="N46" s="41"/>
      <c r="O46" s="41"/>
      <c r="P46" s="41"/>
    </row>
    <row r="47" spans="2:19" ht="21" hidden="1" customHeight="1" thickBot="1">
      <c r="B47" s="1497"/>
      <c r="C47" s="1500"/>
      <c r="D47" s="141" t="s">
        <v>9</v>
      </c>
      <c r="E47" s="142"/>
      <c r="F47" s="51">
        <f>SUM(F45:F46)</f>
        <v>0</v>
      </c>
      <c r="G47" s="51">
        <f>SUM(G45:G46)</f>
        <v>0</v>
      </c>
      <c r="H47" s="51">
        <f>SUM(H45:H46)</f>
        <v>0</v>
      </c>
      <c r="I47" s="51">
        <f>SUM(I45:I46)</f>
        <v>0</v>
      </c>
      <c r="J47" s="309">
        <v>0.01</v>
      </c>
      <c r="K47" s="143">
        <f>SUM(K45:K46)</f>
        <v>0</v>
      </c>
      <c r="L47" s="144">
        <f>SUM(L45:L46)</f>
        <v>0</v>
      </c>
      <c r="M47" s="145">
        <f>L47</f>
        <v>0</v>
      </c>
      <c r="N47" s="145"/>
      <c r="O47" s="145"/>
      <c r="P47" s="55">
        <f>+M47-L47</f>
        <v>0</v>
      </c>
      <c r="Q47" s="31"/>
    </row>
    <row r="48" spans="2:19" ht="21" customHeight="1" thickBot="1">
      <c r="B48" s="1497"/>
      <c r="C48" s="1499" t="s">
        <v>13</v>
      </c>
      <c r="D48" s="624" t="s">
        <v>1</v>
      </c>
      <c r="E48" s="625" t="s">
        <v>1</v>
      </c>
      <c r="F48" s="754">
        <f>INPUT!N20/1000</f>
        <v>90090.618369999909</v>
      </c>
      <c r="G48" s="754">
        <v>0</v>
      </c>
      <c r="H48" s="754">
        <v>0</v>
      </c>
      <c r="I48" s="754">
        <f>F48+G48+H48</f>
        <v>90090.618369999909</v>
      </c>
      <c r="J48" s="1214">
        <f>INPUT!T5</f>
        <v>1.9E-2</v>
      </c>
      <c r="K48" s="756">
        <f>F48+G48+L48</f>
        <v>88378.896620969914</v>
      </c>
      <c r="L48" s="683">
        <f>IF((-I48*J48)&gt;=0,0,(-I48*J48))</f>
        <v>-1711.7217490299981</v>
      </c>
      <c r="M48" s="757"/>
      <c r="N48" s="757"/>
      <c r="O48" s="757"/>
      <c r="P48" s="757"/>
    </row>
    <row r="49" spans="2:18" ht="21" customHeight="1" thickBot="1">
      <c r="B49" s="1497"/>
      <c r="C49" s="1500"/>
      <c r="D49" s="630" t="s">
        <v>7</v>
      </c>
      <c r="E49" s="631" t="s">
        <v>33</v>
      </c>
      <c r="F49" s="754">
        <f>INPUT!N19/1000</f>
        <v>12008.533049999998</v>
      </c>
      <c r="G49" s="754"/>
      <c r="H49" s="754"/>
      <c r="I49" s="754">
        <f>F49+G49+H49</f>
        <v>12008.533049999998</v>
      </c>
      <c r="J49" s="1214">
        <f>INPUT!T5</f>
        <v>1.9E-2</v>
      </c>
      <c r="K49" s="756">
        <f>F49+G49+L49</f>
        <v>11780.370922049999</v>
      </c>
      <c r="L49" s="683">
        <f>IF((-I49*J49)&gt;=0,0,(-I49*J49))</f>
        <v>-228.16212794999996</v>
      </c>
      <c r="M49" s="757"/>
      <c r="N49" s="757"/>
      <c r="O49" s="757"/>
      <c r="P49" s="757"/>
    </row>
    <row r="50" spans="2:18" ht="21" customHeight="1" thickBot="1">
      <c r="B50" s="1497"/>
      <c r="C50" s="1500"/>
      <c r="D50" s="630" t="s">
        <v>4</v>
      </c>
      <c r="E50" s="631" t="s">
        <v>172</v>
      </c>
      <c r="F50" s="754"/>
      <c r="G50" s="754">
        <v>0</v>
      </c>
      <c r="H50" s="754">
        <v>0</v>
      </c>
      <c r="I50" s="754">
        <f>F50+G50+H50</f>
        <v>0</v>
      </c>
      <c r="J50" s="755">
        <f>INPUT!T6</f>
        <v>0.6</v>
      </c>
      <c r="K50" s="756">
        <f>F50+G50+L50</f>
        <v>0</v>
      </c>
      <c r="L50" s="683">
        <f>IF((-I50*J50)&gt;=0,0,(-I50*J50))</f>
        <v>0</v>
      </c>
      <c r="M50" s="697"/>
      <c r="N50" s="697"/>
      <c r="O50" s="697"/>
      <c r="P50" s="757"/>
    </row>
    <row r="51" spans="2:18" ht="21" customHeight="1" thickBot="1">
      <c r="B51" s="1497"/>
      <c r="C51" s="1500"/>
      <c r="D51" s="759" t="s">
        <v>9</v>
      </c>
      <c r="E51" s="760"/>
      <c r="F51" s="698">
        <f>SUM(F48:F50)</f>
        <v>102099.15141999991</v>
      </c>
      <c r="G51" s="698">
        <f>SUM(G48:G50)</f>
        <v>0</v>
      </c>
      <c r="H51" s="698">
        <f>SUM(H48:H50)</f>
        <v>0</v>
      </c>
      <c r="I51" s="698">
        <f>SUM(I48:I50)</f>
        <v>102099.15141999991</v>
      </c>
      <c r="J51" s="761">
        <f>+-(L48+L50)/(I48+I50)</f>
        <v>1.9E-2</v>
      </c>
      <c r="K51" s="762">
        <f>SUM(K48:K50)</f>
        <v>100159.26754301992</v>
      </c>
      <c r="L51" s="763">
        <f>SUM(L48:L50)</f>
        <v>-1939.8838769799981</v>
      </c>
      <c r="M51" s="764">
        <f>(INPUT!N23+INPUT!N25)/1000</f>
        <v>-4174.6734200000001</v>
      </c>
      <c r="N51" s="764"/>
      <c r="O51" s="764">
        <f>N51+M51</f>
        <v>-4174.6734200000001</v>
      </c>
      <c r="P51" s="764">
        <f>-L51+M51</f>
        <v>-2234.7895430200019</v>
      </c>
      <c r="Q51" s="31"/>
    </row>
    <row r="52" spans="2:18" ht="13.5" thickBot="1">
      <c r="B52" s="1498"/>
      <c r="C52" s="765" t="s">
        <v>18</v>
      </c>
      <c r="D52" s="766"/>
      <c r="E52" s="767"/>
      <c r="F52" s="768">
        <f>+F51+F47</f>
        <v>102099.15141999991</v>
      </c>
      <c r="G52" s="768">
        <f>+G51+G47</f>
        <v>0</v>
      </c>
      <c r="H52" s="768">
        <f>+H51+H47</f>
        <v>0</v>
      </c>
      <c r="I52" s="768">
        <f>+I51+I47</f>
        <v>102099.15141999991</v>
      </c>
      <c r="J52" s="769">
        <f>IF(ISERROR(-L52/I52),0,IF(-L52/I52&lt;0,100%,IF(-L52/I52&gt;100%,100%,-L52/I52)))</f>
        <v>1.9E-2</v>
      </c>
      <c r="K52" s="768">
        <f>F52+G52+L52</f>
        <v>100159.26754301992</v>
      </c>
      <c r="L52" s="770">
        <f>SUM(L51,L47)</f>
        <v>-1939.8838769799981</v>
      </c>
      <c r="M52" s="770">
        <f>SUM(M51,M47)</f>
        <v>-4174.6734200000001</v>
      </c>
      <c r="N52" s="771"/>
      <c r="O52" s="771">
        <f>M52</f>
        <v>-4174.6734200000001</v>
      </c>
      <c r="P52" s="772">
        <f>SUM(P51,P47)</f>
        <v>-2234.7895430200019</v>
      </c>
      <c r="Q52" s="31"/>
      <c r="R52" s="1164"/>
    </row>
    <row r="53" spans="2:18">
      <c r="F53" s="516" t="s">
        <v>132</v>
      </c>
      <c r="L53" s="31"/>
      <c r="Q53" s="41"/>
    </row>
    <row r="54" spans="2:18" ht="13.5" thickBot="1">
      <c r="D54" s="180"/>
      <c r="E54" s="180"/>
      <c r="F54" s="180"/>
      <c r="H54" s="180"/>
      <c r="O54" s="31"/>
      <c r="P54" s="31"/>
    </row>
    <row r="55" spans="2:18" ht="13.5" thickBot="1">
      <c r="D55" s="1486" t="s">
        <v>23</v>
      </c>
      <c r="E55" s="1487"/>
      <c r="F55" s="538">
        <f>F6+F17+F28+G6+G17+G28</f>
        <v>81450.990289999943</v>
      </c>
      <c r="G55" s="222">
        <f>INPUT!Q9/1000</f>
        <v>-162450.23161000002</v>
      </c>
      <c r="H55" s="222">
        <f>(F55-G55)*1000</f>
        <v>243901221.89999995</v>
      </c>
      <c r="L55" s="31"/>
      <c r="O55" s="31"/>
      <c r="P55" s="31">
        <f>P52+P36</f>
        <v>2938.3815551863495</v>
      </c>
    </row>
    <row r="56" spans="2:18">
      <c r="F56" s="30" t="s">
        <v>132</v>
      </c>
      <c r="G56" s="30" t="s">
        <v>132</v>
      </c>
      <c r="H56" s="30" t="s">
        <v>132</v>
      </c>
      <c r="L56" s="31"/>
      <c r="P56" s="31">
        <f>P55/3.8558</f>
        <v>762.06793796004706</v>
      </c>
    </row>
    <row r="57" spans="2:18">
      <c r="G57" s="31"/>
    </row>
  </sheetData>
  <mergeCells count="25">
    <mergeCell ref="D55:E55"/>
    <mergeCell ref="E1:L1"/>
    <mergeCell ref="B3:B36"/>
    <mergeCell ref="C3:C13"/>
    <mergeCell ref="D3:D5"/>
    <mergeCell ref="D6:E6"/>
    <mergeCell ref="D7:D9"/>
    <mergeCell ref="D10:D11"/>
    <mergeCell ref="D12:E12"/>
    <mergeCell ref="C14:C24"/>
    <mergeCell ref="D34:E34"/>
    <mergeCell ref="B2:C2"/>
    <mergeCell ref="B45:B52"/>
    <mergeCell ref="C45:C47"/>
    <mergeCell ref="C48:C51"/>
    <mergeCell ref="D14:D16"/>
    <mergeCell ref="D17:E17"/>
    <mergeCell ref="D18:D20"/>
    <mergeCell ref="D21:D22"/>
    <mergeCell ref="D23:E23"/>
    <mergeCell ref="C25:C35"/>
    <mergeCell ref="D25:D27"/>
    <mergeCell ref="D28:E28"/>
    <mergeCell ref="D29:D31"/>
    <mergeCell ref="D32:D33"/>
  </mergeCells>
  <pageMargins left="0.2" right="0.23622047244094491" top="0.48" bottom="0.36" header="0.31496062992125984" footer="0.31496062992125984"/>
  <pageSetup scale="61" orientation="landscape" r:id="rId1"/>
  <ignoredErrors>
    <ignoredError sqref="I17:J17 K17:L17 J23:J36" formula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B1:T74"/>
  <sheetViews>
    <sheetView showGridLines="0" zoomScale="90" zoomScaleNormal="90" workbookViewId="0">
      <selection activeCell="R12" sqref="R12"/>
    </sheetView>
  </sheetViews>
  <sheetFormatPr defaultRowHeight="12.75"/>
  <cols>
    <col min="1" max="1" width="1.85546875" style="180" customWidth="1"/>
    <col min="2" max="2" width="4.140625" style="180" customWidth="1"/>
    <col min="3" max="3" width="5.85546875" style="180" customWidth="1"/>
    <col min="4" max="4" width="10.140625" style="180" bestFit="1" customWidth="1"/>
    <col min="5" max="5" width="25.140625" style="180" customWidth="1"/>
    <col min="6" max="6" width="13" style="180" bestFit="1" customWidth="1"/>
    <col min="7" max="7" width="12" style="180" bestFit="1" customWidth="1"/>
    <col min="8" max="8" width="14.140625" style="180" bestFit="1" customWidth="1"/>
    <col min="9" max="9" width="12.7109375" style="180" bestFit="1" customWidth="1"/>
    <col min="10" max="10" width="11.5703125" style="180" customWidth="1"/>
    <col min="11" max="11" width="8.5703125" style="180" bestFit="1" customWidth="1"/>
    <col min="12" max="12" width="15.28515625" style="180" bestFit="1" customWidth="1"/>
    <col min="13" max="13" width="15.140625" style="180" bestFit="1" customWidth="1"/>
    <col min="14" max="15" width="15.7109375" style="180" customWidth="1"/>
    <col min="16" max="16" width="14" style="180" bestFit="1" customWidth="1"/>
    <col min="17" max="17" width="2.42578125" style="339" customWidth="1"/>
    <col min="18" max="18" width="10.85546875" style="180" bestFit="1" customWidth="1"/>
    <col min="19" max="19" width="7.85546875" style="180" customWidth="1"/>
    <col min="20" max="16384" width="9.140625" style="180"/>
  </cols>
  <sheetData>
    <row r="1" spans="2:20" ht="21.75" thickBot="1">
      <c r="C1" s="330"/>
      <c r="D1" s="225"/>
      <c r="E1" s="1488" t="s">
        <v>146</v>
      </c>
      <c r="F1" s="1488"/>
      <c r="G1" s="1488"/>
      <c r="H1" s="1488"/>
      <c r="I1" s="1488"/>
      <c r="J1" s="1488"/>
      <c r="K1" s="1488"/>
      <c r="L1" s="1488"/>
      <c r="M1" s="181"/>
      <c r="N1" s="181"/>
      <c r="O1" s="181"/>
      <c r="P1" s="181"/>
      <c r="Q1" s="331"/>
    </row>
    <row r="2" spans="2:20" ht="15.75" thickBot="1">
      <c r="B2" s="1449" t="s">
        <v>108</v>
      </c>
      <c r="C2" s="1450"/>
      <c r="D2" s="157" t="s">
        <v>21</v>
      </c>
      <c r="E2" s="157" t="s">
        <v>5</v>
      </c>
      <c r="F2" s="157" t="s">
        <v>12</v>
      </c>
      <c r="G2" s="158" t="s">
        <v>11</v>
      </c>
      <c r="H2" s="158" t="s">
        <v>3</v>
      </c>
      <c r="I2" s="158" t="s">
        <v>10</v>
      </c>
      <c r="J2" s="158" t="s">
        <v>0</v>
      </c>
      <c r="K2" s="159" t="s">
        <v>2</v>
      </c>
      <c r="L2" s="160" t="s">
        <v>14</v>
      </c>
      <c r="M2" s="160" t="s">
        <v>155</v>
      </c>
      <c r="N2" s="526" t="s">
        <v>164</v>
      </c>
      <c r="O2" s="526" t="s">
        <v>22</v>
      </c>
      <c r="P2" s="161" t="s">
        <v>16</v>
      </c>
      <c r="Q2" s="332"/>
    </row>
    <row r="3" spans="2:20">
      <c r="B3" s="1475" t="s">
        <v>20</v>
      </c>
      <c r="C3" s="1475" t="s">
        <v>8</v>
      </c>
      <c r="D3" s="1513" t="s">
        <v>6</v>
      </c>
      <c r="E3" s="607" t="s">
        <v>37</v>
      </c>
      <c r="F3" s="867">
        <f>INPUT!B7</f>
        <v>111200.95915000002</v>
      </c>
      <c r="G3" s="867">
        <f>INPUT!D7</f>
        <v>-4438.6065499999995</v>
      </c>
      <c r="H3" s="428">
        <v>0</v>
      </c>
      <c r="I3" s="868">
        <f>F3+G3+H3</f>
        <v>106762.35260000003</v>
      </c>
      <c r="J3" s="609">
        <f>'SUMMARY BRL'!J6</f>
        <v>1</v>
      </c>
      <c r="K3" s="429">
        <f>IF((F3+G3+L3)&lt;0,0,(F3+G3+L3))</f>
        <v>0</v>
      </c>
      <c r="L3" s="430">
        <f>IF((-I3*J3)&gt;=0,0,(-I3*J3))</f>
        <v>-106762.35260000003</v>
      </c>
      <c r="M3" s="190"/>
      <c r="N3" s="190"/>
      <c r="O3" s="190"/>
      <c r="P3" s="869"/>
      <c r="Q3" s="332"/>
    </row>
    <row r="4" spans="2:20">
      <c r="B4" s="1476"/>
      <c r="C4" s="1476"/>
      <c r="D4" s="1514"/>
      <c r="E4" s="610" t="s">
        <v>38</v>
      </c>
      <c r="F4" s="611">
        <f>INPUT!B8</f>
        <v>0</v>
      </c>
      <c r="G4" s="611">
        <f>INPUT!D8</f>
        <v>0</v>
      </c>
      <c r="H4" s="435">
        <v>0</v>
      </c>
      <c r="I4" s="446">
        <f>F4+G4+H4</f>
        <v>0</v>
      </c>
      <c r="J4" s="612">
        <v>0.9</v>
      </c>
      <c r="K4" s="436">
        <f>IF((F4+G4+L4)&lt;0,0,(F4+G4+L4))</f>
        <v>0</v>
      </c>
      <c r="L4" s="437">
        <f>IF((-I4*J4)&gt;=0,0,(-I4*J4))</f>
        <v>0</v>
      </c>
      <c r="M4" s="200"/>
      <c r="N4" s="200"/>
      <c r="O4" s="200"/>
      <c r="P4" s="870"/>
      <c r="Q4" s="332"/>
    </row>
    <row r="5" spans="2:20" ht="13.5" thickBot="1">
      <c r="B5" s="1476"/>
      <c r="C5" s="1476"/>
      <c r="D5" s="1515"/>
      <c r="E5" s="610" t="s">
        <v>36</v>
      </c>
      <c r="F5" s="613">
        <f>INPUT!B9</f>
        <v>0</v>
      </c>
      <c r="G5" s="613">
        <f>INPUT!D9</f>
        <v>0</v>
      </c>
      <c r="H5" s="435">
        <v>0</v>
      </c>
      <c r="I5" s="453">
        <f>F5+G5+H5</f>
        <v>0</v>
      </c>
      <c r="J5" s="614">
        <v>0.9</v>
      </c>
      <c r="K5" s="436">
        <f>IF((F5+G5+L5)&lt;0,0,(F5+G5+L5))</f>
        <v>0</v>
      </c>
      <c r="L5" s="437">
        <f>IF((-I5*J5)&gt;=0,0,(-I5*J5))</f>
        <v>0</v>
      </c>
      <c r="M5" s="294"/>
      <c r="N5" s="294"/>
      <c r="O5" s="294"/>
      <c r="P5" s="870"/>
      <c r="Q5" s="332"/>
    </row>
    <row r="6" spans="2:20" ht="13.5" thickBot="1">
      <c r="B6" s="1476"/>
      <c r="C6" s="1476"/>
      <c r="D6" s="1516" t="s">
        <v>23</v>
      </c>
      <c r="E6" s="1517"/>
      <c r="F6" s="862">
        <f>SUM(F3:F5)</f>
        <v>111200.95915000002</v>
      </c>
      <c r="G6" s="872">
        <f>SUM(G3:G5)</f>
        <v>-4438.6065499999995</v>
      </c>
      <c r="H6" s="873"/>
      <c r="I6" s="873">
        <f>SUM(I3:I5)</f>
        <v>106762.35260000003</v>
      </c>
      <c r="J6" s="863">
        <f>IF(ISERROR(-L6/I6),0,IF(-L6/I6&lt;0,100%,IF(-L6/I6&gt;100%,100%,-L6/I6)))</f>
        <v>1</v>
      </c>
      <c r="K6" s="873">
        <f>SUM(K3:K5)</f>
        <v>0</v>
      </c>
      <c r="L6" s="865">
        <f>SUM(L3:L5)</f>
        <v>-106762.35260000003</v>
      </c>
      <c r="M6" s="871">
        <f>(INPUT!N7/1000)</f>
        <v>-110099.75354999999</v>
      </c>
      <c r="N6" s="871">
        <v>0</v>
      </c>
      <c r="O6" s="871">
        <f>M6+N6</f>
        <v>-110099.75354999999</v>
      </c>
      <c r="P6" s="871">
        <f>(N6+M6)-L6</f>
        <v>-3337.4009499999665</v>
      </c>
      <c r="Q6" s="334"/>
      <c r="S6" s="182"/>
    </row>
    <row r="7" spans="2:20">
      <c r="B7" s="1476"/>
      <c r="C7" s="1476"/>
      <c r="D7" s="1514" t="s">
        <v>4</v>
      </c>
      <c r="E7" s="617" t="s">
        <v>39</v>
      </c>
      <c r="F7" s="618">
        <f>INPUT!B10+INPUT!B11+INPUT!B12</f>
        <v>29778.086279999989</v>
      </c>
      <c r="G7" s="618">
        <f>INPUT!D10+INPUT!D11+INPUT!D12</f>
        <v>0</v>
      </c>
      <c r="H7" s="618">
        <f>INPUT!F10+INPUT!F11+INPUT!F12</f>
        <v>-6157.8847638517582</v>
      </c>
      <c r="I7" s="446">
        <f>F7+G7+H7</f>
        <v>23620.20151614823</v>
      </c>
      <c r="J7" s="609">
        <f>INPUT!$T$6</f>
        <v>0.6</v>
      </c>
      <c r="K7" s="436">
        <f>IF((F7+G7+L7)&lt;0,0,(F7+G7+L7))</f>
        <v>15605.965370311051</v>
      </c>
      <c r="L7" s="437">
        <f>IF((-I7*J7)&gt;=0,0,(-I7*J7))</f>
        <v>-14172.120909688938</v>
      </c>
      <c r="M7" s="517"/>
      <c r="N7" s="517"/>
      <c r="O7" s="517"/>
      <c r="P7" s="870"/>
      <c r="Q7" s="332"/>
      <c r="R7" s="181"/>
      <c r="S7" s="181"/>
      <c r="T7" s="181"/>
    </row>
    <row r="8" spans="2:20">
      <c r="B8" s="1476"/>
      <c r="C8" s="1476"/>
      <c r="D8" s="1514"/>
      <c r="E8" s="617" t="s">
        <v>33</v>
      </c>
      <c r="F8" s="618">
        <f>INPUT!B13</f>
        <v>0</v>
      </c>
      <c r="G8" s="618">
        <f>INPUT!D13</f>
        <v>0</v>
      </c>
      <c r="H8" s="618">
        <f>INPUT!F13</f>
        <v>0</v>
      </c>
      <c r="I8" s="446">
        <f>F8+G8+H8</f>
        <v>0</v>
      </c>
      <c r="J8" s="612">
        <f>INPUT!$T$6</f>
        <v>0.6</v>
      </c>
      <c r="K8" s="436">
        <f>IF((F8+G8+L8)&lt;0,0,(F8+G8+L8))</f>
        <v>0</v>
      </c>
      <c r="L8" s="437">
        <f>IF((-I8*J8)&gt;=0,0,(-I8*J8))</f>
        <v>0</v>
      </c>
      <c r="M8" s="200"/>
      <c r="N8" s="200"/>
      <c r="O8" s="200"/>
      <c r="P8" s="870"/>
      <c r="Q8" s="332"/>
      <c r="R8" s="181"/>
      <c r="S8" s="181"/>
      <c r="T8" s="181"/>
    </row>
    <row r="9" spans="2:20">
      <c r="B9" s="1476"/>
      <c r="C9" s="1476"/>
      <c r="D9" s="1518"/>
      <c r="E9" s="619" t="s">
        <v>1</v>
      </c>
      <c r="F9" s="620">
        <f>INPUT!B14</f>
        <v>0</v>
      </c>
      <c r="G9" s="620">
        <f>INPUT!D14</f>
        <v>0</v>
      </c>
      <c r="H9" s="620">
        <f>INPUT!F14</f>
        <v>0</v>
      </c>
      <c r="I9" s="453">
        <f>F9+G9+H9</f>
        <v>0</v>
      </c>
      <c r="J9" s="614">
        <f>INPUT!$T$6</f>
        <v>0.6</v>
      </c>
      <c r="K9" s="455">
        <f>IF((F9+G9+L9)&lt;0,0,(F9+G9+L9))</f>
        <v>0</v>
      </c>
      <c r="L9" s="621">
        <f>IF((-I9*J9)&gt;=0,0,(-I9*J9))</f>
        <v>0</v>
      </c>
      <c r="M9" s="200"/>
      <c r="N9" s="200"/>
      <c r="O9" s="200"/>
      <c r="P9" s="870"/>
      <c r="Q9" s="332"/>
      <c r="R9" s="1298"/>
      <c r="S9" s="225">
        <f>L10+L11</f>
        <v>-3228.3744305044602</v>
      </c>
    </row>
    <row r="10" spans="2:20">
      <c r="B10" s="1476"/>
      <c r="C10" s="1476"/>
      <c r="D10" s="1398" t="s">
        <v>40</v>
      </c>
      <c r="E10" s="610" t="s">
        <v>33</v>
      </c>
      <c r="F10" s="622">
        <f>INPUT!B15</f>
        <v>105632.06635999979</v>
      </c>
      <c r="G10" s="622">
        <f>INPUT!D15</f>
        <v>0</v>
      </c>
      <c r="H10" s="622">
        <f>INPUT!F15</f>
        <v>-16804.416992762744</v>
      </c>
      <c r="I10" s="435">
        <f>F10+G10+H10</f>
        <v>88827.649367237056</v>
      </c>
      <c r="J10" s="1277">
        <f>INPUT!T5</f>
        <v>1.9E-2</v>
      </c>
      <c r="K10" s="436">
        <f>IF((F10+G10+L10)&lt;0,0,(F10+G10+L10))</f>
        <v>103944.34102202229</v>
      </c>
      <c r="L10" s="437">
        <f>IF((-I10*J10)&gt;=0,0,(-I10*J10))</f>
        <v>-1687.7253379775041</v>
      </c>
      <c r="M10" s="200"/>
      <c r="N10" s="200"/>
      <c r="O10" s="200"/>
      <c r="P10" s="870"/>
      <c r="Q10" s="332"/>
      <c r="R10" s="1365"/>
    </row>
    <row r="11" spans="2:20" ht="13.5" thickBot="1">
      <c r="B11" s="1476"/>
      <c r="C11" s="1476"/>
      <c r="D11" s="1514"/>
      <c r="E11" s="610" t="s">
        <v>41</v>
      </c>
      <c r="F11" s="618">
        <f>INPUT!B16</f>
        <v>153729.17864999984</v>
      </c>
      <c r="G11" s="618">
        <f>INPUT!L7+INPUT!D16</f>
        <v>-20612.121719999999</v>
      </c>
      <c r="H11" s="618">
        <f>INPUT!F16</f>
        <v>-52030.262586475852</v>
      </c>
      <c r="I11" s="435">
        <f>F11+G11+H11</f>
        <v>81086.794343524001</v>
      </c>
      <c r="J11" s="1278">
        <f>INPUT!T5</f>
        <v>1.9E-2</v>
      </c>
      <c r="K11" s="436">
        <f>IF((F11+G11+L11)&lt;0,0,(F11+G11+L11))</f>
        <v>131576.40783747289</v>
      </c>
      <c r="L11" s="437">
        <f>IF((-I11*J11)&gt;=0,0,(-I11*J11))</f>
        <v>-1540.6490925269559</v>
      </c>
      <c r="M11" s="448"/>
      <c r="N11" s="294"/>
      <c r="O11" s="294"/>
      <c r="P11" s="870"/>
      <c r="Q11" s="332"/>
      <c r="S11" s="180">
        <f>-1512</f>
        <v>-1512</v>
      </c>
    </row>
    <row r="12" spans="2:20" ht="13.5" thickBot="1">
      <c r="B12" s="1476"/>
      <c r="C12" s="1476"/>
      <c r="D12" s="1516" t="s">
        <v>24</v>
      </c>
      <c r="E12" s="1517"/>
      <c r="F12" s="862">
        <f>SUM(F7:F11)</f>
        <v>289139.33128999965</v>
      </c>
      <c r="G12" s="862">
        <f>SUM(G7:G11)</f>
        <v>-20612.121719999999</v>
      </c>
      <c r="H12" s="862">
        <f>SUM(H7:H11)</f>
        <v>-74992.564343090358</v>
      </c>
      <c r="I12" s="862">
        <f>SUM(I7:I11)</f>
        <v>193534.64522690928</v>
      </c>
      <c r="J12" s="863">
        <f>IF(ISERROR(-L12/I12),0,IF(-L12/I12&lt;0,100%,IF(-L12/I12&gt;100%,100%,-L12/I12)))</f>
        <v>8.9908942762120067E-2</v>
      </c>
      <c r="K12" s="862">
        <f>SUM(K7:K11)</f>
        <v>251126.71422980621</v>
      </c>
      <c r="L12" s="862">
        <f>SUM(L7:L11)</f>
        <v>-17400.4953401934</v>
      </c>
      <c r="M12" s="1159">
        <f>INPUT!O7/1000</f>
        <v>-13152.568340809999</v>
      </c>
      <c r="N12" s="871">
        <f>INPUT!P7/1000</f>
        <v>-1793.8939491900001</v>
      </c>
      <c r="O12" s="871">
        <f>M12+N12</f>
        <v>-14946.462289999999</v>
      </c>
      <c r="P12" s="871">
        <f>O12-L12</f>
        <v>2454.0330501934004</v>
      </c>
      <c r="Q12" s="334"/>
      <c r="R12" s="481">
        <f>-4.9+1.3-0.2</f>
        <v>-3.8000000000000007</v>
      </c>
    </row>
    <row r="13" spans="2:20" ht="13.5" thickBot="1">
      <c r="B13" s="1476"/>
      <c r="C13" s="1477"/>
      <c r="D13" s="67" t="s">
        <v>9</v>
      </c>
      <c r="E13" s="68"/>
      <c r="F13" s="223">
        <f>F12+F6</f>
        <v>400340.29043999966</v>
      </c>
      <c r="G13" s="223">
        <f>G12+G6</f>
        <v>-25050.72827</v>
      </c>
      <c r="H13" s="223">
        <f>H12+H6</f>
        <v>-74992.564343090358</v>
      </c>
      <c r="I13" s="223">
        <f>I12+I6</f>
        <v>300296.9978269093</v>
      </c>
      <c r="J13" s="70">
        <f>IF(ISERROR(-L13/I13),0,IF(-L13/I13&lt;0,100%,IF(-L13/I13&gt;100%,100%,-L13/I13)))</f>
        <v>0.41346683063332085</v>
      </c>
      <c r="K13" s="223">
        <f>K12+K6</f>
        <v>251126.71422980621</v>
      </c>
      <c r="L13" s="223">
        <f>L12+L6</f>
        <v>-124162.84794019343</v>
      </c>
      <c r="M13" s="224">
        <f>SUM(M12,M6)</f>
        <v>-123252.32189081</v>
      </c>
      <c r="N13" s="224">
        <f>N12+N6</f>
        <v>-1793.8939491900001</v>
      </c>
      <c r="O13" s="209">
        <f>M13+N13</f>
        <v>-125046.21583999999</v>
      </c>
      <c r="P13" s="224">
        <f>SUM(P12,P6)</f>
        <v>-883.36789980656613</v>
      </c>
      <c r="Q13" s="334"/>
      <c r="R13" s="182"/>
      <c r="S13" s="225">
        <f>P13/3.308</f>
        <v>-267.03987297659194</v>
      </c>
    </row>
    <row r="14" spans="2:20">
      <c r="B14" s="1476"/>
      <c r="C14" s="1380" t="s">
        <v>13</v>
      </c>
      <c r="D14" s="1507" t="s">
        <v>6</v>
      </c>
      <c r="E14" s="226" t="s">
        <v>37</v>
      </c>
      <c r="F14" s="227"/>
      <c r="G14" s="321"/>
      <c r="H14" s="186">
        <v>0</v>
      </c>
      <c r="I14" s="228">
        <f>F14+G14+H14</f>
        <v>0</v>
      </c>
      <c r="J14" s="72">
        <f>'SUMMARY BRL'!J6</f>
        <v>1</v>
      </c>
      <c r="K14" s="229">
        <f>F14+G14+L14</f>
        <v>0</v>
      </c>
      <c r="L14" s="230">
        <f>IF((-I14*J14)&gt;=0,0,(-I14*J14))</f>
        <v>0</v>
      </c>
      <c r="M14" s="190"/>
      <c r="N14" s="190"/>
      <c r="O14" s="190"/>
      <c r="P14" s="869"/>
      <c r="Q14" s="332"/>
      <c r="R14" s="225"/>
    </row>
    <row r="15" spans="2:20">
      <c r="B15" s="1476"/>
      <c r="C15" s="1383"/>
      <c r="D15" s="1508"/>
      <c r="E15" s="231" t="s">
        <v>38</v>
      </c>
      <c r="F15" s="232"/>
      <c r="G15" s="322"/>
      <c r="H15" s="195">
        <v>0</v>
      </c>
      <c r="I15" s="233">
        <f>F15+G15+H15</f>
        <v>0</v>
      </c>
      <c r="J15" s="73">
        <v>0.9</v>
      </c>
      <c r="K15" s="234">
        <f>F15+G15+L15</f>
        <v>0</v>
      </c>
      <c r="L15" s="235">
        <f>IF((-I15*J15)&gt;=0,0,(-I15*J15))</f>
        <v>0</v>
      </c>
      <c r="M15" s="200"/>
      <c r="N15" s="200"/>
      <c r="O15" s="200"/>
      <c r="P15" s="870"/>
      <c r="Q15" s="332"/>
      <c r="R15" s="225"/>
    </row>
    <row r="16" spans="2:20" ht="13.5" thickBot="1">
      <c r="B16" s="1476"/>
      <c r="C16" s="1383"/>
      <c r="D16" s="1511"/>
      <c r="E16" s="231" t="s">
        <v>36</v>
      </c>
      <c r="F16" s="232"/>
      <c r="G16" s="322"/>
      <c r="H16" s="195">
        <v>0</v>
      </c>
      <c r="I16" s="236">
        <f>F16+G16+H16</f>
        <v>0</v>
      </c>
      <c r="J16" s="74">
        <v>0.9</v>
      </c>
      <c r="K16" s="237">
        <f>F16+G16+L16</f>
        <v>0</v>
      </c>
      <c r="L16" s="235">
        <f>IF((-I16*J16)&gt;=0,0,(-I16*J16))</f>
        <v>0</v>
      </c>
      <c r="M16" s="200"/>
      <c r="N16" s="200"/>
      <c r="O16" s="200"/>
      <c r="P16" s="870"/>
      <c r="Q16" s="332"/>
      <c r="R16" s="225"/>
    </row>
    <row r="17" spans="2:19" ht="13.5" thickBot="1">
      <c r="B17" s="1476"/>
      <c r="C17" s="1383"/>
      <c r="D17" s="1505" t="s">
        <v>23</v>
      </c>
      <c r="E17" s="1506"/>
      <c r="F17" s="238">
        <f>SUM(F14:F16)</f>
        <v>0</v>
      </c>
      <c r="G17" s="239">
        <f>SUM(G14:G16)</f>
        <v>0</v>
      </c>
      <c r="H17" s="333"/>
      <c r="I17" s="240">
        <f>SUM(I14:I16)</f>
        <v>0</v>
      </c>
      <c r="J17" s="76">
        <f>IF(ISERROR(-L17/I17),0,IF(-L17/I17&lt;0,100%,IF(-L17/I17&gt;100%,100%,-L17/I17)))</f>
        <v>0</v>
      </c>
      <c r="K17" s="240">
        <f>SUM(K14:K16)</f>
        <v>0</v>
      </c>
      <c r="L17" s="241">
        <f>SUM(L14:L16)</f>
        <v>0</v>
      </c>
      <c r="M17" s="242"/>
      <c r="N17" s="242"/>
      <c r="O17" s="242"/>
      <c r="P17" s="242">
        <f>-L17+M17</f>
        <v>0</v>
      </c>
      <c r="Q17" s="332"/>
      <c r="R17" s="225"/>
    </row>
    <row r="18" spans="2:19">
      <c r="B18" s="1476"/>
      <c r="C18" s="1383"/>
      <c r="D18" s="1507" t="s">
        <v>4</v>
      </c>
      <c r="E18" s="244" t="s">
        <v>39</v>
      </c>
      <c r="F18" s="227"/>
      <c r="G18" s="323"/>
      <c r="H18" s="245"/>
      <c r="I18" s="245">
        <f>F18+G18+H18</f>
        <v>0</v>
      </c>
      <c r="J18" s="77">
        <f>'SUMMARY BRL'!J10</f>
        <v>0.6</v>
      </c>
      <c r="K18" s="246">
        <f>F18+G18+L18</f>
        <v>0</v>
      </c>
      <c r="L18" s="230">
        <f>IF((-I18*J18)&gt;=0,0,(-I18*J18))</f>
        <v>0</v>
      </c>
      <c r="M18" s="200"/>
      <c r="N18" s="200"/>
      <c r="O18" s="200"/>
      <c r="P18" s="870"/>
      <c r="Q18" s="332"/>
    </row>
    <row r="19" spans="2:19">
      <c r="B19" s="1476"/>
      <c r="C19" s="1383"/>
      <c r="D19" s="1508"/>
      <c r="E19" s="247" t="s">
        <v>33</v>
      </c>
      <c r="F19" s="232"/>
      <c r="G19" s="324"/>
      <c r="H19" s="249"/>
      <c r="I19" s="249">
        <f>F19+G19+H19</f>
        <v>0</v>
      </c>
      <c r="J19" s="78">
        <f>'SUMMARY BRL'!J11</f>
        <v>0.6</v>
      </c>
      <c r="K19" s="250">
        <f>F19+G19+L19</f>
        <v>0</v>
      </c>
      <c r="L19" s="235">
        <f>IF((-I19*J19)&gt;=0,0,(-I19*J19))</f>
        <v>0</v>
      </c>
      <c r="M19" s="200"/>
      <c r="N19" s="200"/>
      <c r="O19" s="200"/>
      <c r="P19" s="870"/>
      <c r="Q19" s="332"/>
    </row>
    <row r="20" spans="2:19">
      <c r="B20" s="1476"/>
      <c r="C20" s="1383"/>
      <c r="D20" s="1509"/>
      <c r="E20" s="251" t="s">
        <v>1</v>
      </c>
      <c r="F20" s="252"/>
      <c r="G20" s="325"/>
      <c r="H20" s="253"/>
      <c r="I20" s="253">
        <f>F20+G20+H20</f>
        <v>0</v>
      </c>
      <c r="J20" s="79">
        <f>'SUMMARY BRL'!J12</f>
        <v>0.6</v>
      </c>
      <c r="K20" s="254">
        <f>F20+G20+L20</f>
        <v>0</v>
      </c>
      <c r="L20" s="255">
        <f>IF((-I20*J20)&gt;=0,0,(-I20*J20))</f>
        <v>0</v>
      </c>
      <c r="M20" s="200"/>
      <c r="N20" s="200"/>
      <c r="O20" s="200"/>
      <c r="P20" s="870"/>
      <c r="Q20" s="332"/>
      <c r="R20" s="225"/>
      <c r="S20" s="225">
        <f>R20/3.3964</f>
        <v>0</v>
      </c>
    </row>
    <row r="21" spans="2:19">
      <c r="B21" s="1476"/>
      <c r="C21" s="1383"/>
      <c r="D21" s="1510" t="s">
        <v>40</v>
      </c>
      <c r="E21" s="231" t="s">
        <v>33</v>
      </c>
      <c r="F21" s="232"/>
      <c r="G21" s="324"/>
      <c r="H21" s="232"/>
      <c r="I21" s="249">
        <f>F21+G21+H21</f>
        <v>0</v>
      </c>
      <c r="J21" s="1255">
        <v>2.1999999999999999E-2</v>
      </c>
      <c r="K21" s="250">
        <f>F21+G21+L21</f>
        <v>0</v>
      </c>
      <c r="L21" s="235">
        <f>IF((-I21*J21)&gt;=0,0,(-I21*J21))</f>
        <v>0</v>
      </c>
      <c r="M21" s="200"/>
      <c r="N21" s="200"/>
      <c r="O21" s="200"/>
      <c r="P21" s="870"/>
      <c r="Q21" s="332"/>
    </row>
    <row r="22" spans="2:19" ht="13.5" thickBot="1">
      <c r="B22" s="1476"/>
      <c r="C22" s="1383"/>
      <c r="D22" s="1511"/>
      <c r="E22" s="231" t="s">
        <v>41</v>
      </c>
      <c r="F22" s="232"/>
      <c r="G22" s="248"/>
      <c r="H22" s="232"/>
      <c r="I22" s="249">
        <f>F22+G22+H22</f>
        <v>0</v>
      </c>
      <c r="J22" s="1256">
        <v>2.1999999999999999E-2</v>
      </c>
      <c r="K22" s="250">
        <f>F22+G22+L22</f>
        <v>0</v>
      </c>
      <c r="L22" s="235">
        <f>IF((-I22*J22)&gt;=0,0,(-I22*J22))</f>
        <v>0</v>
      </c>
      <c r="M22" s="200"/>
      <c r="N22" s="200"/>
      <c r="O22" s="200"/>
      <c r="P22" s="870"/>
      <c r="Q22" s="332"/>
    </row>
    <row r="23" spans="2:19" ht="13.5" thickBot="1">
      <c r="B23" s="1476"/>
      <c r="C23" s="1383"/>
      <c r="D23" s="1505" t="s">
        <v>24</v>
      </c>
      <c r="E23" s="1506"/>
      <c r="F23" s="238">
        <f>SUM(F18:F22)</f>
        <v>0</v>
      </c>
      <c r="G23" s="238">
        <f>SUM(G18:G22)</f>
        <v>0</v>
      </c>
      <c r="H23" s="238">
        <f>SUM(H18:H22)</f>
        <v>0</v>
      </c>
      <c r="I23" s="238">
        <f>SUM(I18:I22)</f>
        <v>0</v>
      </c>
      <c r="J23" s="76">
        <f>IF(ISERROR(-L23/I23),0,IF(-L23/I23&lt;0,100%,IF(-L23/I23&gt;100%,100%,-L23/I23)))</f>
        <v>0</v>
      </c>
      <c r="K23" s="238">
        <f>SUM(K18:K22)</f>
        <v>0</v>
      </c>
      <c r="L23" s="256">
        <f>SUM(L18:L22)</f>
        <v>0</v>
      </c>
      <c r="M23" s="242"/>
      <c r="N23" s="242"/>
      <c r="O23" s="242"/>
      <c r="P23" s="242">
        <f>-L23+M23</f>
        <v>0</v>
      </c>
      <c r="Q23" s="332"/>
    </row>
    <row r="24" spans="2:19" ht="13.5" thickBot="1">
      <c r="B24" s="1476"/>
      <c r="C24" s="1384"/>
      <c r="D24" s="83" t="s">
        <v>9</v>
      </c>
      <c r="E24" s="84"/>
      <c r="F24" s="257">
        <f>F17+F23</f>
        <v>0</v>
      </c>
      <c r="G24" s="257">
        <f>G17+G23</f>
        <v>0</v>
      </c>
      <c r="H24" s="257">
        <f>H17+H23</f>
        <v>0</v>
      </c>
      <c r="I24" s="257">
        <f>I17+I23</f>
        <v>0</v>
      </c>
      <c r="J24" s="85">
        <f>IF(ISERROR(-L24/I24),0,IF(-L24/I24&lt;0,100%,IF(-L24/I24&gt;100%,100%,-L24/I24)))</f>
        <v>0</v>
      </c>
      <c r="K24" s="257">
        <f>K17+K23</f>
        <v>0</v>
      </c>
      <c r="L24" s="257">
        <f>L17+L23</f>
        <v>0</v>
      </c>
      <c r="M24" s="258">
        <f>SUM(M17,M23)</f>
        <v>0</v>
      </c>
      <c r="N24" s="258"/>
      <c r="O24" s="258"/>
      <c r="P24" s="258">
        <f>SUM(P17,P23)</f>
        <v>0</v>
      </c>
      <c r="Q24" s="334"/>
    </row>
    <row r="25" spans="2:19">
      <c r="B25" s="1476"/>
      <c r="C25" s="1380" t="s">
        <v>15</v>
      </c>
      <c r="D25" s="1478" t="s">
        <v>6</v>
      </c>
      <c r="E25" s="259" t="s">
        <v>37</v>
      </c>
      <c r="F25" s="260"/>
      <c r="G25" s="261"/>
      <c r="H25" s="186"/>
      <c r="I25" s="262">
        <f>F25+G25+H25</f>
        <v>0</v>
      </c>
      <c r="J25" s="90">
        <f>'SUMMARY BRL'!J6</f>
        <v>1</v>
      </c>
      <c r="K25" s="263">
        <f>F25+G25+L25</f>
        <v>0</v>
      </c>
      <c r="L25" s="264">
        <f>IF((-I25*J25)&gt;=0,0,(-I25*J25))</f>
        <v>0</v>
      </c>
      <c r="M25" s="190"/>
      <c r="N25" s="190"/>
      <c r="O25" s="190"/>
      <c r="P25" s="869"/>
      <c r="Q25" s="332"/>
    </row>
    <row r="26" spans="2:19">
      <c r="B26" s="1476"/>
      <c r="C26" s="1383"/>
      <c r="D26" s="1479"/>
      <c r="E26" s="265" t="s">
        <v>38</v>
      </c>
      <c r="F26" s="266"/>
      <c r="G26" s="267"/>
      <c r="H26" s="195"/>
      <c r="I26" s="268">
        <f>F26+G26+H26</f>
        <v>0</v>
      </c>
      <c r="J26" s="97">
        <v>0.9</v>
      </c>
      <c r="K26" s="269">
        <f>F26+G26+L26</f>
        <v>0</v>
      </c>
      <c r="L26" s="270">
        <f>IF((-I26*J26)&gt;=0,0,(-I26*J26))</f>
        <v>0</v>
      </c>
      <c r="M26" s="200"/>
      <c r="N26" s="200"/>
      <c r="O26" s="200"/>
      <c r="P26" s="870"/>
      <c r="Q26" s="332"/>
      <c r="R26" s="225"/>
    </row>
    <row r="27" spans="2:19" ht="13.5" thickBot="1">
      <c r="B27" s="1476"/>
      <c r="C27" s="1383"/>
      <c r="D27" s="1512"/>
      <c r="E27" s="265" t="s">
        <v>36</v>
      </c>
      <c r="F27" s="266"/>
      <c r="G27" s="267"/>
      <c r="H27" s="195"/>
      <c r="I27" s="268">
        <f>F27+G27+H27</f>
        <v>0</v>
      </c>
      <c r="J27" s="97">
        <v>0.9</v>
      </c>
      <c r="K27" s="269">
        <f>F27+G27+L27</f>
        <v>0</v>
      </c>
      <c r="L27" s="270">
        <f>IF((-I27*J27)&gt;=0,0,(-I27*J27))</f>
        <v>0</v>
      </c>
      <c r="M27" s="200"/>
      <c r="N27" s="200"/>
      <c r="O27" s="200"/>
      <c r="P27" s="870"/>
      <c r="Q27" s="332"/>
    </row>
    <row r="28" spans="2:19" ht="13.5" thickBot="1">
      <c r="B28" s="1476"/>
      <c r="C28" s="1383"/>
      <c r="D28" s="1481" t="s">
        <v>23</v>
      </c>
      <c r="E28" s="1482"/>
      <c r="F28" s="271">
        <f>SUM(F25:F27)</f>
        <v>0</v>
      </c>
      <c r="G28" s="272">
        <f>SUM(G25:G27)</f>
        <v>0</v>
      </c>
      <c r="H28" s="333"/>
      <c r="I28" s="273">
        <f>SUM(I25:I27)</f>
        <v>0</v>
      </c>
      <c r="J28" s="103">
        <f>IF(ISERROR(-L28/I28),0,IF(-L28/I28&lt;0,100%,IF(-L28/I28&gt;100%,100%,-L28/I28)))</f>
        <v>0</v>
      </c>
      <c r="K28" s="273">
        <f>SUM(K25:K27)</f>
        <v>0</v>
      </c>
      <c r="L28" s="274">
        <f>SUM(L25:L27)</f>
        <v>0</v>
      </c>
      <c r="M28" s="275"/>
      <c r="N28" s="275"/>
      <c r="O28" s="275"/>
      <c r="P28" s="275">
        <f>-L28+M28</f>
        <v>0</v>
      </c>
      <c r="Q28" s="332"/>
      <c r="R28" s="225"/>
    </row>
    <row r="29" spans="2:19">
      <c r="B29" s="1476"/>
      <c r="C29" s="1383"/>
      <c r="D29" s="1478" t="s">
        <v>4</v>
      </c>
      <c r="E29" s="276" t="s">
        <v>39</v>
      </c>
      <c r="F29" s="260"/>
      <c r="G29" s="277"/>
      <c r="H29" s="262"/>
      <c r="I29" s="262">
        <f>F29+G29+H29</f>
        <v>0</v>
      </c>
      <c r="J29" s="108">
        <f>'SUMMARY BRL'!J10</f>
        <v>0.6</v>
      </c>
      <c r="K29" s="263">
        <f>F29+G29+L29</f>
        <v>0</v>
      </c>
      <c r="L29" s="264">
        <f>IF((-I29*J29)&gt;=0,0,(-I29*J29))</f>
        <v>0</v>
      </c>
      <c r="M29" s="200"/>
      <c r="N29" s="200"/>
      <c r="O29" s="200"/>
      <c r="P29" s="870"/>
      <c r="Q29" s="332"/>
      <c r="R29" s="225"/>
    </row>
    <row r="30" spans="2:19">
      <c r="B30" s="1476"/>
      <c r="C30" s="1383"/>
      <c r="D30" s="1479"/>
      <c r="E30" s="278" t="s">
        <v>33</v>
      </c>
      <c r="F30" s="266"/>
      <c r="G30" s="279"/>
      <c r="H30" s="268"/>
      <c r="I30" s="268">
        <f>F30+G30+H30</f>
        <v>0</v>
      </c>
      <c r="J30" s="111">
        <f>'SUMMARY BRL'!J11</f>
        <v>0.6</v>
      </c>
      <c r="K30" s="269">
        <f>F30+G30+L30</f>
        <v>0</v>
      </c>
      <c r="L30" s="270">
        <f>IF((-I30*J30)&gt;=0,0,(-I30*J30))</f>
        <v>0</v>
      </c>
      <c r="M30" s="200"/>
      <c r="N30" s="200"/>
      <c r="O30" s="200"/>
      <c r="P30" s="870"/>
      <c r="Q30" s="332"/>
    </row>
    <row r="31" spans="2:19">
      <c r="B31" s="1476"/>
      <c r="C31" s="1383"/>
      <c r="D31" s="1483"/>
      <c r="E31" s="280" t="s">
        <v>1</v>
      </c>
      <c r="F31" s="281"/>
      <c r="G31" s="282"/>
      <c r="H31" s="283"/>
      <c r="I31" s="283">
        <f>F31+G31+H31</f>
        <v>0</v>
      </c>
      <c r="J31" s="116">
        <f>'SUMMARY BRL'!J12</f>
        <v>0.6</v>
      </c>
      <c r="K31" s="284">
        <f>F31+G31+L31</f>
        <v>0</v>
      </c>
      <c r="L31" s="285">
        <f>IF((-I31*J31)&gt;=0,0,(-I31*J31))</f>
        <v>0</v>
      </c>
      <c r="M31" s="200"/>
      <c r="N31" s="200"/>
      <c r="O31" s="200"/>
      <c r="P31" s="870"/>
      <c r="Q31" s="332"/>
    </row>
    <row r="32" spans="2:19">
      <c r="B32" s="1476"/>
      <c r="C32" s="1383"/>
      <c r="D32" s="1484" t="s">
        <v>40</v>
      </c>
      <c r="E32" s="265" t="s">
        <v>33</v>
      </c>
      <c r="F32" s="266"/>
      <c r="G32" s="279"/>
      <c r="H32" s="268"/>
      <c r="I32" s="268">
        <f>F32+G32+H32</f>
        <v>0</v>
      </c>
      <c r="J32" s="1257">
        <v>2.1999999999999999E-2</v>
      </c>
      <c r="K32" s="269">
        <f>F32+G32+L32</f>
        <v>0</v>
      </c>
      <c r="L32" s="270">
        <f>IF((-I32*J32)&gt;=0,0,(-I32*J32))</f>
        <v>0</v>
      </c>
      <c r="M32" s="200"/>
      <c r="N32" s="200"/>
      <c r="O32" s="200"/>
      <c r="P32" s="870"/>
      <c r="Q32" s="332"/>
    </row>
    <row r="33" spans="2:19" ht="13.5" thickBot="1">
      <c r="B33" s="1476"/>
      <c r="C33" s="1383"/>
      <c r="D33" s="1485"/>
      <c r="E33" s="265" t="s">
        <v>41</v>
      </c>
      <c r="F33" s="266"/>
      <c r="G33" s="279"/>
      <c r="H33" s="268"/>
      <c r="I33" s="268">
        <f>F33+G33+H33</f>
        <v>0</v>
      </c>
      <c r="J33" s="1258">
        <v>2.1999999999999999E-2</v>
      </c>
      <c r="K33" s="269">
        <f>F33+G33+L33</f>
        <v>0</v>
      </c>
      <c r="L33" s="270">
        <f>IF((-I33*J33)&gt;=0,0,(-I33*J33))</f>
        <v>0</v>
      </c>
      <c r="M33" s="200"/>
      <c r="N33" s="200"/>
      <c r="O33" s="200"/>
      <c r="P33" s="870"/>
      <c r="Q33" s="332"/>
    </row>
    <row r="34" spans="2:19" ht="13.5" thickBot="1">
      <c r="B34" s="1476"/>
      <c r="C34" s="1383"/>
      <c r="D34" s="1481" t="s">
        <v>24</v>
      </c>
      <c r="E34" s="1482"/>
      <c r="F34" s="271">
        <f>SUM(F29:F33)</f>
        <v>0</v>
      </c>
      <c r="G34" s="271">
        <f>SUM(G29:G33)</f>
        <v>0</v>
      </c>
      <c r="H34" s="271">
        <f>SUM(H29:H33)</f>
        <v>0</v>
      </c>
      <c r="I34" s="271">
        <f>SUM(I29:I33)</f>
        <v>0</v>
      </c>
      <c r="J34" s="103">
        <f>IF(ISERROR(-L34/I34),0,IF(-L34/I34&lt;0,100%,IF(-L34/I34&gt;100%,100%,-L34/I34)))</f>
        <v>0</v>
      </c>
      <c r="K34" s="271">
        <f>SUM(K29:K33)</f>
        <v>0</v>
      </c>
      <c r="L34" s="286">
        <f>SUM(L29:L33)</f>
        <v>0</v>
      </c>
      <c r="M34" s="275"/>
      <c r="N34" s="275"/>
      <c r="O34" s="275"/>
      <c r="P34" s="275">
        <f>-L34+M34</f>
        <v>0</v>
      </c>
      <c r="Q34" s="332"/>
    </row>
    <row r="35" spans="2:19" ht="13.5" thickBot="1">
      <c r="B35" s="1476"/>
      <c r="C35" s="1384"/>
      <c r="D35" s="121" t="s">
        <v>9</v>
      </c>
      <c r="E35" s="122"/>
      <c r="F35" s="287">
        <f>F28+F34</f>
        <v>0</v>
      </c>
      <c r="G35" s="287">
        <f>G28+G34</f>
        <v>0</v>
      </c>
      <c r="H35" s="287">
        <f>H28+H34</f>
        <v>0</v>
      </c>
      <c r="I35" s="287">
        <f>I28+I34</f>
        <v>0</v>
      </c>
      <c r="J35" s="124">
        <f>IF(ISERROR(-L35/I35),0,IF(-L35/I35&lt;0,100%,IF(-L35/I35&gt;100%,100%,-L35/I35)))</f>
        <v>0</v>
      </c>
      <c r="K35" s="287">
        <f>K28+K34</f>
        <v>0</v>
      </c>
      <c r="L35" s="287">
        <f>L28+L34</f>
        <v>0</v>
      </c>
      <c r="M35" s="288">
        <f>SUM(M28,M34)</f>
        <v>0</v>
      </c>
      <c r="N35" s="288"/>
      <c r="O35" s="288"/>
      <c r="P35" s="288">
        <f>SUM(P28,P34)</f>
        <v>0</v>
      </c>
      <c r="Q35" s="334"/>
    </row>
    <row r="36" spans="2:19" ht="13.5" thickBot="1">
      <c r="B36" s="1477"/>
      <c r="C36" s="1501" t="s">
        <v>17</v>
      </c>
      <c r="D36" s="1502"/>
      <c r="E36" s="1503"/>
      <c r="F36" s="644">
        <f>F13+F24+F35</f>
        <v>400340.29043999966</v>
      </c>
      <c r="G36" s="645">
        <f>G35+G24+G13</f>
        <v>-25050.72827</v>
      </c>
      <c r="H36" s="646">
        <f>H35+H24+H13</f>
        <v>-74992.564343090358</v>
      </c>
      <c r="I36" s="646">
        <f>I35+I24+I13</f>
        <v>300296.9978269093</v>
      </c>
      <c r="J36" s="647">
        <f>IF(ISERROR(-L36/I36),0,IF(-L36/I36&lt;0,100%,IF(-L36/I36&gt;100%,100%,-L36/I36)))</f>
        <v>0.41346683063332085</v>
      </c>
      <c r="K36" s="648">
        <f t="shared" ref="K36:P36" si="0">K35+K24+K13</f>
        <v>251126.71422980621</v>
      </c>
      <c r="L36" s="648">
        <f t="shared" si="0"/>
        <v>-124162.84794019343</v>
      </c>
      <c r="M36" s="649">
        <f t="shared" si="0"/>
        <v>-123252.32189081</v>
      </c>
      <c r="N36" s="649">
        <f t="shared" si="0"/>
        <v>-1793.8939491900001</v>
      </c>
      <c r="O36" s="649">
        <f t="shared" si="0"/>
        <v>-125046.21583999999</v>
      </c>
      <c r="P36" s="648">
        <f t="shared" si="0"/>
        <v>-883.36789980656613</v>
      </c>
      <c r="Q36" s="335"/>
      <c r="R36" s="225"/>
    </row>
    <row r="37" spans="2:19" s="298" customFormat="1">
      <c r="B37" s="127"/>
      <c r="C37" s="293"/>
      <c r="D37" s="294"/>
      <c r="E37" s="295"/>
      <c r="F37" s="295"/>
      <c r="G37" s="295"/>
      <c r="H37" s="295" t="e">
        <f>H36+'BAD DEBT 9130'!H36+'BAD DEBT 4168 9280'!H36+#REF!+'BAD DEBT 4188 9282'!H36+'BAD DEBT 4168 9282'!H36+'BAD DEBT 4188 9280'!H36+'BAD DEBT 4168 9290'!H36+'BAD DEBT 4188 9117'!H36</f>
        <v>#REF!</v>
      </c>
      <c r="I37" s="295"/>
      <c r="J37" s="650"/>
      <c r="K37" s="651"/>
      <c r="L37" s="651"/>
      <c r="M37" s="651"/>
      <c r="N37" s="651"/>
      <c r="O37" s="651"/>
      <c r="P37" s="652"/>
      <c r="Q37" s="331"/>
      <c r="R37" s="180"/>
    </row>
    <row r="38" spans="2:19" s="298" customFormat="1">
      <c r="B38" s="127"/>
      <c r="C38" s="293"/>
      <c r="D38" s="294"/>
      <c r="E38" s="295"/>
      <c r="F38" s="295"/>
      <c r="G38" s="295"/>
      <c r="H38" s="295"/>
      <c r="I38" s="295"/>
      <c r="J38" s="653" t="s">
        <v>25</v>
      </c>
      <c r="K38" s="654"/>
      <c r="L38" s="655" t="s">
        <v>14</v>
      </c>
      <c r="M38" s="655" t="s">
        <v>158</v>
      </c>
      <c r="N38" s="655" t="s">
        <v>159</v>
      </c>
      <c r="O38" s="655" t="s">
        <v>22</v>
      </c>
      <c r="P38" s="656" t="s">
        <v>16</v>
      </c>
      <c r="Q38" s="336"/>
    </row>
    <row r="39" spans="2:19" s="298" customFormat="1">
      <c r="B39" s="127"/>
      <c r="C39" s="293"/>
      <c r="D39" s="294"/>
      <c r="E39" s="295"/>
      <c r="F39" s="295"/>
      <c r="G39" s="295"/>
      <c r="H39" s="295"/>
      <c r="I39" s="295"/>
      <c r="J39" s="657" t="s">
        <v>26</v>
      </c>
      <c r="K39" s="658"/>
      <c r="L39" s="643">
        <f>+L6+L17+L28</f>
        <v>-106762.35260000003</v>
      </c>
      <c r="M39" s="643">
        <f>+M6+M17+M28</f>
        <v>-110099.75354999999</v>
      </c>
      <c r="N39" s="643">
        <f>N6</f>
        <v>0</v>
      </c>
      <c r="O39" s="643">
        <f>M39+N39</f>
        <v>-110099.75354999999</v>
      </c>
      <c r="P39" s="659">
        <f>+P6+P17+P28</f>
        <v>-3337.4009499999665</v>
      </c>
      <c r="Q39" s="337"/>
    </row>
    <row r="40" spans="2:19" s="298" customFormat="1" ht="15">
      <c r="B40" s="127"/>
      <c r="C40" s="293"/>
      <c r="D40" s="294"/>
      <c r="E40" s="295"/>
      <c r="F40" s="295"/>
      <c r="G40" s="295"/>
      <c r="H40" s="295"/>
      <c r="I40" s="295"/>
      <c r="J40" s="657" t="s">
        <v>27</v>
      </c>
      <c r="K40" s="658"/>
      <c r="L40" s="660">
        <f>+L12+L23+L34</f>
        <v>-17400.4953401934</v>
      </c>
      <c r="M40" s="660">
        <f>+M12+M23+M34</f>
        <v>-13152.568340809999</v>
      </c>
      <c r="N40" s="660">
        <f>N13</f>
        <v>-1793.8939491900001</v>
      </c>
      <c r="O40" s="660">
        <f>M40+N40</f>
        <v>-14946.462289999999</v>
      </c>
      <c r="P40" s="661">
        <f>+P12+P23+P34</f>
        <v>2454.0330501934004</v>
      </c>
      <c r="Q40" s="338"/>
    </row>
    <row r="41" spans="2:19" s="298" customFormat="1" ht="13.5" thickBot="1">
      <c r="B41" s="127"/>
      <c r="C41" s="293"/>
      <c r="D41" s="294"/>
      <c r="E41" s="295"/>
      <c r="F41" s="295"/>
      <c r="G41" s="295"/>
      <c r="H41" s="295"/>
      <c r="I41" s="295"/>
      <c r="J41" s="657" t="s">
        <v>28</v>
      </c>
      <c r="K41" s="662"/>
      <c r="L41" s="663">
        <f>SUM(L39:L40)</f>
        <v>-124162.84794019343</v>
      </c>
      <c r="M41" s="663">
        <f>SUM(M39:M40)</f>
        <v>-123252.32189081</v>
      </c>
      <c r="N41" s="663">
        <f>SUM(N39:N40)</f>
        <v>-1793.8939491900001</v>
      </c>
      <c r="O41" s="663">
        <f>SUM(O39:O40)</f>
        <v>-125046.21583999999</v>
      </c>
      <c r="P41" s="664">
        <f>SUM(P39:P40)</f>
        <v>-883.36789980656613</v>
      </c>
      <c r="Q41" s="335"/>
    </row>
    <row r="42" spans="2:19" s="298" customFormat="1" ht="14.25" thickTop="1" thickBot="1">
      <c r="B42" s="127"/>
      <c r="C42" s="293"/>
      <c r="D42" s="294"/>
      <c r="E42" s="295"/>
      <c r="F42" s="295"/>
      <c r="G42" s="295"/>
      <c r="H42" s="295"/>
      <c r="I42" s="295"/>
      <c r="J42" s="665"/>
      <c r="K42" s="666"/>
      <c r="L42" s="667"/>
      <c r="M42" s="667"/>
      <c r="N42" s="667"/>
      <c r="O42" s="667"/>
      <c r="P42" s="668"/>
      <c r="Q42" s="335"/>
    </row>
    <row r="43" spans="2:19" ht="13.5" thickBot="1">
      <c r="K43" s="225"/>
      <c r="L43" s="225"/>
      <c r="R43" s="298"/>
    </row>
    <row r="44" spans="2:19" ht="13.5" thickBot="1">
      <c r="D44" s="157" t="s">
        <v>21</v>
      </c>
      <c r="E44" s="157" t="s">
        <v>5</v>
      </c>
      <c r="F44" s="158" t="s">
        <v>12</v>
      </c>
      <c r="G44" s="158" t="s">
        <v>11</v>
      </c>
      <c r="H44" s="158" t="s">
        <v>3</v>
      </c>
      <c r="I44" s="158" t="s">
        <v>10</v>
      </c>
      <c r="J44" s="158" t="s">
        <v>0</v>
      </c>
      <c r="K44" s="162" t="s">
        <v>2</v>
      </c>
      <c r="L44" s="160" t="s">
        <v>14</v>
      </c>
      <c r="M44" s="160" t="s">
        <v>22</v>
      </c>
      <c r="N44" s="535" t="s">
        <v>16</v>
      </c>
      <c r="O44" s="164"/>
      <c r="Q44" s="180"/>
    </row>
    <row r="45" spans="2:19" ht="24.75" customHeight="1" thickBot="1">
      <c r="B45" s="1519" t="s">
        <v>200</v>
      </c>
      <c r="C45" s="1522" t="s">
        <v>8</v>
      </c>
      <c r="D45" s="624" t="s">
        <v>1</v>
      </c>
      <c r="E45" s="625" t="s">
        <v>1</v>
      </c>
      <c r="F45" s="626">
        <f>INPUT!M20/1000</f>
        <v>114079.14336000009</v>
      </c>
      <c r="G45" s="626">
        <v>0</v>
      </c>
      <c r="H45" s="626">
        <v>0</v>
      </c>
      <c r="I45" s="627">
        <f>F45+G45+H45</f>
        <v>114079.14336000009</v>
      </c>
      <c r="J45" s="1215">
        <f>INPUT!T5</f>
        <v>1.9E-2</v>
      </c>
      <c r="K45" s="628">
        <f>F45+G45+L45</f>
        <v>111911.63963616009</v>
      </c>
      <c r="L45" s="629">
        <f>IF((-I45*J45)&gt;=0,0,(-I45*J45))</f>
        <v>-2167.5037238400018</v>
      </c>
      <c r="O45" s="1250"/>
      <c r="Q45" s="180"/>
    </row>
    <row r="46" spans="2:19" ht="24.75" customHeight="1" thickBot="1">
      <c r="B46" s="1520"/>
      <c r="C46" s="1523"/>
      <c r="D46" s="630" t="s">
        <v>7</v>
      </c>
      <c r="E46" s="631" t="s">
        <v>33</v>
      </c>
      <c r="F46" s="632">
        <f>INPUT!M19/1000</f>
        <v>4429.3551600000001</v>
      </c>
      <c r="G46" s="632">
        <v>0</v>
      </c>
      <c r="H46" s="632">
        <v>0</v>
      </c>
      <c r="I46" s="632">
        <f>F46+G46+H46</f>
        <v>4429.3551600000001</v>
      </c>
      <c r="J46" s="1215">
        <f>INPUT!T5</f>
        <v>1.9E-2</v>
      </c>
      <c r="K46" s="633">
        <f>F46+G46+L46</f>
        <v>4345.19741196</v>
      </c>
      <c r="L46" s="629">
        <f>IF((-I46*J46)&gt;=0,0,(-I46*J46))</f>
        <v>-84.157748040000001</v>
      </c>
      <c r="N46" s="191"/>
      <c r="O46" s="340"/>
      <c r="Q46" s="180"/>
    </row>
    <row r="47" spans="2:19" ht="24.75" customHeight="1" thickBot="1">
      <c r="B47" s="1520"/>
      <c r="C47" s="1523"/>
      <c r="D47" s="630" t="s">
        <v>4</v>
      </c>
      <c r="E47" s="631" t="s">
        <v>172</v>
      </c>
      <c r="F47" s="632"/>
      <c r="G47" s="632"/>
      <c r="H47" s="632"/>
      <c r="I47" s="632">
        <f>F47+G47+H47</f>
        <v>0</v>
      </c>
      <c r="J47" s="1280">
        <f>INPUT!T6</f>
        <v>0.6</v>
      </c>
      <c r="K47" s="633">
        <f>F47+G47+L47</f>
        <v>0</v>
      </c>
      <c r="L47" s="629">
        <f>IF((-I47*J47)&gt;=0,0,(-I47*J47))</f>
        <v>0</v>
      </c>
      <c r="N47" s="191"/>
      <c r="O47" s="340"/>
      <c r="Q47" s="180"/>
    </row>
    <row r="48" spans="2:19" ht="24.75" customHeight="1" thickBot="1">
      <c r="B48" s="1520"/>
      <c r="C48" s="1523"/>
      <c r="D48" s="634" t="s">
        <v>9</v>
      </c>
      <c r="E48" s="635"/>
      <c r="F48" s="636">
        <f>SUM(F45:F47)</f>
        <v>118508.4985200001</v>
      </c>
      <c r="G48" s="636">
        <v>0</v>
      </c>
      <c r="H48" s="636">
        <v>0</v>
      </c>
      <c r="I48" s="636">
        <f>SUM(I45:I46)</f>
        <v>118508.4985200001</v>
      </c>
      <c r="J48" s="1212">
        <f>+-(L45+L46)/(I45+I46)</f>
        <v>1.9E-2</v>
      </c>
      <c r="K48" s="636">
        <f>SUM(K45:K46)</f>
        <v>116256.8370481201</v>
      </c>
      <c r="L48" s="636">
        <f>SUM(L45:L47)</f>
        <v>-2251.661471880002</v>
      </c>
      <c r="M48" s="637">
        <f>(INPUT!M23+INPUT!M25)/1000</f>
        <v>-4845.6257699999996</v>
      </c>
      <c r="N48" s="623">
        <f>-L48+M48</f>
        <v>-2593.9642981199977</v>
      </c>
      <c r="O48" s="334"/>
      <c r="Q48" s="180"/>
      <c r="S48" s="225">
        <f>N48+P13</f>
        <v>-3477.3321979265638</v>
      </c>
    </row>
    <row r="49" spans="2:19" ht="13.5" hidden="1" customHeight="1">
      <c r="B49" s="1520"/>
      <c r="C49" s="1524" t="s">
        <v>13</v>
      </c>
      <c r="D49" s="151" t="s">
        <v>1</v>
      </c>
      <c r="E49" s="312" t="s">
        <v>1</v>
      </c>
      <c r="F49" s="313"/>
      <c r="G49" s="313">
        <v>0</v>
      </c>
      <c r="H49" s="313">
        <v>0</v>
      </c>
      <c r="I49" s="313">
        <f>+F49</f>
        <v>0</v>
      </c>
      <c r="J49" s="314">
        <f>'SUMMARY BRL'!J19</f>
        <v>2.3E-2</v>
      </c>
      <c r="K49" s="315">
        <f>F49+G49+L49</f>
        <v>0</v>
      </c>
      <c r="L49" s="316">
        <f>IF((-I49*J49)&gt;=0,0,(-I49*J49))</f>
        <v>0</v>
      </c>
      <c r="M49" s="191"/>
      <c r="N49" s="191"/>
      <c r="O49" s="340"/>
      <c r="Q49" s="180"/>
    </row>
    <row r="50" spans="2:19" ht="13.5" hidden="1" customHeight="1" thickBot="1">
      <c r="B50" s="1520"/>
      <c r="C50" s="1525"/>
      <c r="D50" s="151" t="s">
        <v>7</v>
      </c>
      <c r="E50" s="312" t="s">
        <v>34</v>
      </c>
      <c r="F50" s="313"/>
      <c r="G50" s="313">
        <v>0</v>
      </c>
      <c r="H50" s="313">
        <v>0</v>
      </c>
      <c r="I50" s="313">
        <f>+F50</f>
        <v>0</v>
      </c>
      <c r="J50" s="314">
        <f>'SUMMARY BRL'!J20</f>
        <v>2.3E-2</v>
      </c>
      <c r="K50" s="315">
        <f>F50+G50+L50</f>
        <v>0</v>
      </c>
      <c r="L50" s="316">
        <f>IF((-I50*J50)&gt;=0,0,(-I50*J50))</f>
        <v>0</v>
      </c>
      <c r="M50" s="191"/>
      <c r="N50" s="191"/>
      <c r="O50" s="340"/>
      <c r="Q50" s="180"/>
    </row>
    <row r="51" spans="2:19" ht="13.5" hidden="1" customHeight="1" thickBot="1">
      <c r="B51" s="1520"/>
      <c r="C51" s="1525"/>
      <c r="D51" s="152" t="s">
        <v>9</v>
      </c>
      <c r="E51" s="153"/>
      <c r="F51" s="238">
        <f>SUM(F49:F50)</f>
        <v>0</v>
      </c>
      <c r="G51" s="238">
        <f>SUM(G49:G50)</f>
        <v>0</v>
      </c>
      <c r="H51" s="238">
        <f>SUM(H49:H50)</f>
        <v>0</v>
      </c>
      <c r="I51" s="238">
        <f>SUM(I49:I50)</f>
        <v>0</v>
      </c>
      <c r="J51" s="317">
        <v>0.01</v>
      </c>
      <c r="K51" s="256">
        <f>SUM(K49:K50)</f>
        <v>0</v>
      </c>
      <c r="L51" s="318">
        <f>SUM(L49:L50)</f>
        <v>0</v>
      </c>
      <c r="M51" s="319">
        <f>L51</f>
        <v>0</v>
      </c>
      <c r="N51" s="319">
        <f>+M51-L51</f>
        <v>0</v>
      </c>
      <c r="O51" s="334"/>
      <c r="Q51" s="180"/>
    </row>
    <row r="52" spans="2:19" ht="24.75" customHeight="1" thickBot="1">
      <c r="B52" s="1521"/>
      <c r="C52" s="1501" t="s">
        <v>18</v>
      </c>
      <c r="D52" s="1502"/>
      <c r="E52" s="1504"/>
      <c r="F52" s="646">
        <f>+F51+F48</f>
        <v>118508.4985200001</v>
      </c>
      <c r="G52" s="646">
        <f>+G51+G48</f>
        <v>0</v>
      </c>
      <c r="H52" s="646">
        <f>+H51+H48</f>
        <v>0</v>
      </c>
      <c r="I52" s="646">
        <f>+I51+I48</f>
        <v>118508.4985200001</v>
      </c>
      <c r="J52" s="1213">
        <f>IF(ISERROR(-L52/I52),0,IF(-L52/I52&lt;0,100%,IF(-L52/I52&gt;100%,100%,-L52/I52)))</f>
        <v>1.9E-2</v>
      </c>
      <c r="K52" s="646">
        <f>F52+G52+L52</f>
        <v>116256.8370481201</v>
      </c>
      <c r="L52" s="669">
        <f>SUM(L51,L48)</f>
        <v>-2251.661471880002</v>
      </c>
      <c r="M52" s="669">
        <f>SUM(M51,M48)</f>
        <v>-4845.6257699999996</v>
      </c>
      <c r="N52" s="648">
        <f>SUM(N51,N48)</f>
        <v>-2593.9642981199977</v>
      </c>
      <c r="O52" s="335"/>
      <c r="Q52" s="180"/>
      <c r="R52" s="1164"/>
      <c r="S52" s="225">
        <f>S48/3.8558</f>
        <v>-901.84454534119095</v>
      </c>
    </row>
    <row r="53" spans="2:19">
      <c r="F53" s="515"/>
      <c r="L53" s="225"/>
    </row>
    <row r="54" spans="2:19" ht="13.5" thickBot="1">
      <c r="N54" s="225"/>
      <c r="P54" s="225"/>
    </row>
    <row r="55" spans="2:19" ht="15.75" thickBot="1">
      <c r="D55" s="1486" t="s">
        <v>23</v>
      </c>
      <c r="E55" s="1487"/>
      <c r="F55" s="538">
        <f>F6+F17+F28+G6+G17+G28</f>
        <v>106762.35260000003</v>
      </c>
      <c r="G55" s="222">
        <f>INPUT!Q7/1000</f>
        <v>345436.93174000003</v>
      </c>
      <c r="H55" s="484">
        <f>(F55-G55)*1000</f>
        <v>-238674579.13999999</v>
      </c>
      <c r="L55" s="1366"/>
      <c r="M55" s="1366"/>
      <c r="N55" s="1366"/>
      <c r="P55" s="225"/>
      <c r="R55" s="1279"/>
      <c r="S55" s="1279"/>
    </row>
    <row r="56" spans="2:19" ht="15">
      <c r="F56" s="180" t="s">
        <v>132</v>
      </c>
      <c r="G56" s="180" t="s">
        <v>132</v>
      </c>
      <c r="H56" s="180" t="s">
        <v>132</v>
      </c>
      <c r="L56" s="1366"/>
      <c r="M56" s="1366"/>
      <c r="N56" s="1366"/>
      <c r="P56" s="225"/>
    </row>
    <row r="57" spans="2:19" ht="15">
      <c r="H57" s="181"/>
      <c r="I57" s="181"/>
      <c r="J57" s="181"/>
      <c r="K57" s="181"/>
      <c r="L57" s="1367"/>
      <c r="M57" s="1367"/>
      <c r="N57" s="1367"/>
    </row>
    <row r="58" spans="2:19" ht="15">
      <c r="H58" s="181"/>
      <c r="I58" s="181"/>
      <c r="J58" s="181"/>
      <c r="K58" s="181"/>
      <c r="L58" s="1367"/>
      <c r="M58" s="1368"/>
      <c r="N58" s="1367"/>
    </row>
    <row r="59" spans="2:19">
      <c r="H59" s="1369"/>
      <c r="I59" s="181"/>
      <c r="J59" s="181"/>
      <c r="K59" s="181"/>
      <c r="L59" s="181"/>
      <c r="M59" s="181"/>
      <c r="N59" s="181"/>
    </row>
    <row r="60" spans="2:19">
      <c r="H60" s="181"/>
      <c r="I60" s="181"/>
      <c r="J60" s="181"/>
      <c r="K60" s="181"/>
      <c r="L60" s="181"/>
      <c r="M60" s="181"/>
      <c r="N60" s="181"/>
    </row>
    <row r="61" spans="2:19">
      <c r="H61" s="1370"/>
      <c r="I61" s="1370"/>
      <c r="J61" s="1370"/>
      <c r="K61" s="1370"/>
      <c r="L61" s="1370"/>
      <c r="M61" s="1370"/>
      <c r="N61" s="181"/>
    </row>
    <row r="62" spans="2:19">
      <c r="H62" s="1370"/>
      <c r="I62" s="1371"/>
      <c r="J62" s="1371"/>
      <c r="K62" s="1371"/>
      <c r="L62" s="1372"/>
      <c r="M62" s="1371"/>
      <c r="N62" s="181"/>
    </row>
    <row r="63" spans="2:19">
      <c r="H63" s="1370"/>
      <c r="I63" s="1371"/>
      <c r="J63" s="1371"/>
      <c r="K63" s="1371"/>
      <c r="L63" s="1372"/>
      <c r="M63" s="1371"/>
      <c r="N63" s="181"/>
    </row>
    <row r="64" spans="2:19">
      <c r="H64" s="1370"/>
      <c r="I64" s="1371"/>
      <c r="J64" s="1371"/>
      <c r="K64" s="1371"/>
      <c r="L64" s="1372"/>
      <c r="M64" s="1371"/>
      <c r="N64" s="181"/>
    </row>
    <row r="65" spans="8:14">
      <c r="H65" s="181"/>
      <c r="I65" s="181"/>
      <c r="J65" s="181"/>
      <c r="K65" s="181"/>
      <c r="L65" s="181"/>
      <c r="M65" s="181"/>
      <c r="N65" s="181"/>
    </row>
    <row r="66" spans="8:14">
      <c r="H66" s="1369"/>
      <c r="I66" s="181"/>
      <c r="J66" s="181"/>
      <c r="K66" s="181"/>
      <c r="L66" s="181"/>
      <c r="M66" s="181"/>
      <c r="N66" s="181"/>
    </row>
    <row r="67" spans="8:14">
      <c r="H67" s="181"/>
      <c r="I67" s="181"/>
      <c r="J67" s="181"/>
      <c r="K67" s="181"/>
      <c r="L67" s="181"/>
      <c r="M67" s="181"/>
      <c r="N67" s="181"/>
    </row>
    <row r="68" spans="8:14">
      <c r="H68" s="1370"/>
      <c r="I68" s="1370"/>
      <c r="J68" s="1370"/>
      <c r="K68" s="1370"/>
      <c r="L68" s="1370"/>
      <c r="M68" s="1370"/>
      <c r="N68" s="181"/>
    </row>
    <row r="69" spans="8:14">
      <c r="H69" s="1370"/>
      <c r="I69" s="1372"/>
      <c r="J69" s="1372"/>
      <c r="K69" s="1372"/>
      <c r="L69" s="1372"/>
      <c r="M69" s="1372"/>
      <c r="N69" s="181"/>
    </row>
    <row r="70" spans="8:14">
      <c r="H70" s="1370"/>
      <c r="I70" s="1372"/>
      <c r="J70" s="1372"/>
      <c r="K70" s="1372"/>
      <c r="L70" s="1372"/>
      <c r="M70" s="1372"/>
      <c r="N70" s="181"/>
    </row>
    <row r="71" spans="8:14">
      <c r="H71" s="1370"/>
      <c r="I71" s="1372"/>
      <c r="J71" s="1372"/>
      <c r="K71" s="1372"/>
      <c r="L71" s="1372"/>
      <c r="M71" s="1372"/>
      <c r="N71" s="181"/>
    </row>
    <row r="72" spans="8:14">
      <c r="H72" s="181"/>
      <c r="I72" s="181"/>
      <c r="J72" s="181"/>
      <c r="K72" s="181"/>
      <c r="L72" s="181"/>
      <c r="M72" s="181"/>
      <c r="N72" s="181"/>
    </row>
    <row r="73" spans="8:14">
      <c r="H73" s="181"/>
      <c r="I73" s="181"/>
      <c r="J73" s="181"/>
      <c r="K73" s="181"/>
      <c r="L73" s="181"/>
      <c r="M73" s="181"/>
      <c r="N73" s="181"/>
    </row>
    <row r="74" spans="8:14">
      <c r="H74" s="181"/>
      <c r="I74" s="181"/>
      <c r="J74" s="181"/>
      <c r="K74" s="181"/>
      <c r="L74" s="181"/>
      <c r="M74" s="181"/>
      <c r="N74" s="181"/>
    </row>
  </sheetData>
  <mergeCells count="27">
    <mergeCell ref="D55:E55"/>
    <mergeCell ref="E1:L1"/>
    <mergeCell ref="B3:B36"/>
    <mergeCell ref="C3:C13"/>
    <mergeCell ref="D3:D5"/>
    <mergeCell ref="D6:E6"/>
    <mergeCell ref="D7:D9"/>
    <mergeCell ref="D10:D11"/>
    <mergeCell ref="D12:E12"/>
    <mergeCell ref="C14:C24"/>
    <mergeCell ref="D34:E34"/>
    <mergeCell ref="B2:C2"/>
    <mergeCell ref="B45:B52"/>
    <mergeCell ref="C45:C48"/>
    <mergeCell ref="C49:C51"/>
    <mergeCell ref="D14:D16"/>
    <mergeCell ref="C36:E36"/>
    <mergeCell ref="C52:E52"/>
    <mergeCell ref="D17:E17"/>
    <mergeCell ref="D18:D20"/>
    <mergeCell ref="D21:D22"/>
    <mergeCell ref="D23:E23"/>
    <mergeCell ref="C25:C35"/>
    <mergeCell ref="D25:D27"/>
    <mergeCell ref="D28:E28"/>
    <mergeCell ref="D29:D31"/>
    <mergeCell ref="D32:D33"/>
  </mergeCells>
  <pageMargins left="0.2" right="0.23622047244094491" top="0.48" bottom="0.36" header="0.31496062992125984" footer="0.31496062992125984"/>
  <pageSetup scale="64" orientation="landscape" r:id="rId1"/>
  <ignoredErrors>
    <ignoredError sqref="L17 M13 I6:K6 M6:N6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SUMMARY USD</vt:lpstr>
      <vt:lpstr>SUMMARY BRL</vt:lpstr>
      <vt:lpstr>SUMMARY USD Q3</vt:lpstr>
      <vt:lpstr>INPUT</vt:lpstr>
      <vt:lpstr>BAD DEBT All Business</vt:lpstr>
      <vt:lpstr>FUNNEL CP LP</vt:lpstr>
      <vt:lpstr>FUNNEL BAD DEBT</vt:lpstr>
      <vt:lpstr>BAD DEBT 4168 9280</vt:lpstr>
      <vt:lpstr>BAD DEBT 9115</vt:lpstr>
      <vt:lpstr>BAD DEBT 4168 9282</vt:lpstr>
      <vt:lpstr>BAD DEBT 4168 9290</vt:lpstr>
      <vt:lpstr>BAD DEBT 4188 9280</vt:lpstr>
      <vt:lpstr>BAD DEBT 4188 9117</vt:lpstr>
      <vt:lpstr>BAD DEBT 4188 9282</vt:lpstr>
      <vt:lpstr>BAD DEBT 9130</vt:lpstr>
      <vt:lpstr>'BAD DEBT 4168 9280'!Print_Area</vt:lpstr>
      <vt:lpstr>'BAD DEBT 4168 9282'!Print_Area</vt:lpstr>
      <vt:lpstr>'BAD DEBT 4168 9290'!Print_Area</vt:lpstr>
      <vt:lpstr>'BAD DEBT 4188 9117'!Print_Area</vt:lpstr>
      <vt:lpstr>'BAD DEBT 4188 9280'!Print_Area</vt:lpstr>
      <vt:lpstr>'BAD DEBT 4188 9282'!Print_Area</vt:lpstr>
      <vt:lpstr>'BAD DEBT 9115'!Print_Area</vt:lpstr>
      <vt:lpstr>'BAD DEBT 9130'!Print_Area</vt:lpstr>
      <vt:lpstr>'BAD DEBT All Business'!Print_Area</vt:lpstr>
    </vt:vector>
  </TitlesOfParts>
  <Company>Monsanto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RRCASA1</dc:creator>
  <cp:lastModifiedBy>CIARAMICOLI, RAFAEL A [AG/5050]</cp:lastModifiedBy>
  <cp:lastPrinted>2016-06-06T14:39:02Z</cp:lastPrinted>
  <dcterms:created xsi:type="dcterms:W3CDTF">2008-12-17T19:02:19Z</dcterms:created>
  <dcterms:modified xsi:type="dcterms:W3CDTF">2018-11-21T13:40:13Z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