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97B3D2AC1BD8CCBA/"/>
    </mc:Choice>
  </mc:AlternateContent>
  <xr:revisionPtr revIDLastSave="375" documentId="11_0B1D56BE9CDCCE836B02CE7A5FB0D4A9BBFD1C62" xr6:coauthVersionLast="47" xr6:coauthVersionMax="47" xr10:uidLastSave="{810AB3E1-9469-43FD-8E25-8A278B6C070B}"/>
  <bookViews>
    <workbookView xWindow="-108" yWindow="-108" windowWidth="30936" windowHeight="16896" xr2:uid="{00000000-000D-0000-FFFF-FFFF00000000}"/>
  </bookViews>
  <sheets>
    <sheet name="Main" sheetId="2" r:id="rId1"/>
    <sheet name="AUD info" sheetId="3" r:id="rId2"/>
    <sheet name="AUD - Lecture" sheetId="4" r:id="rId3"/>
    <sheet name="AD04 Clinical" sheetId="1" r:id="rId4"/>
    <sheet name="AD04 Clinical - Lecture" sheetId="5" r:id="rId5"/>
    <sheet name="Sheet1" sheetId="6" r:id="rId6"/>
    <sheet name="Sheet3" sheetId="8" r:id="rId7"/>
    <sheet name="Sheet2" sheetId="7" r:id="rId8"/>
    <sheet name="Sheet4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9" l="1"/>
  <c r="C75" i="9"/>
  <c r="D72" i="9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8" i="9"/>
  <c r="B13" i="9" s="1"/>
  <c r="B17" i="9" s="1"/>
  <c r="B25" i="9" s="1"/>
  <c r="C3" i="9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M5" i="2"/>
  <c r="M8" i="2"/>
  <c r="C8" i="9" l="1"/>
  <c r="C13" i="9" s="1"/>
  <c r="C17" i="9" s="1"/>
  <c r="C25" i="9" s="1"/>
  <c r="D3" i="9"/>
  <c r="B50" i="9"/>
  <c r="B65" i="9" s="1"/>
  <c r="B45" i="9"/>
  <c r="B39" i="9"/>
  <c r="B27" i="9"/>
  <c r="B37" i="9" s="1"/>
  <c r="B48" i="9" s="1"/>
  <c r="E72" i="9"/>
  <c r="C77" i="9"/>
  <c r="D75" i="9"/>
  <c r="D77" i="9" l="1"/>
  <c r="E75" i="9"/>
  <c r="F72" i="9"/>
  <c r="B62" i="9"/>
  <c r="B53" i="9"/>
  <c r="B63" i="9" s="1"/>
  <c r="D8" i="9"/>
  <c r="D13" i="9" s="1"/>
  <c r="D17" i="9" s="1"/>
  <c r="D25" i="9" s="1"/>
  <c r="E3" i="9"/>
  <c r="C50" i="9"/>
  <c r="C65" i="9" s="1"/>
  <c r="C45" i="9"/>
  <c r="C39" i="9"/>
  <c r="C27" i="9"/>
  <c r="C37" i="9" s="1"/>
  <c r="C48" i="9" s="1"/>
  <c r="C62" i="9" l="1"/>
  <c r="C53" i="9"/>
  <c r="C63" i="9" s="1"/>
  <c r="E8" i="9"/>
  <c r="E13" i="9" s="1"/>
  <c r="E17" i="9" s="1"/>
  <c r="E25" i="9" s="1"/>
  <c r="F3" i="9"/>
  <c r="D50" i="9"/>
  <c r="D65" i="9" s="1"/>
  <c r="D45" i="9"/>
  <c r="D39" i="9"/>
  <c r="D27" i="9"/>
  <c r="D37" i="9" s="1"/>
  <c r="D48" i="9" s="1"/>
  <c r="B68" i="9"/>
  <c r="B73" i="9" s="1"/>
  <c r="B78" i="9" s="1"/>
  <c r="G72" i="9"/>
  <c r="E77" i="9"/>
  <c r="F75" i="9"/>
  <c r="F77" i="9" l="1"/>
  <c r="G75" i="9"/>
  <c r="H72" i="9"/>
  <c r="D62" i="9"/>
  <c r="D53" i="9"/>
  <c r="D63" i="9" s="1"/>
  <c r="F8" i="9"/>
  <c r="F13" i="9" s="1"/>
  <c r="F17" i="9" s="1"/>
  <c r="F25" i="9" s="1"/>
  <c r="G3" i="9"/>
  <c r="E50" i="9"/>
  <c r="E65" i="9" s="1"/>
  <c r="E45" i="9"/>
  <c r="E39" i="9"/>
  <c r="E27" i="9"/>
  <c r="E37" i="9" s="1"/>
  <c r="E48" i="9" s="1"/>
  <c r="C68" i="9"/>
  <c r="C73" i="9" s="1"/>
  <c r="C78" i="9" s="1"/>
  <c r="E62" i="9" l="1"/>
  <c r="E53" i="9"/>
  <c r="E63" i="9" s="1"/>
  <c r="G8" i="9"/>
  <c r="G13" i="9" s="1"/>
  <c r="G17" i="9" s="1"/>
  <c r="G25" i="9" s="1"/>
  <c r="H3" i="9"/>
  <c r="F50" i="9"/>
  <c r="F65" i="9" s="1"/>
  <c r="F45" i="9"/>
  <c r="F39" i="9"/>
  <c r="F27" i="9"/>
  <c r="F37" i="9" s="1"/>
  <c r="F48" i="9" s="1"/>
  <c r="D68" i="9"/>
  <c r="D73" i="9" s="1"/>
  <c r="D78" i="9" s="1"/>
  <c r="I72" i="9"/>
  <c r="G77" i="9"/>
  <c r="H75" i="9"/>
  <c r="H77" i="9" l="1"/>
  <c r="I75" i="9"/>
  <c r="J72" i="9"/>
  <c r="F62" i="9"/>
  <c r="F53" i="9"/>
  <c r="F63" i="9" s="1"/>
  <c r="H8" i="9"/>
  <c r="H13" i="9" s="1"/>
  <c r="H17" i="9" s="1"/>
  <c r="H25" i="9" s="1"/>
  <c r="I3" i="9"/>
  <c r="G50" i="9"/>
  <c r="G65" i="9" s="1"/>
  <c r="G45" i="9"/>
  <c r="G39" i="9"/>
  <c r="G27" i="9"/>
  <c r="G37" i="9" s="1"/>
  <c r="G48" i="9" s="1"/>
  <c r="E68" i="9"/>
  <c r="E73" i="9" s="1"/>
  <c r="E78" i="9" s="1"/>
  <c r="G62" i="9" l="1"/>
  <c r="G53" i="9"/>
  <c r="G63" i="9" s="1"/>
  <c r="I8" i="9"/>
  <c r="I13" i="9" s="1"/>
  <c r="I17" i="9" s="1"/>
  <c r="I25" i="9" s="1"/>
  <c r="J3" i="9"/>
  <c r="H50" i="9"/>
  <c r="H65" i="9" s="1"/>
  <c r="H45" i="9"/>
  <c r="H39" i="9"/>
  <c r="H27" i="9"/>
  <c r="H37" i="9" s="1"/>
  <c r="H48" i="9" s="1"/>
  <c r="F68" i="9"/>
  <c r="F73" i="9" s="1"/>
  <c r="F78" i="9" s="1"/>
  <c r="K72" i="9"/>
  <c r="I77" i="9"/>
  <c r="J75" i="9"/>
  <c r="J77" i="9" l="1"/>
  <c r="K75" i="9"/>
  <c r="L72" i="9"/>
  <c r="H62" i="9"/>
  <c r="H53" i="9"/>
  <c r="H63" i="9" s="1"/>
  <c r="J8" i="9"/>
  <c r="J13" i="9" s="1"/>
  <c r="J17" i="9" s="1"/>
  <c r="J25" i="9" s="1"/>
  <c r="K3" i="9"/>
  <c r="I50" i="9"/>
  <c r="I65" i="9" s="1"/>
  <c r="I45" i="9"/>
  <c r="I39" i="9"/>
  <c r="I27" i="9"/>
  <c r="I37" i="9" s="1"/>
  <c r="I48" i="9" s="1"/>
  <c r="G68" i="9"/>
  <c r="G73" i="9" s="1"/>
  <c r="G78" i="9" s="1"/>
  <c r="I62" i="9" l="1"/>
  <c r="I53" i="9"/>
  <c r="I63" i="9" s="1"/>
  <c r="K8" i="9"/>
  <c r="K13" i="9" s="1"/>
  <c r="K17" i="9" s="1"/>
  <c r="K25" i="9" s="1"/>
  <c r="L3" i="9"/>
  <c r="J50" i="9"/>
  <c r="J65" i="9" s="1"/>
  <c r="J45" i="9"/>
  <c r="J39" i="9"/>
  <c r="J27" i="9"/>
  <c r="J37" i="9" s="1"/>
  <c r="J48" i="9" s="1"/>
  <c r="H68" i="9"/>
  <c r="H73" i="9" s="1"/>
  <c r="H78" i="9" s="1"/>
  <c r="M72" i="9"/>
  <c r="K77" i="9"/>
  <c r="L75" i="9"/>
  <c r="L77" i="9" l="1"/>
  <c r="M75" i="9"/>
  <c r="N72" i="9"/>
  <c r="J62" i="9"/>
  <c r="J53" i="9"/>
  <c r="J63" i="9" s="1"/>
  <c r="L8" i="9"/>
  <c r="L13" i="9" s="1"/>
  <c r="L17" i="9" s="1"/>
  <c r="L25" i="9" s="1"/>
  <c r="M3" i="9"/>
  <c r="K50" i="9"/>
  <c r="K65" i="9" s="1"/>
  <c r="K45" i="9"/>
  <c r="K39" i="9"/>
  <c r="K27" i="9"/>
  <c r="K37" i="9" s="1"/>
  <c r="K48" i="9" s="1"/>
  <c r="I68" i="9"/>
  <c r="I73" i="9" s="1"/>
  <c r="I78" i="9" s="1"/>
  <c r="K62" i="9" l="1"/>
  <c r="K53" i="9"/>
  <c r="K63" i="9" s="1"/>
  <c r="M8" i="9"/>
  <c r="M13" i="9" s="1"/>
  <c r="M17" i="9" s="1"/>
  <c r="M25" i="9" s="1"/>
  <c r="N3" i="9"/>
  <c r="L50" i="9"/>
  <c r="L65" i="9" s="1"/>
  <c r="L45" i="9"/>
  <c r="L39" i="9"/>
  <c r="L27" i="9"/>
  <c r="L37" i="9" s="1"/>
  <c r="L48" i="9" s="1"/>
  <c r="J68" i="9"/>
  <c r="J73" i="9" s="1"/>
  <c r="J78" i="9" s="1"/>
  <c r="O72" i="9"/>
  <c r="M77" i="9"/>
  <c r="N75" i="9"/>
  <c r="N77" i="9" l="1"/>
  <c r="O75" i="9"/>
  <c r="P72" i="9"/>
  <c r="L62" i="9"/>
  <c r="L53" i="9"/>
  <c r="L63" i="9" s="1"/>
  <c r="N8" i="9"/>
  <c r="N13" i="9" s="1"/>
  <c r="N17" i="9" s="1"/>
  <c r="N25" i="9" s="1"/>
  <c r="O3" i="9"/>
  <c r="M50" i="9"/>
  <c r="M65" i="9" s="1"/>
  <c r="M45" i="9"/>
  <c r="M39" i="9"/>
  <c r="M27" i="9"/>
  <c r="M37" i="9" s="1"/>
  <c r="M48" i="9" s="1"/>
  <c r="K68" i="9"/>
  <c r="K73" i="9" s="1"/>
  <c r="K78" i="9" s="1"/>
  <c r="M62" i="9" l="1"/>
  <c r="M53" i="9"/>
  <c r="M63" i="9" s="1"/>
  <c r="O8" i="9"/>
  <c r="O13" i="9" s="1"/>
  <c r="O17" i="9" s="1"/>
  <c r="O25" i="9" s="1"/>
  <c r="P3" i="9"/>
  <c r="N50" i="9"/>
  <c r="N65" i="9" s="1"/>
  <c r="N45" i="9"/>
  <c r="N39" i="9"/>
  <c r="N27" i="9"/>
  <c r="N37" i="9" s="1"/>
  <c r="N48" i="9" s="1"/>
  <c r="L68" i="9"/>
  <c r="L73" i="9" s="1"/>
  <c r="L78" i="9" s="1"/>
  <c r="Q72" i="9"/>
  <c r="O77" i="9"/>
  <c r="P75" i="9"/>
  <c r="P77" i="9" l="1"/>
  <c r="Q75" i="9"/>
  <c r="R72" i="9"/>
  <c r="N62" i="9"/>
  <c r="N53" i="9"/>
  <c r="N63" i="9" s="1"/>
  <c r="P8" i="9"/>
  <c r="P13" i="9" s="1"/>
  <c r="P17" i="9" s="1"/>
  <c r="P25" i="9" s="1"/>
  <c r="Q3" i="9"/>
  <c r="O50" i="9"/>
  <c r="O65" i="9" s="1"/>
  <c r="O45" i="9"/>
  <c r="O39" i="9"/>
  <c r="O27" i="9"/>
  <c r="O37" i="9" s="1"/>
  <c r="O48" i="9" s="1"/>
  <c r="M68" i="9"/>
  <c r="M73" i="9" s="1"/>
  <c r="M78" i="9" s="1"/>
  <c r="O62" i="9" l="1"/>
  <c r="O53" i="9"/>
  <c r="O63" i="9" s="1"/>
  <c r="Q8" i="9"/>
  <c r="Q13" i="9" s="1"/>
  <c r="Q17" i="9" s="1"/>
  <c r="Q25" i="9" s="1"/>
  <c r="R3" i="9"/>
  <c r="P50" i="9"/>
  <c r="P65" i="9" s="1"/>
  <c r="P45" i="9"/>
  <c r="P39" i="9"/>
  <c r="P27" i="9"/>
  <c r="P37" i="9" s="1"/>
  <c r="P48" i="9" s="1"/>
  <c r="N68" i="9"/>
  <c r="N73" i="9" s="1"/>
  <c r="N78" i="9" s="1"/>
  <c r="S72" i="9"/>
  <c r="Q77" i="9"/>
  <c r="R75" i="9"/>
  <c r="R77" i="9" l="1"/>
  <c r="S75" i="9"/>
  <c r="S77" i="9" s="1"/>
  <c r="P62" i="9"/>
  <c r="P53" i="9"/>
  <c r="P63" i="9" s="1"/>
  <c r="R8" i="9"/>
  <c r="R13" i="9" s="1"/>
  <c r="R17" i="9" s="1"/>
  <c r="R25" i="9" s="1"/>
  <c r="S3" i="9"/>
  <c r="S8" i="9" s="1"/>
  <c r="S13" i="9" s="1"/>
  <c r="S17" i="9" s="1"/>
  <c r="S25" i="9" s="1"/>
  <c r="Q50" i="9"/>
  <c r="Q65" i="9" s="1"/>
  <c r="Q45" i="9"/>
  <c r="Q39" i="9"/>
  <c r="Q27" i="9"/>
  <c r="Q37" i="9" s="1"/>
  <c r="Q48" i="9" s="1"/>
  <c r="O68" i="9"/>
  <c r="O73" i="9" s="1"/>
  <c r="O78" i="9" s="1"/>
  <c r="Q62" i="9" l="1"/>
  <c r="Q53" i="9"/>
  <c r="Q63" i="9" s="1"/>
  <c r="S50" i="9"/>
  <c r="S65" i="9" s="1"/>
  <c r="S45" i="9"/>
  <c r="S39" i="9"/>
  <c r="S27" i="9"/>
  <c r="S37" i="9" s="1"/>
  <c r="S48" i="9" s="1"/>
  <c r="R50" i="9"/>
  <c r="R65" i="9" s="1"/>
  <c r="R45" i="9"/>
  <c r="R39" i="9"/>
  <c r="R27" i="9"/>
  <c r="R37" i="9" s="1"/>
  <c r="R48" i="9" s="1"/>
  <c r="P68" i="9"/>
  <c r="P73" i="9" s="1"/>
  <c r="P78" i="9" s="1"/>
  <c r="R62" i="9" l="1"/>
  <c r="R53" i="9"/>
  <c r="R63" i="9" s="1"/>
  <c r="S62" i="9"/>
  <c r="S53" i="9"/>
  <c r="S63" i="9" s="1"/>
  <c r="Q68" i="9"/>
  <c r="Q73" i="9" s="1"/>
  <c r="Q78" i="9" s="1"/>
  <c r="S68" i="9" l="1"/>
  <c r="S73" i="9" s="1"/>
  <c r="S78" i="9" s="1"/>
  <c r="R68" i="9"/>
  <c r="R73" i="9" s="1"/>
  <c r="R78" i="9" s="1"/>
  <c r="B84" i="9" s="1"/>
  <c r="B88" i="9" s="1"/>
  <c r="B90" i="9" s="1"/>
  <c r="B93" i="9" s="1"/>
</calcChain>
</file>

<file path=xl/sharedStrings.xml><?xml version="1.0" encoding="utf-8"?>
<sst xmlns="http://schemas.openxmlformats.org/spreadsheetml/2006/main" count="217" uniqueCount="163">
  <si>
    <t>Scale is Thousands</t>
  </si>
  <si>
    <t>Name</t>
  </si>
  <si>
    <t>Indication</t>
  </si>
  <si>
    <t>Status</t>
  </si>
  <si>
    <t>Phase</t>
  </si>
  <si>
    <t>Economics</t>
  </si>
  <si>
    <t>MOA</t>
  </si>
  <si>
    <t>Admin</t>
  </si>
  <si>
    <t>IP</t>
  </si>
  <si>
    <t>Price</t>
  </si>
  <si>
    <t>AD04</t>
  </si>
  <si>
    <t>Alcohol use disorder (AUD)</t>
  </si>
  <si>
    <t>Waiting for data release (WDR)</t>
  </si>
  <si>
    <t>III</t>
  </si>
  <si>
    <t>Serotonin-3 (5HT3) receptor</t>
  </si>
  <si>
    <t>Shares</t>
  </si>
  <si>
    <t>Q224</t>
  </si>
  <si>
    <t>PNV-5030</t>
  </si>
  <si>
    <t>Trial planned</t>
  </si>
  <si>
    <t>I</t>
  </si>
  <si>
    <t>MC</t>
  </si>
  <si>
    <t>Cash</t>
  </si>
  <si>
    <t>Debt</t>
  </si>
  <si>
    <t>EV</t>
  </si>
  <si>
    <t>Ticker</t>
  </si>
  <si>
    <t>ADIL</t>
  </si>
  <si>
    <t>Random Infos:</t>
  </si>
  <si>
    <t>HQ in Charlottesville, VA.</t>
  </si>
  <si>
    <t>Founded in 2017, so they move quickly.</t>
  </si>
  <si>
    <t>https://www.globenewswire.com/news-release/2024/07/23/2917209/26135/en/Adial-Pharmaceuticals-Advances-to-Second-Cohort-in-Pharmacokinetics-Study-of-AD04-for-the-Treatment-of-Alcohol-Use-Disorder.html</t>
  </si>
  <si>
    <t>The phase III has not started, they are waiting for the pharmacokinetics study results to design the Phase III. This data will be out by Q424.</t>
  </si>
  <si>
    <t>https://www.youtube.com/watch?v=HdUdcq9Z53s</t>
  </si>
  <si>
    <t>Look at 13 min and +.</t>
  </si>
  <si>
    <t>Brand</t>
  </si>
  <si>
    <t>Generic</t>
  </si>
  <si>
    <t>Alcohol use disorder</t>
  </si>
  <si>
    <t>Waiting data release (WDR)</t>
  </si>
  <si>
    <t>genetically targeted, serotonin-3 receptor antagonist (Serotonin-3 (5HT3) receptor)</t>
  </si>
  <si>
    <t>Already approved countries</t>
  </si>
  <si>
    <t>None</t>
  </si>
  <si>
    <t>Risk associated</t>
  </si>
  <si>
    <t>Physiochemistry</t>
  </si>
  <si>
    <t>Molecule</t>
  </si>
  <si>
    <t>XLogP</t>
  </si>
  <si>
    <t>Phase IIb:</t>
  </si>
  <si>
    <t>Success</t>
  </si>
  <si>
    <t>In the study, patients were randomly assigned (i.e., randomized) to either drug or placebo. All patients were provided behavioral therapy (i.e., counseling) to reduce drinking weekly as the standard of care.</t>
  </si>
  <si>
    <t>Primary endpoint of severity of drinking measured in drinks per drinking day and secondary endpoint of frequency of drinking measured in percentage of days abstinence were successfully achieved.</t>
  </si>
  <si>
    <t>Results:</t>
  </si>
  <si>
    <t>Safety Profile - NCT04101227:</t>
  </si>
  <si>
    <t xml:space="preserve"> Low-dose ondansetron (AD04, a 5-HT3 antagonist).</t>
  </si>
  <si>
    <t>https://www.ejinme.com/article/S0953-6205(24)00123-7/fulltext</t>
  </si>
  <si>
    <t>Adverse Events (AEs) were similar in frequency in the low-dose AD04 and placebo groups, with no meaningful clinical differences.</t>
  </si>
  <si>
    <t>No AE required any medical intervention, and all resolved spontaneously. In either treatment group, no other AE occurred with a frequency more significant than 5 %.</t>
  </si>
  <si>
    <t>On the Columbia Suicide Severity Rating Scale (C-SSRS), no subject met the criterion for clinically significant suicidality during the study.</t>
  </si>
  <si>
    <t>In their conclusion, the results suggest that ondansetron, because of its liver safety, could have an essential role in the treatment of AUD patients with ALD.</t>
  </si>
  <si>
    <t>Approval expected to be based on a Heavy Drinking Days (HDD)* Phase 3 end point.</t>
  </si>
  <si>
    <t>Trial not powered for the percentage of HDD; still achieved significance.</t>
  </si>
  <si>
    <t>Name of study Phase III "ONWARD"</t>
  </si>
  <si>
    <t>10K 2023</t>
  </si>
  <si>
    <t>Date of Agreement</t>
  </si>
  <si>
    <t>October 19, 2023 (Securities Purchase Agreement); January 11, 2024 (Shareholder Approval); March 1, 2024 (Inducement Agreement).</t>
  </si>
  <si>
    <t>Parties involved</t>
  </si>
  <si>
    <t>Company and Institutional Investor (Purchaser); Company and Existing Warrant Holder (Holder)</t>
  </si>
  <si>
    <t>Securities Issued</t>
  </si>
  <si>
    <t>- Pre-Funded Warrants: 1,418,440 shares at $0.001 exercise price
- Series A Warrants: 1,418,440 shares at $2.82 exercise price
- Series B Warrants: 1,418,440 shares at $2.82 exercise price</t>
  </si>
  <si>
    <t>Warrant Terms</t>
  </si>
  <si>
    <t>- Series A Warrants: Exercisable from Initial Exercise Date, with term of 5.5 years
- Series B Warrants: Exercisable from Initial Exercise Date with term of 18 months</t>
  </si>
  <si>
    <t>Pricing and Proceeds</t>
  </si>
  <si>
    <t>Combined price per Pre-Funded Warrant and accompanying Warrants: $2.819
Net proceeds from Private Placement: $3.4 million</t>
  </si>
  <si>
    <t>Registration Rights Agreement</t>
  </si>
  <si>
    <t>Requires the company to file a registration statement with the SEC within 20 days; maintain effectiveness until Purchaser owns no Warrants or shares are tradable</t>
  </si>
  <si>
    <t>Shareholder Approval</t>
  </si>
  <si>
    <t>Approved issuance of up to 3,007,092 shares from Pre-Funded and Series A and B Warrants at Special Meeting on January 11, 2024</t>
  </si>
  <si>
    <t>Excercise of Warrants</t>
  </si>
  <si>
    <t>- Pre-Funded Warrants: Fully exercised for $1,418
- Series B Warrants: 268,440 shares exercised on March 1, 2024, for $757,000</t>
  </si>
  <si>
    <t>Inducement Agreement</t>
  </si>
  <si>
    <t>- Date: March 1, 2024
- Terms: Holder exercises 1,150,000 Existing Warrants at $2.82 each
- Proceeds: Gross proceeds of $3.5 million, net $3.1 million</t>
  </si>
  <si>
    <t>Incentives (New Warrants Issued)</t>
  </si>
  <si>
    <t>Issued Series C Warrants (New Warrants) for 2,300,000 shares at $2.82 per share, incentivizing Holder for immediate exercise of Existing Warrants</t>
  </si>
  <si>
    <t>Factor</t>
  </si>
  <si>
    <t>Input</t>
  </si>
  <si>
    <t>Results</t>
  </si>
  <si>
    <t>Total AUD Population in US</t>
  </si>
  <si>
    <t>Genetic Eligibity for AD04</t>
  </si>
  <si>
    <t>Target Genotypes (AG and GG)</t>
  </si>
  <si>
    <t>Estimated Treatment Uptakes</t>
  </si>
  <si>
    <t>Annual Revenue Potential</t>
  </si>
  <si>
    <t>1.5B</t>
  </si>
  <si>
    <t>Heavy drinkers according to NIAAA</t>
  </si>
  <si>
    <t>Men</t>
  </si>
  <si>
    <t>5 drink on a day or 15 drink per week</t>
  </si>
  <si>
    <t>Women</t>
  </si>
  <si>
    <t>4 drink on a day or 8 drink per week</t>
  </si>
  <si>
    <t>AUD is characterized by an urge to consume alcohol and an inability to control the levels of consumption</t>
  </si>
  <si>
    <t>According to SAMHSA</t>
  </si>
  <si>
    <t>18-25</t>
  </si>
  <si>
    <t>7.6% or 2.6M in US</t>
  </si>
  <si>
    <t>26&lt;</t>
  </si>
  <si>
    <t>6% or 13.4M in US</t>
  </si>
  <si>
    <t>Today, the most common treatment for AUD are directed at achieving abstinence and typical treatments include psychological and social interventions</t>
  </si>
  <si>
    <t>Most therapies actually require abstinence prior to initiating therapy</t>
  </si>
  <si>
    <t>There are four drugs approved by the FDA for the treatment of alcohol addiction</t>
  </si>
  <si>
    <t>Antabuse (disulfram)</t>
  </si>
  <si>
    <t>Vivitrol (naltrexone)</t>
  </si>
  <si>
    <t>Revia (naltrexone)</t>
  </si>
  <si>
    <t>Campral (acomprosate)</t>
  </si>
  <si>
    <t>and one drug outside of the US</t>
  </si>
  <si>
    <t>Selinco (nalmefene)</t>
  </si>
  <si>
    <t>all other drug than Selinco require abstinence prior to commencing treatment; Selinco is not approved in the US</t>
  </si>
  <si>
    <t>all five are known to have significant side effect</t>
  </si>
  <si>
    <t>Antabuse was approved for the treatment of alcohol dependence more than 50y ago</t>
  </si>
  <si>
    <t>Antabues side effect: flushing; nausea and palpitations</t>
  </si>
  <si>
    <t>Revenue Build</t>
  </si>
  <si>
    <t>US Population</t>
  </si>
  <si>
    <t>% growth</t>
  </si>
  <si>
    <t>% of the US pop with Insurance</t>
  </si>
  <si>
    <t>% of US pop with Target disease</t>
  </si>
  <si>
    <t>Insured US pop with target disease</t>
  </si>
  <si>
    <t>% of patients with criteria 1</t>
  </si>
  <si>
    <t>% of patients with criteria 2</t>
  </si>
  <si>
    <t>% adherence to treatment</t>
  </si>
  <si>
    <t>Total eligible patients</t>
  </si>
  <si>
    <t>Penetration (% of eligible patients who get the drug)</t>
  </si>
  <si>
    <t>Patients treated with drug</t>
  </si>
  <si>
    <t>US list price (in actual $, not millions)</t>
  </si>
  <si>
    <t>Gross-to-net discount</t>
  </si>
  <si>
    <t>Net Price</t>
  </si>
  <si>
    <t>Total product net revenue</t>
  </si>
  <si>
    <t>Royalties</t>
  </si>
  <si>
    <t>Net Revenue</t>
  </si>
  <si>
    <t>Income Statement</t>
  </si>
  <si>
    <t>COGS</t>
  </si>
  <si>
    <t>% of sales</t>
  </si>
  <si>
    <t>R&amp;D</t>
  </si>
  <si>
    <t>Clinical Phase</t>
  </si>
  <si>
    <t>Phase 2</t>
  </si>
  <si>
    <t>Phase 3</t>
  </si>
  <si>
    <t>Approved</t>
  </si>
  <si>
    <t>SG&amp;A</t>
  </si>
  <si>
    <t>EBIT</t>
  </si>
  <si>
    <t>D&amp;A</t>
  </si>
  <si>
    <t>Taxes paid</t>
  </si>
  <si>
    <t>tax rate</t>
  </si>
  <si>
    <t>Unlevered FCF</t>
  </si>
  <si>
    <t>Less: adjusted taxes</t>
  </si>
  <si>
    <t>Less: CapEx</t>
  </si>
  <si>
    <t>Plus: D&amp;A</t>
  </si>
  <si>
    <t>Less: Increases in Working Capital</t>
  </si>
  <si>
    <t>Prob of success given stage</t>
  </si>
  <si>
    <t>Prob of cash flows</t>
  </si>
  <si>
    <t>Pro-adjusted FCF</t>
  </si>
  <si>
    <t>Years</t>
  </si>
  <si>
    <t>Discount rate</t>
  </si>
  <si>
    <t>Discount factor</t>
  </si>
  <si>
    <t>Present value of cash flows</t>
  </si>
  <si>
    <t>DCF</t>
  </si>
  <si>
    <t>Sum of discounted cash flows</t>
  </si>
  <si>
    <t>Terminal value</t>
  </si>
  <si>
    <t>Present Value of terminal value</t>
  </si>
  <si>
    <t>Plus: net cash</t>
  </si>
  <si>
    <t>Shares outs (in millions)</t>
  </si>
  <si>
    <t>Price per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</si>
</sst>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#,##0.00;[Red]#,##0.00"/>
    <numFmt numFmtId="166" formatCode="#,##0.0;[Red]#,##0.0"/>
    <numFmt numFmtId="167" formatCode="0.0%"/>
    <numFmt numFmtId="168" formatCode="0.000"/>
    <numFmt numFmtId="169" formatCode="_(&quot;$&quot;* #,##0_);_(&quot;$&quot;* \(#,##0\);_(&quot;$&quot;* &quot;-&quot;??_);_(@_)"/>
    <numFmt numFmtId="170" formatCode="0.0000"/>
  </numFmts>
  <fonts count="19">
    <font>
      <sz val="11"/>
      <color theme="1"/>
      <name val="Aptos Narrow"/>
      <family val="2"/>
      <scheme val="minor"/>
    </font>
    <font>
      <sz val="13"/>
      <color theme="1"/>
      <name val="Arial"/>
      <family val="2"/>
    </font>
    <font>
      <sz val="13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3"/>
      <color theme="1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u/>
      <sz val="13"/>
      <color theme="1"/>
      <name val="Arial"/>
      <family val="2"/>
    </font>
    <font>
      <sz val="13"/>
      <color rgb="FF006100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3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3"/>
      <color theme="10"/>
      <name val="Arial"/>
    </font>
    <font>
      <sz val="13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6" fontId="2" fillId="0" borderId="0" xfId="0" applyNumberFormat="1" applyFont="1"/>
    <xf numFmtId="164" fontId="4" fillId="0" borderId="0" xfId="1" applyNumberFormat="1" applyFont="1" applyFill="1" applyBorder="1"/>
    <xf numFmtId="166" fontId="6" fillId="0" borderId="0" xfId="0" applyNumberFormat="1" applyFont="1"/>
    <xf numFmtId="166" fontId="7" fillId="2" borderId="0" xfId="2" applyNumberFormat="1" applyFont="1"/>
    <xf numFmtId="0" fontId="0" fillId="0" borderId="11" xfId="0" applyBorder="1"/>
    <xf numFmtId="0" fontId="0" fillId="0" borderId="4" xfId="0" applyBorder="1"/>
    <xf numFmtId="0" fontId="8" fillId="0" borderId="0" xfId="1" applyFont="1"/>
    <xf numFmtId="0" fontId="9" fillId="0" borderId="0" xfId="0" applyFont="1"/>
    <xf numFmtId="15" fontId="10" fillId="0" borderId="1" xfId="0" applyNumberFormat="1" applyFont="1" applyBorder="1"/>
    <xf numFmtId="0" fontId="9" fillId="0" borderId="1" xfId="0" applyFont="1" applyBorder="1"/>
    <xf numFmtId="0" fontId="10" fillId="0" borderId="11" xfId="0" applyFont="1" applyBorder="1"/>
    <xf numFmtId="0" fontId="9" fillId="0" borderId="12" xfId="0" applyFont="1" applyBorder="1"/>
    <xf numFmtId="0" fontId="9" fillId="0" borderId="11" xfId="0" quotePrefix="1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10" fillId="0" borderId="1" xfId="0" applyFont="1" applyBorder="1"/>
    <xf numFmtId="0" fontId="9" fillId="0" borderId="11" xfId="0" applyFont="1" applyBorder="1"/>
    <xf numFmtId="166" fontId="1" fillId="0" borderId="0" xfId="0" applyNumberFormat="1" applyFont="1"/>
    <xf numFmtId="166" fontId="4" fillId="0" borderId="0" xfId="1" applyNumberFormat="1" applyFont="1"/>
    <xf numFmtId="166" fontId="11" fillId="0" borderId="0" xfId="0" applyNumberFormat="1" applyFont="1"/>
    <xf numFmtId="164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/>
    <xf numFmtId="165" fontId="1" fillId="0" borderId="0" xfId="0" applyNumberFormat="1" applyFont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0" fontId="1" fillId="0" borderId="0" xfId="0" applyFont="1"/>
    <xf numFmtId="166" fontId="1" fillId="3" borderId="0" xfId="0" applyNumberFormat="1" applyFont="1" applyFill="1"/>
    <xf numFmtId="0" fontId="0" fillId="4" borderId="0" xfId="0" applyFill="1"/>
    <xf numFmtId="0" fontId="13" fillId="4" borderId="0" xfId="0" applyFont="1" applyFill="1"/>
    <xf numFmtId="0" fontId="14" fillId="5" borderId="0" xfId="0" applyFont="1" applyFill="1"/>
    <xf numFmtId="2" fontId="0" fillId="4" borderId="0" xfId="0" applyNumberFormat="1" applyFill="1"/>
    <xf numFmtId="167" fontId="0" fillId="4" borderId="0" xfId="5" applyNumberFormat="1" applyFont="1" applyFill="1"/>
    <xf numFmtId="10" fontId="0" fillId="4" borderId="0" xfId="5" applyNumberFormat="1" applyFont="1" applyFill="1"/>
    <xf numFmtId="2" fontId="0" fillId="4" borderId="0" xfId="5" applyNumberFormat="1" applyFont="1" applyFill="1"/>
    <xf numFmtId="0" fontId="15" fillId="4" borderId="0" xfId="0" applyFont="1" applyFill="1"/>
    <xf numFmtId="168" fontId="15" fillId="4" borderId="0" xfId="0" applyNumberFormat="1" applyFont="1" applyFill="1"/>
    <xf numFmtId="169" fontId="0" fillId="4" borderId="0" xfId="4" applyNumberFormat="1" applyFont="1" applyFill="1"/>
    <xf numFmtId="169" fontId="0" fillId="4" borderId="0" xfId="0" applyNumberFormat="1" applyFill="1"/>
    <xf numFmtId="44" fontId="0" fillId="4" borderId="0" xfId="0" applyNumberFormat="1" applyFill="1"/>
    <xf numFmtId="9" fontId="0" fillId="4" borderId="0" xfId="5" applyFont="1" applyFill="1"/>
    <xf numFmtId="44" fontId="15" fillId="4" borderId="0" xfId="0" applyNumberFormat="1" applyFont="1" applyFill="1"/>
    <xf numFmtId="0" fontId="16" fillId="4" borderId="0" xfId="0" applyFont="1" applyFill="1"/>
    <xf numFmtId="44" fontId="16" fillId="4" borderId="0" xfId="0" applyNumberFormat="1" applyFont="1" applyFill="1"/>
    <xf numFmtId="10" fontId="16" fillId="4" borderId="0" xfId="5" applyNumberFormat="1" applyFont="1" applyFill="1"/>
    <xf numFmtId="9" fontId="16" fillId="4" borderId="0" xfId="5" applyFont="1" applyFill="1"/>
    <xf numFmtId="170" fontId="0" fillId="4" borderId="0" xfId="0" applyNumberFormat="1" applyFill="1"/>
    <xf numFmtId="43" fontId="0" fillId="4" borderId="0" xfId="3" applyFont="1" applyFill="1"/>
    <xf numFmtId="0" fontId="13" fillId="6" borderId="0" xfId="0" applyFont="1" applyFill="1"/>
    <xf numFmtId="44" fontId="13" fillId="6" borderId="0" xfId="0" applyNumberFormat="1" applyFont="1" applyFill="1"/>
    <xf numFmtId="0" fontId="13" fillId="0" borderId="0" xfId="0" applyFont="1"/>
    <xf numFmtId="0" fontId="17" fillId="0" borderId="0" xfId="1" applyFont="1"/>
    <xf numFmtId="0" fontId="18" fillId="0" borderId="0" xfId="0" applyFont="1"/>
  </cellXfs>
  <cellStyles count="6">
    <cellStyle name="Comma" xfId="3" builtinId="3"/>
    <cellStyle name="Currency" xfId="4" builtinId="4"/>
    <cellStyle name="Good" xfId="2" builtinId="26"/>
    <cellStyle name="Hyperlink" xfId="1" builtinId="8"/>
    <cellStyle name="Normal" xfId="0" builtinId="0"/>
    <cellStyle name="Percent" xfId="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175260</xdr:colOff>
      <xdr:row>23</xdr:row>
      <xdr:rowOff>167640</xdr:rowOff>
    </xdr:from>
    <xdr:to>
      <xdr:col>12</xdr:col>
      <xdr:colOff>414361</xdr:colOff>
      <xdr:row>49</xdr:row>
      <xdr:rowOff>177927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66346F8D-6621-9721-E30B-4AF433B33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5501640"/>
          <a:ext cx="6992326" cy="5458587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52</xdr:row>
      <xdr:rowOff>30480</xdr:rowOff>
    </xdr:from>
    <xdr:to>
      <xdr:col>14</xdr:col>
      <xdr:colOff>565043</xdr:colOff>
      <xdr:row>77</xdr:row>
      <xdr:rowOff>164580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6CB7519F-8E74-8B93-CE1D-C9184D503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0" y="11551920"/>
          <a:ext cx="8335538" cy="537285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97</xdr:row>
      <xdr:rowOff>22860</xdr:rowOff>
    </xdr:from>
    <xdr:to>
      <xdr:col>18</xdr:col>
      <xdr:colOff>353631</xdr:colOff>
      <xdr:row>108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30ED90-E76F-2311-13CA-A4D2625B3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60" y="18158460"/>
          <a:ext cx="10945431" cy="2529840"/>
        </a:xfrm>
        <a:prstGeom prst="rect">
          <a:avLst/>
        </a:prstGeom>
      </xdr:spPr>
    </xdr:pic>
    <xdr:clientData/>
  </xdr:twoCellAnchor>
  <xdr:twoCellAnchor editAs="oneCell">
    <xdr:from>
      <xdr:col>2</xdr:col>
      <xdr:colOff>49933</xdr:colOff>
      <xdr:row>109</xdr:row>
      <xdr:rowOff>190500</xdr:rowOff>
    </xdr:from>
    <xdr:to>
      <xdr:col>18</xdr:col>
      <xdr:colOff>314733</xdr:colOff>
      <xdr:row>134</xdr:row>
      <xdr:rowOff>111620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1E9FC3-9907-61B4-DFFF-E007AB17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653" y="20886420"/>
          <a:ext cx="10757540" cy="52551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90</xdr:row>
      <xdr:rowOff>198120</xdr:rowOff>
    </xdr:from>
    <xdr:to>
      <xdr:col>2</xdr:col>
      <xdr:colOff>586740</xdr:colOff>
      <xdr:row>90</xdr:row>
      <xdr:rowOff>205740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2FA50BE-79AA-CA90-5170-6B2FB4414CEB}"/>
            </a:ext>
          </a:extLst>
        </xdr:cNvPr>
        <xdr:cNvCxnSpPr/>
      </xdr:nvCxnSpPr>
      <xdr:spPr>
        <a:xfrm flipV="1">
          <a:off x="0" y="19194780"/>
          <a:ext cx="1775460" cy="76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96</xdr:row>
      <xdr:rowOff>114300</xdr:rowOff>
    </xdr:from>
    <xdr:to>
      <xdr:col>2</xdr:col>
      <xdr:colOff>586740</xdr:colOff>
      <xdr:row>96</xdr:row>
      <xdr:rowOff>121920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6D2A461-B0E0-48E8-9914-F945214D5CBE}"/>
            </a:ext>
          </a:extLst>
        </xdr:cNvPr>
        <xdr:cNvCxnSpPr/>
      </xdr:nvCxnSpPr>
      <xdr:spPr>
        <a:xfrm flipV="1">
          <a:off x="0" y="20391120"/>
          <a:ext cx="1775460" cy="76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79</xdr:row>
      <xdr:rowOff>152400</xdr:rowOff>
    </xdr:from>
    <xdr:to>
      <xdr:col>2</xdr:col>
      <xdr:colOff>586740</xdr:colOff>
      <xdr:row>79</xdr:row>
      <xdr:rowOff>160020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F967EF4-E861-4949-BA6F-6FC2ABB5D884}"/>
            </a:ext>
          </a:extLst>
        </xdr:cNvPr>
        <xdr:cNvCxnSpPr/>
      </xdr:nvCxnSpPr>
      <xdr:spPr>
        <a:xfrm flipV="1">
          <a:off x="0" y="17007840"/>
          <a:ext cx="1775460" cy="76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0</xdr:rowOff>
    </xdr:from>
    <xdr:to>
      <xdr:col>2</xdr:col>
      <xdr:colOff>586740</xdr:colOff>
      <xdr:row>15</xdr:row>
      <xdr:rowOff>7620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9DA19B7-A83C-4819-9FEC-C0C5F6F871D1}"/>
            </a:ext>
          </a:extLst>
        </xdr:cNvPr>
        <xdr:cNvCxnSpPr/>
      </xdr:nvCxnSpPr>
      <xdr:spPr>
        <a:xfrm flipV="1">
          <a:off x="0" y="3200400"/>
          <a:ext cx="1775460" cy="76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26</xdr:row>
      <xdr:rowOff>1869</xdr:rowOff>
    </xdr:from>
    <xdr:to>
      <xdr:col>19</xdr:col>
      <xdr:colOff>169895</xdr:colOff>
      <xdr:row>41</xdr:row>
      <xdr:rowOff>175781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EB2013-E508-776A-7096-6445A164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4756749"/>
          <a:ext cx="12620975" cy="2917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HdUdcq9Z53s" TargetMode="External"/><Relationship Id="rId1" Type="http://schemas.openxmlformats.org/officeDocument/2006/relationships/hyperlink" Target="https://www.globenewswire.com/news-release/2024/07/23/2917209/26135/en/Adial-Pharmaceuticals-Advances-to-Second-Cohort-in-Pharmacokinetics-Study-of-AD04-for-the-Treatment-of-Alcohol-Use-Disord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jinme.com/article/S0953-6205(24)00123-7/fulltex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Archives/edgar/data/1513525/000121390024028701/ea0202434-10k_adial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CC58-56DA-41AE-B195-95084CED1E4B}">
  <dimension ref="A1:N48"/>
  <sheetViews>
    <sheetView tabSelected="1" workbookViewId="0">
      <selection activeCell="C19" sqref="C19"/>
    </sheetView>
  </sheetViews>
  <sheetFormatPr defaultColWidth="8.7109375" defaultRowHeight="14.45"/>
  <cols>
    <col min="3" max="3" width="31" customWidth="1"/>
    <col min="4" max="4" width="15.42578125" customWidth="1"/>
    <col min="6" max="6" width="13.28515625" customWidth="1"/>
    <col min="7" max="7" width="32.28515625" customWidth="1"/>
    <col min="13" max="13" width="10.42578125" customWidth="1"/>
  </cols>
  <sheetData>
    <row r="1" spans="1:14" ht="16.899999999999999">
      <c r="A1" s="22" t="s">
        <v>0</v>
      </c>
      <c r="B1" s="22"/>
      <c r="C1" s="22"/>
      <c r="D1" s="22"/>
      <c r="E1" s="24"/>
      <c r="F1" s="22"/>
      <c r="G1" s="22"/>
      <c r="H1" s="22"/>
      <c r="I1" s="22"/>
      <c r="J1" s="22"/>
      <c r="K1" s="22"/>
      <c r="L1" s="22"/>
      <c r="M1" s="22"/>
      <c r="N1" s="22"/>
    </row>
    <row r="2" spans="1:14" ht="16.899999999999999">
      <c r="A2" s="22"/>
      <c r="B2" s="22"/>
      <c r="C2" s="22"/>
      <c r="D2" s="22"/>
      <c r="E2" s="24"/>
      <c r="F2" s="22"/>
      <c r="G2" s="22"/>
      <c r="H2" s="22"/>
      <c r="I2" s="22"/>
      <c r="J2" s="22"/>
      <c r="K2" s="22"/>
      <c r="L2" s="22"/>
      <c r="M2" s="22"/>
      <c r="N2" s="22"/>
    </row>
    <row r="3" spans="1:14" ht="16.899999999999999">
      <c r="A3" s="22"/>
      <c r="B3" s="25" t="s">
        <v>1</v>
      </c>
      <c r="C3" s="26" t="s">
        <v>2</v>
      </c>
      <c r="D3" s="26" t="s">
        <v>3</v>
      </c>
      <c r="E3" s="27" t="s">
        <v>4</v>
      </c>
      <c r="F3" s="26" t="s">
        <v>5</v>
      </c>
      <c r="G3" s="26" t="s">
        <v>6</v>
      </c>
      <c r="H3" s="26" t="s">
        <v>7</v>
      </c>
      <c r="I3" s="28" t="s">
        <v>8</v>
      </c>
      <c r="J3" s="22"/>
      <c r="K3" s="22"/>
      <c r="L3" s="22" t="s">
        <v>9</v>
      </c>
      <c r="M3" s="29">
        <v>1.02</v>
      </c>
      <c r="N3" s="22"/>
    </row>
    <row r="4" spans="1:14" ht="16.899999999999999">
      <c r="A4" s="22"/>
      <c r="B4" s="30" t="s">
        <v>10</v>
      </c>
      <c r="C4" s="22" t="s">
        <v>11</v>
      </c>
      <c r="D4" s="22" t="s">
        <v>12</v>
      </c>
      <c r="E4" s="24" t="s">
        <v>13</v>
      </c>
      <c r="F4" s="22"/>
      <c r="G4" s="22" t="s">
        <v>14</v>
      </c>
      <c r="H4" s="22"/>
      <c r="I4" s="31"/>
      <c r="J4" s="22"/>
      <c r="K4" s="22"/>
      <c r="L4" s="22" t="s">
        <v>15</v>
      </c>
      <c r="M4" s="22">
        <v>6400</v>
      </c>
      <c r="N4" s="22" t="s">
        <v>16</v>
      </c>
    </row>
    <row r="5" spans="1:14" ht="16.899999999999999">
      <c r="A5" s="22"/>
      <c r="B5" s="32" t="s">
        <v>17</v>
      </c>
      <c r="C5" s="33"/>
      <c r="D5" s="33" t="s">
        <v>18</v>
      </c>
      <c r="E5" s="34" t="s">
        <v>19</v>
      </c>
      <c r="F5" s="33"/>
      <c r="G5" s="33"/>
      <c r="H5" s="33"/>
      <c r="I5" s="35"/>
      <c r="J5" s="22"/>
      <c r="K5" s="22"/>
      <c r="L5" s="22" t="s">
        <v>20</v>
      </c>
      <c r="M5" s="22">
        <f>+M3*M4</f>
        <v>6528</v>
      </c>
      <c r="N5" s="22"/>
    </row>
    <row r="6" spans="1:14" ht="16.899999999999999">
      <c r="A6" s="22"/>
      <c r="B6" s="22"/>
      <c r="C6" s="22"/>
      <c r="D6" s="22"/>
      <c r="E6" s="24"/>
      <c r="F6" s="22"/>
      <c r="G6" s="22"/>
      <c r="H6" s="22"/>
      <c r="I6" s="22"/>
      <c r="J6" s="22"/>
      <c r="K6" s="22"/>
      <c r="L6" s="22" t="s">
        <v>21</v>
      </c>
      <c r="M6" s="22">
        <v>3300</v>
      </c>
      <c r="N6" s="22" t="s">
        <v>16</v>
      </c>
    </row>
    <row r="7" spans="1:14" ht="16.899999999999999">
      <c r="A7" s="22"/>
      <c r="B7" s="22"/>
      <c r="C7" s="22"/>
      <c r="D7" s="22"/>
      <c r="E7" s="24"/>
      <c r="F7" s="22"/>
      <c r="G7" s="22"/>
      <c r="H7" s="22"/>
      <c r="I7" s="22"/>
      <c r="J7" s="22"/>
      <c r="K7" s="22"/>
      <c r="L7" s="22" t="s">
        <v>22</v>
      </c>
      <c r="M7" s="22">
        <v>0</v>
      </c>
      <c r="N7" s="22" t="s">
        <v>16</v>
      </c>
    </row>
    <row r="8" spans="1:14" ht="17.45">
      <c r="A8" s="22"/>
      <c r="B8" s="22"/>
      <c r="C8" s="3"/>
      <c r="D8" s="22"/>
      <c r="E8" s="24"/>
      <c r="F8" s="22"/>
      <c r="G8" s="22"/>
      <c r="H8" s="22"/>
      <c r="I8" s="22"/>
      <c r="J8" s="22"/>
      <c r="K8" s="22"/>
      <c r="L8" s="22" t="s">
        <v>23</v>
      </c>
      <c r="M8" s="22">
        <f>+M7+M5-M6</f>
        <v>3228</v>
      </c>
      <c r="N8" s="22"/>
    </row>
    <row r="9" spans="1:14" ht="17.45">
      <c r="A9" s="22"/>
      <c r="B9" s="22"/>
      <c r="C9" s="3"/>
      <c r="D9" s="22"/>
      <c r="E9" s="24"/>
      <c r="F9" s="22"/>
      <c r="G9" s="22"/>
      <c r="H9" s="22"/>
      <c r="I9" s="22"/>
      <c r="J9" s="22"/>
      <c r="K9" s="22"/>
      <c r="L9" s="22"/>
      <c r="M9" s="22"/>
      <c r="N9" s="22"/>
    </row>
    <row r="10" spans="1:14" ht="16.899999999999999">
      <c r="A10" s="22"/>
      <c r="B10" s="22"/>
      <c r="C10" s="22"/>
      <c r="D10" s="22"/>
      <c r="E10" s="24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6.899999999999999">
      <c r="A11" s="22"/>
      <c r="B11" s="22"/>
      <c r="C11" s="22"/>
      <c r="D11" s="22"/>
      <c r="E11" s="24"/>
      <c r="F11" s="22"/>
      <c r="G11" s="22"/>
      <c r="H11" s="22"/>
      <c r="I11" s="22"/>
      <c r="J11" s="22"/>
      <c r="K11" s="22"/>
      <c r="L11" s="22"/>
      <c r="M11" s="22"/>
      <c r="N11" s="22"/>
    </row>
    <row r="12" spans="1:14" ht="16.899999999999999">
      <c r="A12" s="22"/>
      <c r="B12" s="22"/>
      <c r="C12" s="22"/>
      <c r="D12" s="22"/>
      <c r="E12" s="24"/>
      <c r="F12" s="22"/>
      <c r="G12" s="22"/>
      <c r="H12" s="22"/>
      <c r="I12" s="22"/>
      <c r="J12" s="22"/>
      <c r="K12" s="22"/>
      <c r="L12" s="22"/>
      <c r="M12" s="22"/>
      <c r="N12" s="22"/>
    </row>
    <row r="13" spans="1:14" ht="16.899999999999999">
      <c r="A13" s="22"/>
      <c r="B13" s="22"/>
      <c r="C13" s="22"/>
      <c r="D13" s="22"/>
      <c r="E13" s="24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16.899999999999999">
      <c r="A14" s="36" t="s">
        <v>24</v>
      </c>
      <c r="B14" s="37" t="s">
        <v>25</v>
      </c>
      <c r="C14" s="22"/>
      <c r="D14" s="22"/>
      <c r="E14" s="24"/>
      <c r="F14" s="22"/>
      <c r="G14" s="22"/>
      <c r="H14" s="22"/>
      <c r="I14" s="22"/>
      <c r="J14" s="22"/>
      <c r="K14" s="22"/>
      <c r="L14" s="22"/>
      <c r="M14" s="22"/>
      <c r="N14" s="22"/>
    </row>
    <row r="15" spans="1:14" ht="16.899999999999999">
      <c r="A15" s="22"/>
      <c r="B15" s="22"/>
      <c r="C15" s="22"/>
      <c r="D15" s="22"/>
      <c r="E15" s="24"/>
      <c r="F15" s="22"/>
      <c r="G15" s="22"/>
      <c r="H15" s="22"/>
      <c r="I15" s="22"/>
      <c r="J15" s="22"/>
      <c r="K15" s="22"/>
      <c r="L15" s="22"/>
      <c r="M15" s="22"/>
      <c r="N15" s="22"/>
    </row>
    <row r="16" spans="1:14" ht="16.899999999999999">
      <c r="A16" s="22"/>
      <c r="B16" s="22" t="s">
        <v>26</v>
      </c>
      <c r="C16" s="22"/>
      <c r="D16" s="22"/>
      <c r="E16" s="24"/>
      <c r="F16" s="22"/>
      <c r="G16" s="22"/>
      <c r="H16" s="22"/>
      <c r="I16" s="22"/>
      <c r="J16" s="22"/>
      <c r="K16" s="22"/>
      <c r="L16" s="22"/>
      <c r="M16" s="22"/>
      <c r="N16" s="22"/>
    </row>
    <row r="17" spans="2:2" s="1" customFormat="1" ht="16.899999999999999">
      <c r="B17" s="38" t="s">
        <v>27</v>
      </c>
    </row>
    <row r="18" spans="2:2" s="1" customFormat="1" ht="16.899999999999999">
      <c r="B18" s="38" t="s">
        <v>28</v>
      </c>
    </row>
    <row r="19" spans="2:2" s="1" customFormat="1" ht="16.899999999999999">
      <c r="B19" s="38"/>
    </row>
    <row r="20" spans="2:2" s="1" customFormat="1" ht="16.5">
      <c r="B20" s="63" t="s">
        <v>29</v>
      </c>
    </row>
    <row r="21" spans="2:2" s="1" customFormat="1" ht="16.5">
      <c r="B21" s="64" t="s">
        <v>30</v>
      </c>
    </row>
    <row r="22" spans="2:2" s="1" customFormat="1" ht="16.5">
      <c r="B22" s="63" t="s">
        <v>31</v>
      </c>
    </row>
    <row r="23" spans="2:2" s="1" customFormat="1" ht="16.5">
      <c r="B23" s="64" t="s">
        <v>32</v>
      </c>
    </row>
    <row r="24" spans="2:2" s="1" customFormat="1" ht="16.899999999999999">
      <c r="B24" s="38"/>
    </row>
    <row r="25" spans="2:2" s="1" customFormat="1" ht="16.899999999999999">
      <c r="B25" s="38"/>
    </row>
    <row r="26" spans="2:2" s="1" customFormat="1" ht="16.899999999999999">
      <c r="B26" s="38"/>
    </row>
    <row r="27" spans="2:2" s="1" customFormat="1" ht="16.899999999999999">
      <c r="B27" s="38"/>
    </row>
    <row r="28" spans="2:2" s="1" customFormat="1" ht="16.899999999999999">
      <c r="B28" s="38"/>
    </row>
    <row r="29" spans="2:2" s="1" customFormat="1" ht="16.899999999999999">
      <c r="B29" s="38"/>
    </row>
    <row r="30" spans="2:2" s="1" customFormat="1" ht="16.899999999999999">
      <c r="B30" s="38"/>
    </row>
    <row r="31" spans="2:2" s="1" customFormat="1" ht="16.899999999999999">
      <c r="B31" s="38"/>
    </row>
    <row r="32" spans="2:2" s="1" customFormat="1" ht="16.899999999999999">
      <c r="B32" s="38"/>
    </row>
    <row r="33" s="1" customFormat="1" ht="16.899999999999999"/>
    <row r="34" s="1" customFormat="1" ht="16.899999999999999"/>
    <row r="35" s="1" customFormat="1" ht="16.899999999999999"/>
    <row r="36" s="1" customFormat="1" ht="16.899999999999999"/>
    <row r="37" s="1" customFormat="1" ht="16.899999999999999"/>
    <row r="38" s="1" customFormat="1" ht="16.899999999999999"/>
    <row r="39" s="1" customFormat="1" ht="16.899999999999999"/>
    <row r="40" s="1" customFormat="1" ht="16.899999999999999"/>
    <row r="41" s="1" customFormat="1" ht="16.899999999999999"/>
    <row r="42" s="1" customFormat="1" ht="16.899999999999999"/>
    <row r="43" s="1" customFormat="1" ht="16.899999999999999"/>
    <row r="44" s="1" customFormat="1" ht="16.899999999999999"/>
    <row r="45" s="1" customFormat="1" ht="16.899999999999999"/>
    <row r="46" s="1" customFormat="1" ht="16.899999999999999"/>
    <row r="47" s="1" customFormat="1" ht="16.899999999999999"/>
    <row r="48" s="1" customFormat="1" ht="16.899999999999999"/>
  </sheetData>
  <hyperlinks>
    <hyperlink ref="B20" r:id="rId1" xr:uid="{76CD4FF4-2055-4368-8234-EDB7C26C6224}"/>
    <hyperlink ref="B22" r:id="rId2" xr:uid="{D2ECFDCF-13B2-402B-A421-201A4C5F97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FF4E-6EE0-4954-84B5-58275065B11F}">
  <dimension ref="A1"/>
  <sheetViews>
    <sheetView workbookViewId="0"/>
  </sheetViews>
  <sheetFormatPr defaultColWidth="8.7109375"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B70B-641E-4C69-BA6E-61D093E2B222}">
  <dimension ref="A1"/>
  <sheetViews>
    <sheetView workbookViewId="0"/>
  </sheetViews>
  <sheetFormatPr defaultColWidth="8.7109375"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opLeftCell="A125" workbookViewId="0">
      <selection activeCell="D80" sqref="D80"/>
    </sheetView>
  </sheetViews>
  <sheetFormatPr defaultColWidth="8.7109375" defaultRowHeight="14.45"/>
  <cols>
    <col min="3" max="3" width="21.28515625" customWidth="1"/>
    <col min="11" max="11" width="10.28515625" customWidth="1"/>
  </cols>
  <sheetData>
    <row r="1" spans="1:15" s="2" customFormat="1" ht="16.899999999999999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2" customFormat="1" ht="16.899999999999999">
      <c r="A2" s="19"/>
      <c r="B2" s="19" t="s">
        <v>33</v>
      </c>
      <c r="C2" s="19" t="s">
        <v>10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s="2" customFormat="1" ht="16.899999999999999">
      <c r="A3" s="19"/>
      <c r="B3" s="19" t="s">
        <v>34</v>
      </c>
      <c r="C3" s="19" t="s">
        <v>10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s="2" customFormat="1" ht="16.899999999999999">
      <c r="A4" s="19"/>
      <c r="B4" s="19" t="s">
        <v>4</v>
      </c>
      <c r="C4" s="19" t="s">
        <v>13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s="2" customFormat="1" ht="16.899999999999999">
      <c r="A5" s="19"/>
      <c r="B5" s="19" t="s">
        <v>2</v>
      </c>
      <c r="C5" s="19" t="s">
        <v>35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s="2" customFormat="1" ht="16.899999999999999">
      <c r="A6" s="19"/>
      <c r="B6" s="19" t="s">
        <v>3</v>
      </c>
      <c r="C6" s="19" t="s">
        <v>36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s="2" customFormat="1" ht="16.899999999999999">
      <c r="A7" s="19"/>
      <c r="B7" s="19" t="s">
        <v>6</v>
      </c>
      <c r="C7" s="19" t="s">
        <v>37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2" customFormat="1" ht="16.899999999999999">
      <c r="A8" s="19"/>
      <c r="B8" s="19" t="s">
        <v>38</v>
      </c>
      <c r="C8" s="19" t="s">
        <v>39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2" customFormat="1" ht="16.899999999999999">
      <c r="A9" s="19"/>
      <c r="B9" s="19" t="s">
        <v>40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s="2" customFormat="1" ht="16.899999999999999">
      <c r="A10" s="19"/>
      <c r="B10" s="19" t="s">
        <v>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s="2" customFormat="1" ht="16.899999999999999">
      <c r="A11" s="19"/>
      <c r="B11" s="19" t="s">
        <v>41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s="2" customFormat="1" ht="16.899999999999999">
      <c r="A12" s="19"/>
      <c r="B12" s="19" t="s">
        <v>42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s="2" customFormat="1" ht="16.899999999999999">
      <c r="A13" s="19"/>
      <c r="B13" s="19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s="2" customFormat="1" ht="16.899999999999999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s="2" customFormat="1" ht="16.899999999999999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s="2" customFormat="1" ht="16.899999999999999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s="2" customFormat="1" ht="16.899999999999999">
      <c r="B17" s="4" t="s">
        <v>44</v>
      </c>
      <c r="C17" s="19"/>
      <c r="D17" s="19"/>
      <c r="E17" s="19"/>
      <c r="F17" s="19"/>
      <c r="G17" s="19"/>
      <c r="H17" s="19"/>
      <c r="I17" s="19"/>
      <c r="J17" s="19"/>
      <c r="K17" s="5" t="s">
        <v>45</v>
      </c>
      <c r="L17" s="19"/>
      <c r="M17" s="19"/>
      <c r="N17" s="19"/>
      <c r="O17" s="19"/>
    </row>
    <row r="18" spans="2:15" s="2" customFormat="1" ht="16.899999999999999">
      <c r="B18" s="19"/>
      <c r="C18" s="19" t="s">
        <v>46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s="2" customFormat="1" ht="16.899999999999999">
      <c r="B19" s="19"/>
      <c r="C19" s="19" t="s">
        <v>47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 s="2" customFormat="1" ht="16.899999999999999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2:15" s="2" customFormat="1" ht="16.899999999999999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s="2" customFormat="1" ht="16.899999999999999">
      <c r="B22" s="4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s="2" customFormat="1" ht="16.899999999999999">
      <c r="B23" s="19"/>
      <c r="C23" s="19"/>
      <c r="D23" s="19"/>
      <c r="E23" s="19"/>
      <c r="F23" s="19"/>
      <c r="G23" s="19"/>
      <c r="H23" s="19"/>
      <c r="I23" s="19"/>
      <c r="J23" s="19"/>
      <c r="K23" s="5" t="s">
        <v>45</v>
      </c>
      <c r="L23" s="19"/>
      <c r="M23" s="19"/>
      <c r="N23" s="19"/>
      <c r="O23" s="19"/>
    </row>
    <row r="24" spans="2:15" s="2" customFormat="1" ht="16.899999999999999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2:15" s="2" customFormat="1" ht="16.899999999999999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 s="2" customFormat="1" ht="16.899999999999999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5" s="2" customFormat="1" ht="16.899999999999999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2:15" s="2" customFormat="1" ht="16.899999999999999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2:15" s="2" customFormat="1" ht="16.899999999999999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2:15" s="2" customFormat="1" ht="16.899999999999999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2:15" s="2" customFormat="1" ht="16.899999999999999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2:15" s="2" customFormat="1" ht="16.899999999999999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2:15" s="2" customFormat="1" ht="16.899999999999999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2:15" s="2" customFormat="1" ht="16.899999999999999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2:15" s="2" customFormat="1" ht="16.899999999999999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2:15" s="2" customFormat="1" ht="16.899999999999999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2:15" s="2" customFormat="1" ht="16.899999999999999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2:15" s="2" customFormat="1" ht="16.899999999999999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5" s="2" customFormat="1" ht="16.899999999999999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15" s="2" customFormat="1" ht="16.899999999999999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15" s="2" customFormat="1" ht="16.899999999999999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15" s="2" customFormat="1" ht="16.899999999999999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2:15" s="2" customFormat="1" ht="16.899999999999999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2:15" s="2" customFormat="1" ht="16.899999999999999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2:15" s="2" customFormat="1" ht="16.899999999999999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2:15" s="2" customFormat="1" ht="16.899999999999999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2:15" s="2" customFormat="1" ht="16.899999999999999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2:15" s="2" customFormat="1" ht="16.899999999999999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2:15" s="2" customFormat="1" ht="16.899999999999999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2:15" s="2" customFormat="1" ht="16.899999999999999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2:15" s="2" customFormat="1" ht="16.899999999999999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2:15" s="2" customFormat="1" ht="16.899999999999999">
      <c r="B52" s="19"/>
      <c r="C52" s="19"/>
      <c r="D52" s="19"/>
      <c r="E52" s="19"/>
      <c r="F52" s="19"/>
      <c r="G52" s="19"/>
      <c r="H52" s="19"/>
      <c r="I52" s="19"/>
      <c r="J52" s="19"/>
      <c r="K52" s="5" t="s">
        <v>45</v>
      </c>
      <c r="L52" s="19"/>
      <c r="M52" s="19"/>
      <c r="N52" s="19"/>
      <c r="O52" s="19"/>
    </row>
    <row r="53" spans="2:15" s="2" customFormat="1" ht="16.899999999999999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2:15" s="2" customFormat="1" ht="16.899999999999999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2:15" s="2" customFormat="1" ht="16.899999999999999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2:15" s="2" customFormat="1" ht="16.899999999999999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2:15" s="2" customFormat="1" ht="16.899999999999999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2:15" s="2" customFormat="1" ht="16.899999999999999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2:15" s="2" customFormat="1" ht="16.899999999999999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2:15" s="2" customFormat="1" ht="16.899999999999999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2:15" s="2" customFormat="1" ht="16.899999999999999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2:15" s="2" customFormat="1" ht="16.899999999999999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2:15" s="2" customFormat="1" ht="16.899999999999999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2:15" s="2" customFormat="1" ht="16.899999999999999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2:15" s="2" customFormat="1" ht="16.899999999999999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2:15" s="2" customFormat="1" ht="16.899999999999999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2:15" s="2" customFormat="1" ht="16.899999999999999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2:15" s="2" customFormat="1" ht="16.899999999999999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2:15" s="2" customFormat="1" ht="16.899999999999999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2:15" s="2" customFormat="1" ht="16.899999999999999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2:15" s="2" customFormat="1" ht="16.899999999999999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2:15" s="2" customFormat="1" ht="16.899999999999999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2:15" s="2" customFormat="1" ht="16.899999999999999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2:15" s="2" customFormat="1" ht="16.899999999999999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2:15" s="2" customFormat="1" ht="16.899999999999999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2:15" s="2" customFormat="1" ht="16.899999999999999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2:15" s="2" customFormat="1" ht="16.899999999999999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2:15" s="2" customFormat="1" ht="16.899999999999999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2:15" s="2" customFormat="1" ht="16.899999999999999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2:15" s="2" customFormat="1" ht="16.899999999999999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2:15" s="2" customFormat="1" ht="16.899999999999999">
      <c r="B81" s="19"/>
      <c r="C81" s="19"/>
      <c r="D81" s="19"/>
      <c r="E81" s="19"/>
      <c r="F81" s="19"/>
      <c r="G81" s="19"/>
      <c r="H81" s="19"/>
      <c r="I81" s="19"/>
      <c r="J81" s="19"/>
      <c r="K81" s="5" t="s">
        <v>45</v>
      </c>
      <c r="L81" s="19"/>
      <c r="M81" s="19"/>
      <c r="N81" s="19"/>
      <c r="O81" s="19"/>
    </row>
    <row r="82" spans="2:15" s="2" customFormat="1" ht="17.45">
      <c r="B82" s="19"/>
      <c r="C82" s="21" t="s">
        <v>49</v>
      </c>
      <c r="D82" s="19"/>
      <c r="E82" s="19"/>
      <c r="F82" s="19" t="s">
        <v>50</v>
      </c>
      <c r="G82" s="19"/>
      <c r="H82" s="19"/>
      <c r="I82" s="19"/>
      <c r="J82" s="19"/>
      <c r="K82" s="19"/>
      <c r="L82" s="19"/>
      <c r="M82" s="20" t="s">
        <v>51</v>
      </c>
      <c r="N82" s="19"/>
      <c r="O82" s="19"/>
    </row>
    <row r="83" spans="2:15" s="2" customFormat="1" ht="16.899999999999999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2:15" s="2" customFormat="1" ht="16.899999999999999">
      <c r="B84" s="19"/>
      <c r="C84" s="19" t="s">
        <v>52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2:15" s="2" customFormat="1" ht="16.899999999999999">
      <c r="B85" s="19"/>
      <c r="C85" s="19" t="s">
        <v>53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2:15" s="2" customFormat="1" ht="16.899999999999999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2:15" s="2" customFormat="1" ht="16.899999999999999">
      <c r="B87" s="19"/>
      <c r="C87" s="19" t="s">
        <v>54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2:15" s="2" customFormat="1" ht="16.899999999999999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2:15" s="2" customFormat="1" ht="16.899999999999999">
      <c r="B89" s="19"/>
      <c r="C89" s="19" t="s">
        <v>55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2:15" s="2" customFormat="1" ht="16.899999999999999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2:15" s="2" customFormat="1" ht="16.899999999999999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2:15" s="2" customFormat="1" ht="16.899999999999999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2:15" s="2" customFormat="1" ht="16.899999999999999">
      <c r="B93" s="19"/>
      <c r="C93" s="39" t="s">
        <v>56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2:15" s="2" customFormat="1" ht="16.899999999999999">
      <c r="B94" s="19"/>
      <c r="C94" s="39" t="s">
        <v>57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2:15" s="2" customFormat="1" ht="16.899999999999999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2:15" s="2" customFormat="1" ht="16.899999999999999">
      <c r="B96" s="19"/>
      <c r="C96" s="19" t="s">
        <v>58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2:15" s="2" customFormat="1" ht="16.899999999999999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2:15" s="2" customFormat="1" ht="16.899999999999999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2:15" s="2" customFormat="1" ht="16.899999999999999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spans="2:15" s="2" customFormat="1" ht="16.899999999999999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spans="2:15" s="2" customFormat="1" ht="16.899999999999999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 spans="2:15" s="2" customFormat="1" ht="16.899999999999999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 spans="2:15" s="2" customFormat="1" ht="16.899999999999999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 spans="2:15" s="2" customFormat="1" ht="16.899999999999999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 spans="2:15" s="2" customFormat="1" ht="16.899999999999999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 spans="2:15" s="2" customFormat="1" ht="16.899999999999999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spans="2:15" s="2" customFormat="1" ht="16.899999999999999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2:15" s="2" customFormat="1" ht="16.899999999999999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 spans="2:15" s="2" customFormat="1" ht="16.899999999999999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 spans="2:15" s="2" customFormat="1" ht="16.899999999999999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 spans="2:15" s="2" customFormat="1" ht="16.899999999999999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 spans="2:15" s="2" customFormat="1" ht="16.899999999999999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 spans="2:15" s="2" customFormat="1" ht="16.899999999999999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</row>
    <row r="114" spans="2:15" s="2" customFormat="1" ht="16.899999999999999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spans="2:15" s="2" customFormat="1" ht="16.899999999999999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spans="2:15" s="2" customFormat="1" ht="16.899999999999999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2:15" s="2" customFormat="1" ht="16.899999999999999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 spans="2:15" s="2" customFormat="1" ht="16.899999999999999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 spans="2:15" s="2" customFormat="1" ht="16.899999999999999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 spans="2:15" s="2" customFormat="1" ht="16.899999999999999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1" spans="2:15" s="2" customFormat="1" ht="16.899999999999999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</row>
    <row r="122" spans="2:15" s="2" customFormat="1" ht="16.899999999999999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</row>
    <row r="123" spans="2:15" s="2" customFormat="1" ht="16.899999999999999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</row>
    <row r="124" spans="2:15" s="2" customFormat="1" ht="16.899999999999999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</row>
    <row r="125" spans="2:15" s="2" customFormat="1" ht="16.899999999999999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</row>
    <row r="126" spans="2:15" s="2" customFormat="1" ht="16.899999999999999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</row>
    <row r="127" spans="2:15" s="2" customFormat="1" ht="16.899999999999999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</row>
    <row r="128" spans="2:15" s="2" customFormat="1" ht="16.899999999999999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</row>
    <row r="129" spans="2:15" s="2" customFormat="1" ht="16.899999999999999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</row>
    <row r="130" spans="2:15" s="2" customFormat="1" ht="16.899999999999999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</row>
    <row r="131" spans="2:15" s="2" customFormat="1" ht="16.899999999999999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</row>
    <row r="132" spans="2:15" s="2" customFormat="1" ht="16.899999999999999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</row>
    <row r="133" spans="2:15" s="2" customFormat="1" ht="16.899999999999999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</row>
    <row r="134" spans="2:15" s="2" customFormat="1" ht="16.899999999999999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</row>
    <row r="135" spans="2:15" s="2" customFormat="1" ht="16.899999999999999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</row>
    <row r="136" spans="2:15" s="2" customFormat="1" ht="16.899999999999999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</row>
    <row r="137" spans="2:15" s="2" customFormat="1" ht="16.899999999999999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</row>
    <row r="138" spans="2:15" s="2" customFormat="1" ht="16.899999999999999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</row>
    <row r="139" spans="2:15" s="2" customFormat="1" ht="16.899999999999999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</row>
    <row r="140" spans="2:15" s="2" customFormat="1" ht="16.899999999999999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</row>
    <row r="141" spans="2:15" s="2" customFormat="1" ht="16.899999999999999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</row>
  </sheetData>
  <hyperlinks>
    <hyperlink ref="M82" r:id="rId1" xr:uid="{D1F37C72-67D3-4083-8E20-1B50ED25CC26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6FFF-E14C-4C17-9F60-9616D718DE39}">
  <dimension ref="A1"/>
  <sheetViews>
    <sheetView workbookViewId="0"/>
  </sheetViews>
  <sheetFormatPr defaultColWidth="8.7109375"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C5B-DB0C-4FF9-9FED-01DCA26E3A0E}">
  <dimension ref="B2:D13"/>
  <sheetViews>
    <sheetView workbookViewId="0">
      <selection activeCell="C12" sqref="C12"/>
    </sheetView>
  </sheetViews>
  <sheetFormatPr defaultRowHeight="14.45"/>
  <cols>
    <col min="2" max="2" width="30.140625" customWidth="1"/>
    <col min="3" max="3" width="79.28515625" customWidth="1"/>
  </cols>
  <sheetData>
    <row r="2" spans="2:4" ht="15.6">
      <c r="B2" s="8" t="s">
        <v>59</v>
      </c>
      <c r="C2" s="9"/>
    </row>
    <row r="3" spans="2:4" ht="15.6">
      <c r="B3" s="8"/>
      <c r="C3" s="9"/>
    </row>
    <row r="4" spans="2:4" ht="15.6">
      <c r="B4" s="10" t="s">
        <v>60</v>
      </c>
      <c r="C4" s="11" t="s">
        <v>61</v>
      </c>
      <c r="D4" s="7"/>
    </row>
    <row r="5" spans="2:4" ht="15.6">
      <c r="B5" s="12" t="s">
        <v>62</v>
      </c>
      <c r="C5" s="13" t="s">
        <v>63</v>
      </c>
    </row>
    <row r="6" spans="2:4" ht="46.9">
      <c r="B6" s="12" t="s">
        <v>64</v>
      </c>
      <c r="C6" s="14" t="s">
        <v>65</v>
      </c>
    </row>
    <row r="7" spans="2:4" ht="31.15">
      <c r="B7" s="12" t="s">
        <v>66</v>
      </c>
      <c r="C7" s="15" t="s">
        <v>67</v>
      </c>
    </row>
    <row r="8" spans="2:4" ht="31.15">
      <c r="B8" s="12" t="s">
        <v>68</v>
      </c>
      <c r="C8" s="16" t="s">
        <v>69</v>
      </c>
    </row>
    <row r="9" spans="2:4" ht="15.6">
      <c r="B9" s="17" t="s">
        <v>70</v>
      </c>
      <c r="C9" s="18" t="s">
        <v>71</v>
      </c>
    </row>
    <row r="10" spans="2:4" ht="15.6">
      <c r="B10" s="12" t="s">
        <v>72</v>
      </c>
      <c r="C10" s="9" t="s">
        <v>73</v>
      </c>
    </row>
    <row r="11" spans="2:4" ht="31.15">
      <c r="B11" s="12" t="s">
        <v>74</v>
      </c>
      <c r="C11" s="15" t="s">
        <v>75</v>
      </c>
    </row>
    <row r="12" spans="2:4" ht="46.9">
      <c r="B12" s="12" t="s">
        <v>76</v>
      </c>
      <c r="C12" s="16" t="s">
        <v>77</v>
      </c>
    </row>
    <row r="13" spans="2:4" ht="15.6">
      <c r="B13" s="17" t="s">
        <v>78</v>
      </c>
      <c r="C13" s="18" t="s">
        <v>79</v>
      </c>
    </row>
  </sheetData>
  <hyperlinks>
    <hyperlink ref="B2" r:id="rId1" xr:uid="{171FFDA7-31C1-4231-AA61-FACEBFFE811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89AF-BE10-48D8-A9C3-9B732890BF49}">
  <dimension ref="A1:C6"/>
  <sheetViews>
    <sheetView workbookViewId="0">
      <selection activeCell="A2" sqref="A2"/>
    </sheetView>
  </sheetViews>
  <sheetFormatPr defaultRowHeight="15"/>
  <sheetData>
    <row r="1" spans="1:3">
      <c r="A1" t="s">
        <v>80</v>
      </c>
      <c r="B1" t="s">
        <v>81</v>
      </c>
      <c r="C1" t="s">
        <v>82</v>
      </c>
    </row>
    <row r="2" spans="1:3">
      <c r="A2" t="s">
        <v>83</v>
      </c>
      <c r="B2">
        <v>30</v>
      </c>
    </row>
    <row r="3" spans="1:3">
      <c r="A3" t="s">
        <v>84</v>
      </c>
      <c r="B3">
        <v>10</v>
      </c>
    </row>
    <row r="4" spans="1:3">
      <c r="A4" t="s">
        <v>85</v>
      </c>
      <c r="B4">
        <v>2</v>
      </c>
    </row>
    <row r="5" spans="1:3">
      <c r="A5" t="s">
        <v>86</v>
      </c>
      <c r="B5">
        <v>0.3</v>
      </c>
    </row>
    <row r="6" spans="1:3">
      <c r="A6" t="s">
        <v>87</v>
      </c>
      <c r="B6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BE5D-AFC6-4A68-9596-E655445817A3}">
  <dimension ref="B2:C50"/>
  <sheetViews>
    <sheetView topLeftCell="A25" workbookViewId="0">
      <selection activeCell="B48" sqref="B48"/>
    </sheetView>
  </sheetViews>
  <sheetFormatPr defaultRowHeight="14.45"/>
  <cols>
    <col min="3" max="3" width="32.140625" customWidth="1"/>
  </cols>
  <sheetData>
    <row r="2" spans="2:3">
      <c r="B2" t="s">
        <v>89</v>
      </c>
    </row>
    <row r="3" spans="2:3">
      <c r="B3" s="6" t="s">
        <v>90</v>
      </c>
      <c r="C3" s="6" t="s">
        <v>91</v>
      </c>
    </row>
    <row r="4" spans="2:3">
      <c r="B4" s="6" t="s">
        <v>92</v>
      </c>
      <c r="C4" s="6" t="s">
        <v>93</v>
      </c>
    </row>
    <row r="6" spans="2:3">
      <c r="B6" t="s">
        <v>94</v>
      </c>
    </row>
    <row r="8" spans="2:3">
      <c r="B8" t="s">
        <v>95</v>
      </c>
    </row>
    <row r="10" spans="2:3">
      <c r="B10" t="s">
        <v>96</v>
      </c>
      <c r="C10" t="s">
        <v>97</v>
      </c>
    </row>
    <row r="11" spans="2:3">
      <c r="B11" t="s">
        <v>98</v>
      </c>
      <c r="C11" t="s">
        <v>99</v>
      </c>
    </row>
    <row r="13" spans="2:3">
      <c r="B13" t="s">
        <v>100</v>
      </c>
    </row>
    <row r="14" spans="2:3">
      <c r="B14" t="s">
        <v>101</v>
      </c>
    </row>
    <row r="16" spans="2:3">
      <c r="B16" t="s">
        <v>102</v>
      </c>
    </row>
    <row r="17" spans="2:3">
      <c r="C17" t="s">
        <v>103</v>
      </c>
    </row>
    <row r="18" spans="2:3">
      <c r="C18" t="s">
        <v>104</v>
      </c>
    </row>
    <row r="19" spans="2:3">
      <c r="C19" t="s">
        <v>105</v>
      </c>
    </row>
    <row r="20" spans="2:3">
      <c r="C20" t="s">
        <v>106</v>
      </c>
    </row>
    <row r="21" spans="2:3">
      <c r="B21" t="s">
        <v>107</v>
      </c>
    </row>
    <row r="22" spans="2:3">
      <c r="C22" t="s">
        <v>108</v>
      </c>
    </row>
    <row r="23" spans="2:3">
      <c r="B23" t="s">
        <v>109</v>
      </c>
    </row>
    <row r="24" spans="2:3">
      <c r="B24" t="s">
        <v>110</v>
      </c>
    </row>
    <row r="44" spans="2:2">
      <c r="B44" t="s">
        <v>111</v>
      </c>
    </row>
    <row r="45" spans="2:2">
      <c r="B45" t="s">
        <v>112</v>
      </c>
    </row>
    <row r="50" spans="3:3">
      <c r="C50" s="2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FF4C-2D1D-4CA3-9FBC-B0984F739C05}">
  <dimension ref="A1:U94"/>
  <sheetViews>
    <sheetView workbookViewId="0">
      <pane xSplit="1" topLeftCell="B21" activePane="topRight" state="frozen"/>
      <selection pane="topRight" activeCell="B1" sqref="B1"/>
    </sheetView>
  </sheetViews>
  <sheetFormatPr defaultRowHeight="15"/>
  <cols>
    <col min="1" max="1" width="28.5703125" customWidth="1"/>
  </cols>
  <sheetData>
    <row r="1" spans="1:21" s="40" customFormat="1"/>
    <row r="2" spans="1:21" s="41" customFormat="1" ht="18.75">
      <c r="A2" s="42" t="s">
        <v>113</v>
      </c>
      <c r="B2" s="42">
        <v>2022</v>
      </c>
      <c r="C2" s="42">
        <f>B2+1</f>
        <v>2023</v>
      </c>
      <c r="D2" s="42">
        <f t="shared" ref="D2:Q2" si="0">C2+1</f>
        <v>2024</v>
      </c>
      <c r="E2" s="42">
        <f t="shared" si="0"/>
        <v>2025</v>
      </c>
      <c r="F2" s="42">
        <f t="shared" si="0"/>
        <v>2026</v>
      </c>
      <c r="G2" s="42">
        <f t="shared" si="0"/>
        <v>2027</v>
      </c>
      <c r="H2" s="42">
        <f t="shared" si="0"/>
        <v>2028</v>
      </c>
      <c r="I2" s="42">
        <f t="shared" si="0"/>
        <v>2029</v>
      </c>
      <c r="J2" s="42">
        <f t="shared" si="0"/>
        <v>2030</v>
      </c>
      <c r="K2" s="42">
        <f t="shared" si="0"/>
        <v>2031</v>
      </c>
      <c r="L2" s="42">
        <f t="shared" si="0"/>
        <v>2032</v>
      </c>
      <c r="M2" s="42">
        <f t="shared" si="0"/>
        <v>2033</v>
      </c>
      <c r="N2" s="42">
        <f t="shared" si="0"/>
        <v>2034</v>
      </c>
      <c r="O2" s="42">
        <f>N2+1</f>
        <v>2035</v>
      </c>
      <c r="P2" s="42">
        <f t="shared" si="0"/>
        <v>2036</v>
      </c>
      <c r="Q2" s="42">
        <f t="shared" si="0"/>
        <v>2037</v>
      </c>
      <c r="R2" s="42">
        <f>Q2+1</f>
        <v>2038</v>
      </c>
      <c r="S2" s="42">
        <f>R2+1</f>
        <v>2039</v>
      </c>
    </row>
    <row r="3" spans="1:21" s="43" customFormat="1">
      <c r="A3" s="43" t="s">
        <v>114</v>
      </c>
      <c r="B3" s="43">
        <v>330</v>
      </c>
      <c r="C3" s="43">
        <f>B3*(1+C4)</f>
        <v>331.65</v>
      </c>
      <c r="D3" s="43">
        <f t="shared" ref="D3:S3" si="1">C3*(1+D4)</f>
        <v>333.30824999999993</v>
      </c>
      <c r="E3" s="43">
        <f t="shared" si="1"/>
        <v>334.9747912499999</v>
      </c>
      <c r="F3" s="43">
        <f t="shared" si="1"/>
        <v>336.64966520624984</v>
      </c>
      <c r="G3" s="43">
        <f t="shared" si="1"/>
        <v>338.33291353228105</v>
      </c>
      <c r="H3" s="43">
        <f t="shared" si="1"/>
        <v>340.0245780999424</v>
      </c>
      <c r="I3" s="43">
        <f t="shared" si="1"/>
        <v>341.7247009904421</v>
      </c>
      <c r="J3" s="43">
        <f t="shared" si="1"/>
        <v>343.43332449539429</v>
      </c>
      <c r="K3" s="43">
        <f t="shared" si="1"/>
        <v>345.15049111787124</v>
      </c>
      <c r="L3" s="43">
        <f t="shared" si="1"/>
        <v>346.87624357346056</v>
      </c>
      <c r="M3" s="43">
        <f t="shared" si="1"/>
        <v>348.61062479132784</v>
      </c>
      <c r="N3" s="43">
        <f t="shared" si="1"/>
        <v>350.35367791528444</v>
      </c>
      <c r="O3" s="43">
        <f t="shared" si="1"/>
        <v>352.10544630486083</v>
      </c>
      <c r="P3" s="43">
        <f t="shared" si="1"/>
        <v>353.86597353638513</v>
      </c>
      <c r="Q3" s="43">
        <f t="shared" si="1"/>
        <v>355.63530340406703</v>
      </c>
      <c r="R3" s="43">
        <f t="shared" si="1"/>
        <v>357.41347992108734</v>
      </c>
      <c r="S3" s="43">
        <f t="shared" si="1"/>
        <v>359.20054732069275</v>
      </c>
    </row>
    <row r="4" spans="1:21" s="40" customFormat="1">
      <c r="A4" s="40" t="s">
        <v>115</v>
      </c>
      <c r="C4" s="44">
        <v>5.0000000000000001E-3</v>
      </c>
      <c r="D4" s="44">
        <v>5.0000000000000001E-3</v>
      </c>
      <c r="E4" s="44">
        <v>5.0000000000000001E-3</v>
      </c>
      <c r="F4" s="44">
        <v>5.0000000000000001E-3</v>
      </c>
      <c r="G4" s="44">
        <v>5.0000000000000001E-3</v>
      </c>
      <c r="H4" s="44">
        <v>5.0000000000000001E-3</v>
      </c>
      <c r="I4" s="44">
        <v>5.0000000000000001E-3</v>
      </c>
      <c r="J4" s="44">
        <v>5.0000000000000001E-3</v>
      </c>
      <c r="K4" s="44">
        <v>5.0000000000000001E-3</v>
      </c>
      <c r="L4" s="44">
        <v>5.0000000000000001E-3</v>
      </c>
      <c r="M4" s="44">
        <v>5.0000000000000001E-3</v>
      </c>
      <c r="N4" s="44">
        <v>5.0000000000000001E-3</v>
      </c>
      <c r="O4" s="44">
        <v>5.0000000000000001E-3</v>
      </c>
      <c r="P4" s="44">
        <v>5.0000000000000001E-3</v>
      </c>
      <c r="Q4" s="44">
        <v>5.0000000000000001E-3</v>
      </c>
      <c r="R4" s="44">
        <v>5.0000000000000001E-3</v>
      </c>
      <c r="S4" s="44">
        <v>5.0000000000000001E-3</v>
      </c>
    </row>
    <row r="5" spans="1:21" s="40" customFormat="1"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21" s="40" customFormat="1">
      <c r="A6" s="40" t="s">
        <v>116</v>
      </c>
      <c r="B6" s="44">
        <v>0.9</v>
      </c>
      <c r="C6" s="44">
        <v>0.9</v>
      </c>
      <c r="D6" s="44">
        <v>0.9</v>
      </c>
      <c r="E6" s="44">
        <v>0.9</v>
      </c>
      <c r="F6" s="44">
        <v>0.9</v>
      </c>
      <c r="G6" s="44">
        <v>0.9</v>
      </c>
      <c r="H6" s="44">
        <v>0.9</v>
      </c>
      <c r="I6" s="44">
        <v>0.9</v>
      </c>
      <c r="J6" s="44">
        <v>0.9</v>
      </c>
      <c r="K6" s="44">
        <v>0.9</v>
      </c>
      <c r="L6" s="44">
        <v>0.9</v>
      </c>
      <c r="M6" s="44">
        <v>0.9</v>
      </c>
      <c r="N6" s="44">
        <v>0.9</v>
      </c>
      <c r="O6" s="44">
        <v>0.9</v>
      </c>
      <c r="P6" s="44">
        <v>0.9</v>
      </c>
      <c r="Q6" s="44">
        <v>0.9</v>
      </c>
      <c r="R6" s="44">
        <v>0.9</v>
      </c>
      <c r="S6" s="44">
        <v>0.9</v>
      </c>
    </row>
    <row r="7" spans="1:21" s="40" customFormat="1">
      <c r="A7" s="40" t="s">
        <v>117</v>
      </c>
      <c r="B7" s="45">
        <v>8.51515152E-2</v>
      </c>
      <c r="C7" s="45">
        <v>8.51515152E-2</v>
      </c>
      <c r="D7" s="45">
        <v>8.51515152E-2</v>
      </c>
      <c r="E7" s="45">
        <v>8.51515152E-2</v>
      </c>
      <c r="F7" s="45">
        <v>8.51515152E-2</v>
      </c>
      <c r="G7" s="45">
        <v>8.51515152E-2</v>
      </c>
      <c r="H7" s="45">
        <v>8.51515152E-2</v>
      </c>
      <c r="I7" s="45">
        <v>8.51515152E-2</v>
      </c>
      <c r="J7" s="45">
        <v>8.51515152E-2</v>
      </c>
      <c r="K7" s="45">
        <v>8.51515152E-2</v>
      </c>
      <c r="L7" s="45">
        <v>8.51515152E-2</v>
      </c>
      <c r="M7" s="45">
        <v>8.51515152E-2</v>
      </c>
      <c r="N7" s="45">
        <v>8.51515152E-2</v>
      </c>
      <c r="O7" s="45">
        <v>8.51515152E-2</v>
      </c>
      <c r="P7" s="45">
        <v>8.51515152E-2</v>
      </c>
      <c r="Q7" s="45">
        <v>8.51515152E-2</v>
      </c>
      <c r="R7" s="45">
        <v>8.51515152E-2</v>
      </c>
      <c r="S7" s="45">
        <v>8.51515152E-2</v>
      </c>
    </row>
    <row r="8" spans="1:21" s="40" customFormat="1">
      <c r="A8" s="40" t="s">
        <v>118</v>
      </c>
      <c r="B8" s="46">
        <f>B3*B6*B7</f>
        <v>25.2900000144</v>
      </c>
      <c r="C8" s="46">
        <f t="shared" ref="C8:S8" si="2">C3*C6*C7</f>
        <v>25.416450014472002</v>
      </c>
      <c r="D8" s="46">
        <f t="shared" si="2"/>
        <v>25.543532264544353</v>
      </c>
      <c r="E8" s="46">
        <f t="shared" si="2"/>
        <v>25.671249925867073</v>
      </c>
      <c r="F8" s="46">
        <f t="shared" si="2"/>
        <v>25.799606175496404</v>
      </c>
      <c r="G8" s="46">
        <f t="shared" si="2"/>
        <v>25.928604206373883</v>
      </c>
      <c r="H8" s="46">
        <f t="shared" si="2"/>
        <v>26.058247227405751</v>
      </c>
      <c r="I8" s="46">
        <f t="shared" si="2"/>
        <v>26.18853846354278</v>
      </c>
      <c r="J8" s="46">
        <f t="shared" si="2"/>
        <v>26.319481155860487</v>
      </c>
      <c r="K8" s="46">
        <f t="shared" si="2"/>
        <v>26.451078561639793</v>
      </c>
      <c r="L8" s="46">
        <f t="shared" si="2"/>
        <v>26.583333954447983</v>
      </c>
      <c r="M8" s="46">
        <f t="shared" si="2"/>
        <v>26.716250624220223</v>
      </c>
      <c r="N8" s="46">
        <f t="shared" si="2"/>
        <v>26.849831877341323</v>
      </c>
      <c r="O8" s="46">
        <f t="shared" si="2"/>
        <v>26.984081036728028</v>
      </c>
      <c r="P8" s="46">
        <f t="shared" si="2"/>
        <v>27.119001441911671</v>
      </c>
      <c r="Q8" s="46">
        <f t="shared" si="2"/>
        <v>27.254596449121223</v>
      </c>
      <c r="R8" s="46">
        <f t="shared" si="2"/>
        <v>27.390869431366827</v>
      </c>
      <c r="S8" s="46">
        <f t="shared" si="2"/>
        <v>27.527823778523658</v>
      </c>
    </row>
    <row r="9" spans="1:21" s="40" customFormat="1">
      <c r="A9" s="40" t="s">
        <v>119</v>
      </c>
      <c r="B9" s="45">
        <v>0.02</v>
      </c>
      <c r="C9" s="45">
        <v>0.02</v>
      </c>
      <c r="D9" s="45">
        <v>0.02</v>
      </c>
      <c r="E9" s="45">
        <v>0.02</v>
      </c>
      <c r="F9" s="45">
        <v>0.02</v>
      </c>
      <c r="G9" s="45">
        <v>0.02</v>
      </c>
      <c r="H9" s="45">
        <v>0.02</v>
      </c>
      <c r="I9" s="45">
        <v>0.02</v>
      </c>
      <c r="J9" s="45">
        <v>0.02</v>
      </c>
      <c r="K9" s="45">
        <v>0.02</v>
      </c>
      <c r="L9" s="45">
        <v>0.02</v>
      </c>
      <c r="M9" s="45">
        <v>0.02</v>
      </c>
      <c r="N9" s="45">
        <v>0.02</v>
      </c>
      <c r="O9" s="45">
        <v>0.02</v>
      </c>
      <c r="P9" s="45">
        <v>0.02</v>
      </c>
      <c r="Q9" s="45">
        <v>0.02</v>
      </c>
      <c r="R9" s="45">
        <v>0.02</v>
      </c>
      <c r="S9" s="45">
        <v>0.02</v>
      </c>
    </row>
    <row r="10" spans="1:21" s="40" customFormat="1">
      <c r="A10" s="40" t="s">
        <v>120</v>
      </c>
      <c r="B10" s="45">
        <v>0.2</v>
      </c>
      <c r="C10" s="45">
        <v>0.2</v>
      </c>
      <c r="D10" s="45">
        <v>0.2</v>
      </c>
      <c r="E10" s="45">
        <v>0.2</v>
      </c>
      <c r="F10" s="45">
        <v>0.2</v>
      </c>
      <c r="G10" s="45">
        <v>0.2</v>
      </c>
      <c r="H10" s="45">
        <v>0.2</v>
      </c>
      <c r="I10" s="45">
        <v>0.2</v>
      </c>
      <c r="J10" s="45">
        <v>0.2</v>
      </c>
      <c r="K10" s="45">
        <v>0.2</v>
      </c>
      <c r="L10" s="45">
        <v>0.2</v>
      </c>
      <c r="M10" s="45">
        <v>0.2</v>
      </c>
      <c r="N10" s="45">
        <v>0.2</v>
      </c>
      <c r="O10" s="45">
        <v>0.2</v>
      </c>
      <c r="P10" s="45">
        <v>0.2</v>
      </c>
      <c r="Q10" s="45">
        <v>0.2</v>
      </c>
      <c r="R10" s="45">
        <v>0.2</v>
      </c>
      <c r="S10" s="45">
        <v>0.2</v>
      </c>
      <c r="T10" s="45"/>
      <c r="U10" s="45"/>
    </row>
    <row r="11" spans="1:21" s="40" customFormat="1">
      <c r="A11" s="40" t="s">
        <v>121</v>
      </c>
      <c r="B11" s="45">
        <v>0.9</v>
      </c>
      <c r="C11" s="45">
        <v>0.9</v>
      </c>
      <c r="D11" s="45">
        <v>0.9</v>
      </c>
      <c r="E11" s="45">
        <v>0.9</v>
      </c>
      <c r="F11" s="45">
        <v>0.9</v>
      </c>
      <c r="G11" s="45">
        <v>0.9</v>
      </c>
      <c r="H11" s="45">
        <v>0.9</v>
      </c>
      <c r="I11" s="45">
        <v>0.9</v>
      </c>
      <c r="J11" s="45">
        <v>0.9</v>
      </c>
      <c r="K11" s="45">
        <v>0.9</v>
      </c>
      <c r="L11" s="45">
        <v>0.9</v>
      </c>
      <c r="M11" s="45">
        <v>0.9</v>
      </c>
      <c r="N11" s="45">
        <v>0.9</v>
      </c>
      <c r="O11" s="45">
        <v>0.9</v>
      </c>
      <c r="P11" s="45">
        <v>0.9</v>
      </c>
      <c r="Q11" s="45">
        <v>0.9</v>
      </c>
      <c r="R11" s="45">
        <v>0.9</v>
      </c>
      <c r="S11" s="45">
        <v>0.9</v>
      </c>
    </row>
    <row r="12" spans="1:21" s="40" customFormat="1"/>
    <row r="13" spans="1:21" s="47" customFormat="1" ht="15.75">
      <c r="A13" s="47" t="s">
        <v>122</v>
      </c>
      <c r="B13" s="48">
        <f>B8*B9*B10*B11</f>
        <v>9.1044000051840004E-2</v>
      </c>
      <c r="C13" s="48">
        <f t="shared" ref="C13:S13" si="3">C8*C9*C10*C11</f>
        <v>9.149922005209922E-2</v>
      </c>
      <c r="D13" s="48">
        <f t="shared" si="3"/>
        <v>9.1956716152359688E-2</v>
      </c>
      <c r="E13" s="48">
        <f t="shared" si="3"/>
        <v>9.2416499733121465E-2</v>
      </c>
      <c r="F13" s="48">
        <f t="shared" si="3"/>
        <v>9.2878582231787063E-2</v>
      </c>
      <c r="G13" s="48">
        <f t="shared" si="3"/>
        <v>9.3342975142945983E-2</v>
      </c>
      <c r="H13" s="48">
        <f t="shared" si="3"/>
        <v>9.3809690018660713E-2</v>
      </c>
      <c r="I13" s="48">
        <f t="shared" si="3"/>
        <v>9.4278738468754023E-2</v>
      </c>
      <c r="J13" s="48">
        <f t="shared" si="3"/>
        <v>9.4750132161097747E-2</v>
      </c>
      <c r="K13" s="48">
        <f t="shared" si="3"/>
        <v>9.5223882821903263E-2</v>
      </c>
      <c r="L13" s="48">
        <f t="shared" si="3"/>
        <v>9.5700002236012757E-2</v>
      </c>
      <c r="M13" s="48">
        <f t="shared" si="3"/>
        <v>9.6178502247192807E-2</v>
      </c>
      <c r="N13" s="48">
        <f t="shared" si="3"/>
        <v>9.6659394758428774E-2</v>
      </c>
      <c r="O13" s="48">
        <f t="shared" si="3"/>
        <v>9.7142691732220912E-2</v>
      </c>
      <c r="P13" s="48">
        <f t="shared" si="3"/>
        <v>9.7628405190882034E-2</v>
      </c>
      <c r="Q13" s="48">
        <f t="shared" si="3"/>
        <v>9.8116547216836394E-2</v>
      </c>
      <c r="R13" s="48">
        <f t="shared" si="3"/>
        <v>9.8607129952920591E-2</v>
      </c>
      <c r="S13" s="48">
        <f t="shared" si="3"/>
        <v>9.910016560268517E-2</v>
      </c>
    </row>
    <row r="14" spans="1:21" s="40" customFormat="1"/>
    <row r="15" spans="1:21" s="40" customFormat="1"/>
    <row r="16" spans="1:21" s="40" customFormat="1">
      <c r="A16" s="40" t="s">
        <v>123</v>
      </c>
      <c r="B16" s="44">
        <v>0</v>
      </c>
      <c r="C16" s="44">
        <v>0</v>
      </c>
      <c r="D16" s="44">
        <v>0</v>
      </c>
      <c r="E16" s="44">
        <v>0.1</v>
      </c>
      <c r="F16" s="44">
        <v>0.15</v>
      </c>
      <c r="G16" s="44">
        <v>0.2</v>
      </c>
      <c r="H16" s="44">
        <v>0.25</v>
      </c>
      <c r="I16" s="44">
        <v>0.3</v>
      </c>
      <c r="J16" s="44">
        <v>0.35</v>
      </c>
      <c r="K16" s="44">
        <v>0.4</v>
      </c>
      <c r="L16" s="44">
        <v>0.45</v>
      </c>
      <c r="M16" s="44">
        <v>0.5</v>
      </c>
      <c r="N16" s="44">
        <v>0.6</v>
      </c>
      <c r="O16" s="44">
        <v>0.7</v>
      </c>
      <c r="P16" s="44">
        <v>0.7</v>
      </c>
      <c r="Q16" s="44">
        <v>0.7</v>
      </c>
      <c r="R16" s="44">
        <v>0.7</v>
      </c>
      <c r="S16" s="44">
        <v>0.4</v>
      </c>
    </row>
    <row r="17" spans="1:19" s="40" customFormat="1">
      <c r="A17" s="40" t="s">
        <v>124</v>
      </c>
      <c r="B17" s="43">
        <f>B13*B16</f>
        <v>0</v>
      </c>
      <c r="C17" s="43">
        <f t="shared" ref="C17:S17" si="4">C13*C16</f>
        <v>0</v>
      </c>
      <c r="D17" s="43">
        <f t="shared" si="4"/>
        <v>0</v>
      </c>
      <c r="E17" s="43">
        <f t="shared" si="4"/>
        <v>9.2416499733121472E-3</v>
      </c>
      <c r="F17" s="43">
        <f>F13*F16</f>
        <v>1.393178733476806E-2</v>
      </c>
      <c r="G17" s="43">
        <f t="shared" si="4"/>
        <v>1.8668595028589197E-2</v>
      </c>
      <c r="H17" s="43">
        <f t="shared" si="4"/>
        <v>2.3452422504665178E-2</v>
      </c>
      <c r="I17" s="43">
        <f t="shared" si="4"/>
        <v>2.8283621540626205E-2</v>
      </c>
      <c r="J17" s="43">
        <f t="shared" si="4"/>
        <v>3.3162546256384207E-2</v>
      </c>
      <c r="K17" s="43">
        <f t="shared" si="4"/>
        <v>3.8089553128761305E-2</v>
      </c>
      <c r="L17" s="43">
        <f t="shared" si="4"/>
        <v>4.3065001006205743E-2</v>
      </c>
      <c r="M17" s="43">
        <f t="shared" si="4"/>
        <v>4.8089251123596403E-2</v>
      </c>
      <c r="N17" s="43">
        <f t="shared" si="4"/>
        <v>5.7995636855057264E-2</v>
      </c>
      <c r="O17" s="43">
        <f t="shared" si="4"/>
        <v>6.7999884212554637E-2</v>
      </c>
      <c r="P17" s="43">
        <f t="shared" si="4"/>
        <v>6.8339883633617413E-2</v>
      </c>
      <c r="Q17" s="43">
        <f t="shared" si="4"/>
        <v>6.8681583051785469E-2</v>
      </c>
      <c r="R17" s="43">
        <f t="shared" si="4"/>
        <v>6.9024990967044411E-2</v>
      </c>
      <c r="S17" s="43">
        <f t="shared" si="4"/>
        <v>3.9640066241074072E-2</v>
      </c>
    </row>
    <row r="18" spans="1:19" s="40" customFormat="1"/>
    <row r="19" spans="1:19" s="40" customFormat="1"/>
    <row r="20" spans="1:19" s="40" customFormat="1">
      <c r="A20" s="40" t="s">
        <v>125</v>
      </c>
      <c r="B20" s="49">
        <v>5000</v>
      </c>
      <c r="C20" s="49">
        <v>5000</v>
      </c>
      <c r="D20" s="49">
        <v>5000</v>
      </c>
      <c r="E20" s="49">
        <v>5000</v>
      </c>
      <c r="F20" s="49">
        <v>5000</v>
      </c>
      <c r="G20" s="49">
        <v>5000</v>
      </c>
      <c r="H20" s="49">
        <v>5000</v>
      </c>
      <c r="I20" s="49">
        <v>5000</v>
      </c>
      <c r="J20" s="49">
        <v>5000</v>
      </c>
      <c r="K20" s="49">
        <v>5000</v>
      </c>
      <c r="L20" s="49">
        <v>5000</v>
      </c>
      <c r="M20" s="49">
        <v>5000</v>
      </c>
      <c r="N20" s="49">
        <v>5000</v>
      </c>
      <c r="O20" s="49">
        <v>5000</v>
      </c>
      <c r="P20" s="49">
        <v>5000</v>
      </c>
      <c r="Q20" s="49">
        <v>5000</v>
      </c>
      <c r="R20" s="49">
        <v>5000</v>
      </c>
      <c r="S20" s="49">
        <v>5000</v>
      </c>
    </row>
    <row r="21" spans="1:19" s="40" customFormat="1">
      <c r="A21" s="40" t="s">
        <v>126</v>
      </c>
      <c r="B21" s="45">
        <v>0.1</v>
      </c>
      <c r="C21" s="45">
        <v>0.1</v>
      </c>
      <c r="D21" s="45">
        <v>0.1</v>
      </c>
      <c r="E21" s="45">
        <v>0.1</v>
      </c>
      <c r="F21" s="45">
        <v>0.1</v>
      </c>
      <c r="G21" s="45">
        <v>0.1</v>
      </c>
      <c r="H21" s="45">
        <v>0.1</v>
      </c>
      <c r="I21" s="45">
        <v>0.1</v>
      </c>
      <c r="J21" s="45">
        <v>0.1</v>
      </c>
      <c r="K21" s="45">
        <v>0.1</v>
      </c>
      <c r="L21" s="45">
        <v>0.1</v>
      </c>
      <c r="M21" s="45">
        <v>0.1</v>
      </c>
      <c r="N21" s="45">
        <v>0.1</v>
      </c>
      <c r="O21" s="45">
        <v>0.1</v>
      </c>
      <c r="P21" s="45">
        <v>0.1</v>
      </c>
      <c r="Q21" s="45">
        <v>0.1</v>
      </c>
      <c r="R21" s="45">
        <v>0.1</v>
      </c>
      <c r="S21" s="45">
        <v>0.1</v>
      </c>
    </row>
    <row r="22" spans="1:19" s="40" customFormat="1">
      <c r="A22" s="40" t="s">
        <v>127</v>
      </c>
      <c r="B22" s="50">
        <f>B20*(1-B21)</f>
        <v>4500</v>
      </c>
      <c r="C22" s="50">
        <f t="shared" ref="C22:S22" si="5">C20*(1-C21)</f>
        <v>4500</v>
      </c>
      <c r="D22" s="50">
        <f t="shared" si="5"/>
        <v>4500</v>
      </c>
      <c r="E22" s="50">
        <f t="shared" si="5"/>
        <v>4500</v>
      </c>
      <c r="F22" s="50">
        <f t="shared" si="5"/>
        <v>4500</v>
      </c>
      <c r="G22" s="50">
        <f t="shared" si="5"/>
        <v>4500</v>
      </c>
      <c r="H22" s="50">
        <f t="shared" si="5"/>
        <v>4500</v>
      </c>
      <c r="I22" s="50">
        <f t="shared" si="5"/>
        <v>4500</v>
      </c>
      <c r="J22" s="50">
        <f t="shared" si="5"/>
        <v>4500</v>
      </c>
      <c r="K22" s="50">
        <f t="shared" si="5"/>
        <v>4500</v>
      </c>
      <c r="L22" s="50">
        <f t="shared" si="5"/>
        <v>4500</v>
      </c>
      <c r="M22" s="50">
        <f t="shared" si="5"/>
        <v>4500</v>
      </c>
      <c r="N22" s="50">
        <f t="shared" si="5"/>
        <v>4500</v>
      </c>
      <c r="O22" s="50">
        <f t="shared" si="5"/>
        <v>4500</v>
      </c>
      <c r="P22" s="50">
        <f t="shared" si="5"/>
        <v>4500</v>
      </c>
      <c r="Q22" s="50">
        <f t="shared" si="5"/>
        <v>4500</v>
      </c>
      <c r="R22" s="50">
        <f t="shared" si="5"/>
        <v>4500</v>
      </c>
      <c r="S22" s="50">
        <f t="shared" si="5"/>
        <v>4500</v>
      </c>
    </row>
    <row r="23" spans="1:19" s="40" customFormat="1"/>
    <row r="24" spans="1:19" s="40" customFormat="1"/>
    <row r="25" spans="1:19" s="40" customFormat="1">
      <c r="A25" s="40" t="s">
        <v>128</v>
      </c>
      <c r="B25" s="51">
        <f>B17*B22</f>
        <v>0</v>
      </c>
      <c r="C25" s="51">
        <f t="shared" ref="C25:S25" si="6">C17*C22</f>
        <v>0</v>
      </c>
      <c r="D25" s="51">
        <f t="shared" si="6"/>
        <v>0</v>
      </c>
      <c r="E25" s="51">
        <f t="shared" si="6"/>
        <v>41.58742487990466</v>
      </c>
      <c r="F25" s="51">
        <f>F17*F22</f>
        <v>62.693043006456271</v>
      </c>
      <c r="G25" s="51">
        <f t="shared" si="6"/>
        <v>84.008677628651384</v>
      </c>
      <c r="H25" s="51">
        <f>H17*H22</f>
        <v>105.53590127099331</v>
      </c>
      <c r="I25" s="51">
        <f t="shared" si="6"/>
        <v>127.27629693281793</v>
      </c>
      <c r="J25" s="51">
        <f t="shared" si="6"/>
        <v>149.23145815372894</v>
      </c>
      <c r="K25" s="51">
        <f t="shared" si="6"/>
        <v>171.40298907942588</v>
      </c>
      <c r="L25" s="51">
        <f t="shared" si="6"/>
        <v>193.79250452792584</v>
      </c>
      <c r="M25" s="51">
        <f t="shared" si="6"/>
        <v>216.40163005618382</v>
      </c>
      <c r="N25" s="51">
        <f t="shared" si="6"/>
        <v>260.9803658477577</v>
      </c>
      <c r="O25" s="51">
        <f t="shared" si="6"/>
        <v>305.99947895649586</v>
      </c>
      <c r="P25" s="51">
        <f t="shared" si="6"/>
        <v>307.52947635127833</v>
      </c>
      <c r="Q25" s="51">
        <f t="shared" si="6"/>
        <v>309.06712373303463</v>
      </c>
      <c r="R25" s="51">
        <f t="shared" si="6"/>
        <v>310.61245935169984</v>
      </c>
      <c r="S25" s="51">
        <f t="shared" si="6"/>
        <v>178.38029808483333</v>
      </c>
    </row>
    <row r="26" spans="1:19" s="40" customFormat="1">
      <c r="A26" s="40" t="s">
        <v>129</v>
      </c>
      <c r="B26" s="52">
        <v>0.1</v>
      </c>
      <c r="C26" s="52">
        <v>0.1</v>
      </c>
      <c r="D26" s="52">
        <v>0.1</v>
      </c>
      <c r="E26" s="52">
        <v>0.1</v>
      </c>
      <c r="F26" s="52">
        <v>0.1</v>
      </c>
      <c r="G26" s="52">
        <v>0.1</v>
      </c>
      <c r="H26" s="52">
        <v>0.1</v>
      </c>
      <c r="I26" s="52">
        <v>0.1</v>
      </c>
      <c r="J26" s="52">
        <v>0.1</v>
      </c>
      <c r="K26" s="52">
        <v>0.1</v>
      </c>
      <c r="L26" s="52">
        <v>0.1</v>
      </c>
      <c r="M26" s="52">
        <v>0.1</v>
      </c>
      <c r="N26" s="52">
        <v>0.1</v>
      </c>
      <c r="O26" s="52">
        <v>0.1</v>
      </c>
      <c r="P26" s="52">
        <v>0.1</v>
      </c>
      <c r="Q26" s="52">
        <v>0.1</v>
      </c>
      <c r="R26" s="52">
        <v>0.1</v>
      </c>
      <c r="S26" s="52">
        <v>0.1</v>
      </c>
    </row>
    <row r="27" spans="1:19" s="47" customFormat="1" ht="15.75">
      <c r="A27" s="47" t="s">
        <v>130</v>
      </c>
      <c r="B27" s="53">
        <f>B25*(1-B26)</f>
        <v>0</v>
      </c>
      <c r="C27" s="53">
        <f t="shared" ref="C27:S27" si="7">C25*(1-C26)</f>
        <v>0</v>
      </c>
      <c r="D27" s="53">
        <f t="shared" si="7"/>
        <v>0</v>
      </c>
      <c r="E27" s="53">
        <f t="shared" si="7"/>
        <v>37.428682391914194</v>
      </c>
      <c r="F27" s="53">
        <f t="shared" si="7"/>
        <v>56.423738705810642</v>
      </c>
      <c r="G27" s="53">
        <f t="shared" si="7"/>
        <v>75.607809865786251</v>
      </c>
      <c r="H27" s="53">
        <f t="shared" si="7"/>
        <v>94.98231114389398</v>
      </c>
      <c r="I27" s="53">
        <f t="shared" si="7"/>
        <v>114.54866723953614</v>
      </c>
      <c r="J27" s="53">
        <f t="shared" si="7"/>
        <v>134.30831233835605</v>
      </c>
      <c r="K27" s="53">
        <f t="shared" si="7"/>
        <v>154.26269017148329</v>
      </c>
      <c r="L27" s="53">
        <f t="shared" si="7"/>
        <v>174.41325407513327</v>
      </c>
      <c r="M27" s="53">
        <f t="shared" si="7"/>
        <v>194.76146705056544</v>
      </c>
      <c r="N27" s="53">
        <f t="shared" si="7"/>
        <v>234.88232926298193</v>
      </c>
      <c r="O27" s="53">
        <f t="shared" si="7"/>
        <v>275.3995310608463</v>
      </c>
      <c r="P27" s="53">
        <f t="shared" si="7"/>
        <v>276.77652871615049</v>
      </c>
      <c r="Q27" s="53">
        <f t="shared" si="7"/>
        <v>278.1604113597312</v>
      </c>
      <c r="R27" s="53">
        <f t="shared" si="7"/>
        <v>279.55121341652989</v>
      </c>
      <c r="S27" s="53">
        <f t="shared" si="7"/>
        <v>160.54226827635</v>
      </c>
    </row>
    <row r="28" spans="1:19" s="47" customFormat="1" ht="15.75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</row>
    <row r="29" spans="1:19" s="47" customFormat="1" ht="15.75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</row>
    <row r="30" spans="1:19" s="47" customFormat="1" ht="15.75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s="47" customFormat="1" ht="15.75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</row>
    <row r="32" spans="1:19" s="47" customFormat="1" ht="15.75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</row>
    <row r="33" spans="1:19" s="47" customFormat="1" ht="15.75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</row>
    <row r="34" spans="1:19" s="47" customFormat="1" ht="15.75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pans="1:19" s="47" customFormat="1" ht="15.75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</row>
    <row r="36" spans="1:19" s="41" customFormat="1" ht="18.75">
      <c r="A36" s="42" t="s">
        <v>131</v>
      </c>
      <c r="B36" s="42">
        <v>2022</v>
      </c>
      <c r="C36" s="42">
        <f>B36+1</f>
        <v>2023</v>
      </c>
      <c r="D36" s="42">
        <f t="shared" ref="D36:Q36" si="8">C36+1</f>
        <v>2024</v>
      </c>
      <c r="E36" s="42">
        <f t="shared" si="8"/>
        <v>2025</v>
      </c>
      <c r="F36" s="42">
        <f t="shared" si="8"/>
        <v>2026</v>
      </c>
      <c r="G36" s="42">
        <f t="shared" si="8"/>
        <v>2027</v>
      </c>
      <c r="H36" s="42">
        <f t="shared" si="8"/>
        <v>2028</v>
      </c>
      <c r="I36" s="42">
        <f t="shared" si="8"/>
        <v>2029</v>
      </c>
      <c r="J36" s="42">
        <f t="shared" si="8"/>
        <v>2030</v>
      </c>
      <c r="K36" s="42">
        <f t="shared" si="8"/>
        <v>2031</v>
      </c>
      <c r="L36" s="42">
        <f t="shared" si="8"/>
        <v>2032</v>
      </c>
      <c r="M36" s="42">
        <f t="shared" si="8"/>
        <v>2033</v>
      </c>
      <c r="N36" s="42">
        <f t="shared" si="8"/>
        <v>2034</v>
      </c>
      <c r="O36" s="42">
        <f>N36+1</f>
        <v>2035</v>
      </c>
      <c r="P36" s="42">
        <f t="shared" si="8"/>
        <v>2036</v>
      </c>
      <c r="Q36" s="42">
        <f t="shared" si="8"/>
        <v>2037</v>
      </c>
      <c r="R36" s="42">
        <f>Q36+1</f>
        <v>2038</v>
      </c>
      <c r="S36" s="42">
        <f>R36+1</f>
        <v>2039</v>
      </c>
    </row>
    <row r="37" spans="1:19" s="54" customFormat="1" ht="15.75">
      <c r="A37" s="54" t="s">
        <v>130</v>
      </c>
      <c r="B37" s="55">
        <f>B27</f>
        <v>0</v>
      </c>
      <c r="C37" s="55">
        <f t="shared" ref="C37:S37" si="9">C27</f>
        <v>0</v>
      </c>
      <c r="D37" s="55">
        <f t="shared" si="9"/>
        <v>0</v>
      </c>
      <c r="E37" s="55">
        <f t="shared" si="9"/>
        <v>37.428682391914194</v>
      </c>
      <c r="F37" s="55">
        <f t="shared" si="9"/>
        <v>56.423738705810642</v>
      </c>
      <c r="G37" s="55">
        <f t="shared" si="9"/>
        <v>75.607809865786251</v>
      </c>
      <c r="H37" s="55">
        <f t="shared" si="9"/>
        <v>94.98231114389398</v>
      </c>
      <c r="I37" s="55">
        <f t="shared" si="9"/>
        <v>114.54866723953614</v>
      </c>
      <c r="J37" s="55">
        <f t="shared" si="9"/>
        <v>134.30831233835605</v>
      </c>
      <c r="K37" s="55">
        <f t="shared" si="9"/>
        <v>154.26269017148329</v>
      </c>
      <c r="L37" s="55">
        <f t="shared" si="9"/>
        <v>174.41325407513327</v>
      </c>
      <c r="M37" s="55">
        <f t="shared" si="9"/>
        <v>194.76146705056544</v>
      </c>
      <c r="N37" s="55">
        <f t="shared" si="9"/>
        <v>234.88232926298193</v>
      </c>
      <c r="O37" s="55">
        <f t="shared" si="9"/>
        <v>275.3995310608463</v>
      </c>
      <c r="P37" s="55">
        <f t="shared" si="9"/>
        <v>276.77652871615049</v>
      </c>
      <c r="Q37" s="55">
        <f t="shared" si="9"/>
        <v>278.1604113597312</v>
      </c>
      <c r="R37" s="55">
        <f t="shared" si="9"/>
        <v>279.55121341652989</v>
      </c>
      <c r="S37" s="55">
        <f t="shared" si="9"/>
        <v>160.54226827635</v>
      </c>
    </row>
    <row r="38" spans="1:19" s="54" customFormat="1" ht="15.75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 spans="1:19" s="54" customFormat="1" ht="15.75">
      <c r="A39" s="54" t="s">
        <v>132</v>
      </c>
      <c r="B39" s="55">
        <f>B40*B25</f>
        <v>0</v>
      </c>
      <c r="C39" s="55">
        <f t="shared" ref="C39:S39" si="10">C40*C25</f>
        <v>0</v>
      </c>
      <c r="D39" s="55">
        <f t="shared" si="10"/>
        <v>0</v>
      </c>
      <c r="E39" s="55">
        <f>E40*E25</f>
        <v>4.158742487990466</v>
      </c>
      <c r="F39" s="55">
        <f t="shared" si="10"/>
        <v>6.2693043006456275</v>
      </c>
      <c r="G39" s="55">
        <f t="shared" si="10"/>
        <v>8.400867762865138</v>
      </c>
      <c r="H39" s="55">
        <f t="shared" si="10"/>
        <v>10.553590127099332</v>
      </c>
      <c r="I39" s="55">
        <f t="shared" si="10"/>
        <v>12.727629693281793</v>
      </c>
      <c r="J39" s="55">
        <f t="shared" si="10"/>
        <v>14.923145815372894</v>
      </c>
      <c r="K39" s="55">
        <f t="shared" si="10"/>
        <v>17.14029890794259</v>
      </c>
      <c r="L39" s="55">
        <f t="shared" si="10"/>
        <v>19.379250452792586</v>
      </c>
      <c r="M39" s="55">
        <f t="shared" si="10"/>
        <v>21.640163005618383</v>
      </c>
      <c r="N39" s="55">
        <f t="shared" si="10"/>
        <v>26.09803658477577</v>
      </c>
      <c r="O39" s="55">
        <f t="shared" si="10"/>
        <v>30.599947895649589</v>
      </c>
      <c r="P39" s="55">
        <f t="shared" si="10"/>
        <v>30.752947635127835</v>
      </c>
      <c r="Q39" s="55">
        <f t="shared" si="10"/>
        <v>30.906712373303463</v>
      </c>
      <c r="R39" s="55">
        <f t="shared" si="10"/>
        <v>31.061245935169985</v>
      </c>
      <c r="S39" s="55">
        <f t="shared" si="10"/>
        <v>17.838029808483334</v>
      </c>
    </row>
    <row r="40" spans="1:19" s="54" customFormat="1" ht="15.75">
      <c r="A40" s="54" t="s">
        <v>133</v>
      </c>
      <c r="B40" s="56">
        <v>0.1</v>
      </c>
      <c r="C40" s="56">
        <v>0.1</v>
      </c>
      <c r="D40" s="56">
        <v>0.1</v>
      </c>
      <c r="E40" s="56">
        <v>0.1</v>
      </c>
      <c r="F40" s="56">
        <v>0.1</v>
      </c>
      <c r="G40" s="56">
        <v>0.1</v>
      </c>
      <c r="H40" s="56">
        <v>0.1</v>
      </c>
      <c r="I40" s="56">
        <v>0.1</v>
      </c>
      <c r="J40" s="56">
        <v>0.1</v>
      </c>
      <c r="K40" s="56">
        <v>0.1</v>
      </c>
      <c r="L40" s="56">
        <v>0.1</v>
      </c>
      <c r="M40" s="56">
        <v>0.1</v>
      </c>
      <c r="N40" s="56">
        <v>0.1</v>
      </c>
      <c r="O40" s="56">
        <v>0.1</v>
      </c>
      <c r="P40" s="56">
        <v>0.1</v>
      </c>
      <c r="Q40" s="56">
        <v>0.1</v>
      </c>
      <c r="R40" s="56">
        <v>0.1</v>
      </c>
      <c r="S40" s="56">
        <v>0.1</v>
      </c>
    </row>
    <row r="41" spans="1:19" s="54" customFormat="1" ht="15.75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spans="1:19" s="54" customFormat="1" ht="15.75">
      <c r="A42" s="54" t="s">
        <v>134</v>
      </c>
      <c r="B42" s="55">
        <v>5</v>
      </c>
      <c r="C42" s="55">
        <v>8</v>
      </c>
      <c r="D42" s="55">
        <v>15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</row>
    <row r="43" spans="1:19" s="54" customFormat="1" ht="15.75">
      <c r="A43" s="54" t="s">
        <v>135</v>
      </c>
      <c r="B43" s="55" t="s">
        <v>136</v>
      </c>
      <c r="C43" s="55" t="s">
        <v>137</v>
      </c>
      <c r="D43" s="55" t="s">
        <v>137</v>
      </c>
      <c r="E43" s="55" t="s">
        <v>138</v>
      </c>
      <c r="F43" s="55" t="s">
        <v>138</v>
      </c>
      <c r="G43" s="55" t="s">
        <v>138</v>
      </c>
      <c r="H43" s="55" t="s">
        <v>138</v>
      </c>
      <c r="I43" s="55" t="s">
        <v>138</v>
      </c>
      <c r="J43" s="55" t="s">
        <v>138</v>
      </c>
      <c r="K43" s="55" t="s">
        <v>138</v>
      </c>
      <c r="L43" s="55" t="s">
        <v>138</v>
      </c>
      <c r="M43" s="55" t="s">
        <v>138</v>
      </c>
      <c r="N43" s="55" t="s">
        <v>138</v>
      </c>
      <c r="O43" s="55" t="s">
        <v>138</v>
      </c>
      <c r="P43" s="55" t="s">
        <v>138</v>
      </c>
      <c r="Q43" s="55" t="s">
        <v>138</v>
      </c>
      <c r="R43" s="55" t="s">
        <v>138</v>
      </c>
      <c r="S43" s="55" t="s">
        <v>138</v>
      </c>
    </row>
    <row r="44" spans="1:19" s="54" customFormat="1" ht="15.75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</row>
    <row r="45" spans="1:19" s="54" customFormat="1" ht="15.75">
      <c r="A45" s="54" t="s">
        <v>139</v>
      </c>
      <c r="B45" s="55">
        <f>B46*B25</f>
        <v>0</v>
      </c>
      <c r="C45" s="55">
        <f t="shared" ref="C45:S45" si="11">C46*C25</f>
        <v>0</v>
      </c>
      <c r="D45" s="55">
        <f t="shared" si="11"/>
        <v>0</v>
      </c>
      <c r="E45" s="55">
        <f t="shared" si="11"/>
        <v>10.396856219976165</v>
      </c>
      <c r="F45" s="55">
        <f t="shared" si="11"/>
        <v>15.673260751614068</v>
      </c>
      <c r="G45" s="55">
        <f t="shared" si="11"/>
        <v>21.002169407162846</v>
      </c>
      <c r="H45" s="55">
        <f t="shared" si="11"/>
        <v>26.383975317748327</v>
      </c>
      <c r="I45" s="55">
        <f t="shared" si="11"/>
        <v>31.819074233204482</v>
      </c>
      <c r="J45" s="55">
        <f t="shared" si="11"/>
        <v>37.307864538432234</v>
      </c>
      <c r="K45" s="55">
        <f t="shared" si="11"/>
        <v>42.85074726985647</v>
      </c>
      <c r="L45" s="55">
        <f t="shared" si="11"/>
        <v>48.448126131981461</v>
      </c>
      <c r="M45" s="55">
        <f t="shared" si="11"/>
        <v>54.100407514045955</v>
      </c>
      <c r="N45" s="55">
        <f t="shared" si="11"/>
        <v>65.245091461939424</v>
      </c>
      <c r="O45" s="55">
        <f t="shared" si="11"/>
        <v>76.499869739123966</v>
      </c>
      <c r="P45" s="55">
        <f t="shared" si="11"/>
        <v>76.882369087819583</v>
      </c>
      <c r="Q45" s="55">
        <f t="shared" si="11"/>
        <v>77.266780933258659</v>
      </c>
      <c r="R45" s="55">
        <f t="shared" si="11"/>
        <v>77.65311483792496</v>
      </c>
      <c r="S45" s="55">
        <f t="shared" si="11"/>
        <v>44.595074521208332</v>
      </c>
    </row>
    <row r="46" spans="1:19" s="54" customFormat="1" ht="15.75">
      <c r="A46" s="54" t="s">
        <v>133</v>
      </c>
      <c r="B46" s="56">
        <v>0.25</v>
      </c>
      <c r="C46" s="56">
        <v>0.25</v>
      </c>
      <c r="D46" s="56">
        <v>0.25</v>
      </c>
      <c r="E46" s="56">
        <v>0.25</v>
      </c>
      <c r="F46" s="56">
        <v>0.25</v>
      </c>
      <c r="G46" s="56">
        <v>0.25</v>
      </c>
      <c r="H46" s="56">
        <v>0.25</v>
      </c>
      <c r="I46" s="56">
        <v>0.25</v>
      </c>
      <c r="J46" s="56">
        <v>0.25</v>
      </c>
      <c r="K46" s="56">
        <v>0.25</v>
      </c>
      <c r="L46" s="56">
        <v>0.25</v>
      </c>
      <c r="M46" s="56">
        <v>0.25</v>
      </c>
      <c r="N46" s="56">
        <v>0.25</v>
      </c>
      <c r="O46" s="56">
        <v>0.25</v>
      </c>
      <c r="P46" s="56">
        <v>0.25</v>
      </c>
      <c r="Q46" s="56">
        <v>0.25</v>
      </c>
      <c r="R46" s="56">
        <v>0.25</v>
      </c>
      <c r="S46" s="56">
        <v>0.25</v>
      </c>
    </row>
    <row r="47" spans="1:19" s="54" customFormat="1" ht="15.75"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</row>
    <row r="48" spans="1:19" s="54" customFormat="1" ht="15.75">
      <c r="A48" s="54" t="s">
        <v>140</v>
      </c>
      <c r="B48" s="55">
        <f>B37-B39-B42-B45</f>
        <v>-5</v>
      </c>
      <c r="C48" s="55">
        <f t="shared" ref="C48:S48" si="12">C37-C39-C42-C45</f>
        <v>-8</v>
      </c>
      <c r="D48" s="55">
        <f t="shared" si="12"/>
        <v>-15</v>
      </c>
      <c r="E48" s="55">
        <f t="shared" si="12"/>
        <v>22.873083683947563</v>
      </c>
      <c r="F48" s="55">
        <f t="shared" si="12"/>
        <v>34.481173653550947</v>
      </c>
      <c r="G48" s="55">
        <f t="shared" si="12"/>
        <v>46.204772695758273</v>
      </c>
      <c r="H48" s="55">
        <f t="shared" si="12"/>
        <v>58.044745699046331</v>
      </c>
      <c r="I48" s="55">
        <f t="shared" si="12"/>
        <v>70.001963313049856</v>
      </c>
      <c r="J48" s="55">
        <f t="shared" si="12"/>
        <v>82.077301984550928</v>
      </c>
      <c r="K48" s="55">
        <f t="shared" si="12"/>
        <v>94.271643993684222</v>
      </c>
      <c r="L48" s="55">
        <f t="shared" si="12"/>
        <v>106.58587749035922</v>
      </c>
      <c r="M48" s="55">
        <f t="shared" si="12"/>
        <v>119.02089653090111</v>
      </c>
      <c r="N48" s="55">
        <f t="shared" si="12"/>
        <v>143.53920121626675</v>
      </c>
      <c r="O48" s="55">
        <f t="shared" si="12"/>
        <v>168.29971342607274</v>
      </c>
      <c r="P48" s="55">
        <f t="shared" si="12"/>
        <v>169.14121199320306</v>
      </c>
      <c r="Q48" s="55">
        <f t="shared" si="12"/>
        <v>169.98691805316906</v>
      </c>
      <c r="R48" s="55">
        <f t="shared" si="12"/>
        <v>170.83685264343495</v>
      </c>
      <c r="S48" s="55">
        <f t="shared" si="12"/>
        <v>98.109163946658342</v>
      </c>
    </row>
    <row r="49" spans="1:19" s="54" customFormat="1" ht="15.75"/>
    <row r="50" spans="1:19" s="54" customFormat="1" ht="15.75">
      <c r="A50" s="54" t="s">
        <v>141</v>
      </c>
      <c r="B50" s="55">
        <f>B51*B25</f>
        <v>0</v>
      </c>
      <c r="C50" s="55">
        <f t="shared" ref="C50:S50" si="13">C51*C25</f>
        <v>0</v>
      </c>
      <c r="D50" s="55">
        <f t="shared" si="13"/>
        <v>0</v>
      </c>
      <c r="E50" s="55">
        <f t="shared" si="13"/>
        <v>1.2476227463971397</v>
      </c>
      <c r="F50" s="55">
        <f t="shared" si="13"/>
        <v>1.8807912901936881</v>
      </c>
      <c r="G50" s="55">
        <f t="shared" si="13"/>
        <v>2.5202603288595413</v>
      </c>
      <c r="H50" s="55">
        <f t="shared" si="13"/>
        <v>3.1660770381297989</v>
      </c>
      <c r="I50" s="55">
        <f t="shared" si="13"/>
        <v>3.8182889079845377</v>
      </c>
      <c r="J50" s="55">
        <f t="shared" si="13"/>
        <v>4.4769437446118676</v>
      </c>
      <c r="K50" s="55">
        <f t="shared" si="13"/>
        <v>5.1420896723827765</v>
      </c>
      <c r="L50" s="55">
        <f t="shared" si="13"/>
        <v>5.8137751358377754</v>
      </c>
      <c r="M50" s="55">
        <f t="shared" si="13"/>
        <v>6.4920489016855143</v>
      </c>
      <c r="N50" s="55">
        <f t="shared" si="13"/>
        <v>7.8294109754327303</v>
      </c>
      <c r="O50" s="55">
        <f t="shared" si="13"/>
        <v>9.1799843686948748</v>
      </c>
      <c r="P50" s="55">
        <f t="shared" si="13"/>
        <v>9.2258842905383496</v>
      </c>
      <c r="Q50" s="55">
        <f t="shared" si="13"/>
        <v>9.272013711991038</v>
      </c>
      <c r="R50" s="55">
        <f t="shared" si="13"/>
        <v>9.3183737805509956</v>
      </c>
      <c r="S50" s="55">
        <f t="shared" si="13"/>
        <v>5.3514089425449995</v>
      </c>
    </row>
    <row r="51" spans="1:19" s="54" customFormat="1" ht="15.75">
      <c r="A51" s="54" t="s">
        <v>133</v>
      </c>
      <c r="B51" s="57">
        <v>0.03</v>
      </c>
      <c r="C51" s="57">
        <v>0.03</v>
      </c>
      <c r="D51" s="57">
        <v>0.03</v>
      </c>
      <c r="E51" s="57">
        <v>0.03</v>
      </c>
      <c r="F51" s="57">
        <v>0.03</v>
      </c>
      <c r="G51" s="57">
        <v>0.03</v>
      </c>
      <c r="H51" s="57">
        <v>0.03</v>
      </c>
      <c r="I51" s="57">
        <v>0.03</v>
      </c>
      <c r="J51" s="57">
        <v>0.03</v>
      </c>
      <c r="K51" s="57">
        <v>0.03</v>
      </c>
      <c r="L51" s="57">
        <v>0.03</v>
      </c>
      <c r="M51" s="57">
        <v>0.03</v>
      </c>
      <c r="N51" s="57">
        <v>0.03</v>
      </c>
      <c r="O51" s="57">
        <v>0.03</v>
      </c>
      <c r="P51" s="57">
        <v>0.03</v>
      </c>
      <c r="Q51" s="57">
        <v>0.03</v>
      </c>
      <c r="R51" s="57">
        <v>0.03</v>
      </c>
      <c r="S51" s="57">
        <v>0.03</v>
      </c>
    </row>
    <row r="52" spans="1:19" s="54" customFormat="1" ht="15.75"/>
    <row r="53" spans="1:19" s="54" customFormat="1" ht="15.75">
      <c r="A53" s="54" t="s">
        <v>142</v>
      </c>
      <c r="B53" s="55">
        <f>MAX(0,B54*B48)</f>
        <v>0</v>
      </c>
      <c r="C53" s="55">
        <f t="shared" ref="C53:S53" si="14">MAX(0,C54*C48)</f>
        <v>0</v>
      </c>
      <c r="D53" s="55">
        <f t="shared" si="14"/>
        <v>0</v>
      </c>
      <c r="E53" s="55">
        <f t="shared" si="14"/>
        <v>4.5746167367895127</v>
      </c>
      <c r="F53" s="55">
        <f t="shared" si="14"/>
        <v>6.8962347307101899</v>
      </c>
      <c r="G53" s="55">
        <f t="shared" si="14"/>
        <v>9.2409545391516552</v>
      </c>
      <c r="H53" s="55">
        <f t="shared" si="14"/>
        <v>11.608949139809267</v>
      </c>
      <c r="I53" s="55">
        <f t="shared" si="14"/>
        <v>14.000392662609972</v>
      </c>
      <c r="J53" s="55">
        <f t="shared" si="14"/>
        <v>16.415460396910188</v>
      </c>
      <c r="K53" s="55">
        <f t="shared" si="14"/>
        <v>18.854328798736844</v>
      </c>
      <c r="L53" s="55">
        <f t="shared" si="14"/>
        <v>21.317175498071848</v>
      </c>
      <c r="M53" s="55">
        <f t="shared" si="14"/>
        <v>23.804179306180224</v>
      </c>
      <c r="N53" s="55">
        <f t="shared" si="14"/>
        <v>28.707840243253351</v>
      </c>
      <c r="O53" s="55">
        <f t="shared" si="14"/>
        <v>33.659942685214553</v>
      </c>
      <c r="P53" s="55">
        <f t="shared" si="14"/>
        <v>33.828242398640612</v>
      </c>
      <c r="Q53" s="55">
        <f t="shared" si="14"/>
        <v>33.997383610633811</v>
      </c>
      <c r="R53" s="55">
        <f t="shared" si="14"/>
        <v>34.167370528686995</v>
      </c>
      <c r="S53" s="55">
        <f t="shared" si="14"/>
        <v>19.62183278933167</v>
      </c>
    </row>
    <row r="54" spans="1:19" s="54" customFormat="1" ht="15.75">
      <c r="A54" s="54" t="s">
        <v>143</v>
      </c>
      <c r="B54" s="57">
        <v>0.2</v>
      </c>
      <c r="C54" s="57">
        <v>0.2</v>
      </c>
      <c r="D54" s="57">
        <v>0.2</v>
      </c>
      <c r="E54" s="57">
        <v>0.2</v>
      </c>
      <c r="F54" s="57">
        <v>0.2</v>
      </c>
      <c r="G54" s="57">
        <v>0.2</v>
      </c>
      <c r="H54" s="57">
        <v>0.2</v>
      </c>
      <c r="I54" s="57">
        <v>0.2</v>
      </c>
      <c r="J54" s="57">
        <v>0.2</v>
      </c>
      <c r="K54" s="57">
        <v>0.2</v>
      </c>
      <c r="L54" s="57">
        <v>0.2</v>
      </c>
      <c r="M54" s="57">
        <v>0.2</v>
      </c>
      <c r="N54" s="57">
        <v>0.2</v>
      </c>
      <c r="O54" s="57">
        <v>0.2</v>
      </c>
      <c r="P54" s="57">
        <v>0.2</v>
      </c>
      <c r="Q54" s="57">
        <v>0.2</v>
      </c>
      <c r="R54" s="57">
        <v>0.2</v>
      </c>
      <c r="S54" s="57">
        <v>0.2</v>
      </c>
    </row>
    <row r="55" spans="1:19" s="54" customFormat="1" ht="15.75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s="54" customFormat="1" ht="15.75"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s="54" customFormat="1" ht="15.75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s="54" customFormat="1" ht="15.75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s="54" customFormat="1" ht="15.75"/>
    <row r="60" spans="1:19" s="40" customFormat="1"/>
    <row r="61" spans="1:19" s="41" customFormat="1" ht="18.75">
      <c r="A61" s="42" t="s">
        <v>144</v>
      </c>
      <c r="B61" s="42">
        <v>2022</v>
      </c>
      <c r="C61" s="42">
        <f>B61+1</f>
        <v>2023</v>
      </c>
      <c r="D61" s="42">
        <f t="shared" ref="D61:Q61" si="15">C61+1</f>
        <v>2024</v>
      </c>
      <c r="E61" s="42">
        <f t="shared" si="15"/>
        <v>2025</v>
      </c>
      <c r="F61" s="42">
        <f t="shared" si="15"/>
        <v>2026</v>
      </c>
      <c r="G61" s="42">
        <f t="shared" si="15"/>
        <v>2027</v>
      </c>
      <c r="H61" s="42">
        <f t="shared" si="15"/>
        <v>2028</v>
      </c>
      <c r="I61" s="42">
        <f t="shared" si="15"/>
        <v>2029</v>
      </c>
      <c r="J61" s="42">
        <f t="shared" si="15"/>
        <v>2030</v>
      </c>
      <c r="K61" s="42">
        <f t="shared" si="15"/>
        <v>2031</v>
      </c>
      <c r="L61" s="42">
        <f t="shared" si="15"/>
        <v>2032</v>
      </c>
      <c r="M61" s="42">
        <f t="shared" si="15"/>
        <v>2033</v>
      </c>
      <c r="N61" s="42">
        <f t="shared" si="15"/>
        <v>2034</v>
      </c>
      <c r="O61" s="42">
        <f>N61+1</f>
        <v>2035</v>
      </c>
      <c r="P61" s="42">
        <f t="shared" si="15"/>
        <v>2036</v>
      </c>
      <c r="Q61" s="42">
        <f t="shared" si="15"/>
        <v>2037</v>
      </c>
      <c r="R61" s="42">
        <f>Q61+1</f>
        <v>2038</v>
      </c>
      <c r="S61" s="42">
        <f>R61+1</f>
        <v>2039</v>
      </c>
    </row>
    <row r="62" spans="1:19" s="40" customFormat="1">
      <c r="A62" s="40" t="s">
        <v>140</v>
      </c>
      <c r="B62" s="51">
        <f>B48</f>
        <v>-5</v>
      </c>
      <c r="C62" s="51">
        <f t="shared" ref="C62:S62" si="16">C48</f>
        <v>-8</v>
      </c>
      <c r="D62" s="51">
        <f t="shared" si="16"/>
        <v>-15</v>
      </c>
      <c r="E62" s="51">
        <f t="shared" si="16"/>
        <v>22.873083683947563</v>
      </c>
      <c r="F62" s="51">
        <f t="shared" si="16"/>
        <v>34.481173653550947</v>
      </c>
      <c r="G62" s="51">
        <f t="shared" si="16"/>
        <v>46.204772695758273</v>
      </c>
      <c r="H62" s="51">
        <f t="shared" si="16"/>
        <v>58.044745699046331</v>
      </c>
      <c r="I62" s="51">
        <f t="shared" si="16"/>
        <v>70.001963313049856</v>
      </c>
      <c r="J62" s="51">
        <f t="shared" si="16"/>
        <v>82.077301984550928</v>
      </c>
      <c r="K62" s="51">
        <f t="shared" si="16"/>
        <v>94.271643993684222</v>
      </c>
      <c r="L62" s="51">
        <f t="shared" si="16"/>
        <v>106.58587749035922</v>
      </c>
      <c r="M62" s="51">
        <f t="shared" si="16"/>
        <v>119.02089653090111</v>
      </c>
      <c r="N62" s="51">
        <f t="shared" si="16"/>
        <v>143.53920121626675</v>
      </c>
      <c r="O62" s="51">
        <f t="shared" si="16"/>
        <v>168.29971342607274</v>
      </c>
      <c r="P62" s="51">
        <f t="shared" si="16"/>
        <v>169.14121199320306</v>
      </c>
      <c r="Q62" s="51">
        <f t="shared" si="16"/>
        <v>169.98691805316906</v>
      </c>
      <c r="R62" s="51">
        <f t="shared" si="16"/>
        <v>170.83685264343495</v>
      </c>
      <c r="S62" s="51">
        <f t="shared" si="16"/>
        <v>98.109163946658342</v>
      </c>
    </row>
    <row r="63" spans="1:19" s="40" customFormat="1">
      <c r="A63" s="40" t="s">
        <v>145</v>
      </c>
      <c r="B63" s="51">
        <f>B53</f>
        <v>0</v>
      </c>
      <c r="C63" s="51">
        <f>C53</f>
        <v>0</v>
      </c>
      <c r="D63" s="51">
        <f>D53</f>
        <v>0</v>
      </c>
      <c r="E63" s="51">
        <f>E53</f>
        <v>4.5746167367895127</v>
      </c>
      <c r="F63" s="51">
        <f>-F53</f>
        <v>-6.8962347307101899</v>
      </c>
      <c r="G63" s="51">
        <f>-G53</f>
        <v>-9.2409545391516552</v>
      </c>
      <c r="H63" s="51">
        <f>-H53</f>
        <v>-11.608949139809267</v>
      </c>
      <c r="I63" s="51">
        <f>-I53</f>
        <v>-14.000392662609972</v>
      </c>
      <c r="J63" s="51">
        <f>-J53</f>
        <v>-16.415460396910188</v>
      </c>
      <c r="K63" s="51">
        <f>-K53</f>
        <v>-18.854328798736844</v>
      </c>
      <c r="L63" s="51">
        <f>-L53</f>
        <v>-21.317175498071848</v>
      </c>
      <c r="M63" s="51">
        <f>-M53</f>
        <v>-23.804179306180224</v>
      </c>
      <c r="N63" s="51">
        <f>-N53</f>
        <v>-28.707840243253351</v>
      </c>
      <c r="O63" s="51">
        <f>-O53</f>
        <v>-33.659942685214553</v>
      </c>
      <c r="P63" s="51">
        <f>-P53</f>
        <v>-33.828242398640612</v>
      </c>
      <c r="Q63" s="51">
        <f>-Q53</f>
        <v>-33.997383610633811</v>
      </c>
      <c r="R63" s="51">
        <f>-R53</f>
        <v>-34.167370528686995</v>
      </c>
      <c r="S63" s="51">
        <f>-S53</f>
        <v>-19.62183278933167</v>
      </c>
    </row>
    <row r="64" spans="1:19" s="40" customFormat="1">
      <c r="A64" s="40" t="s">
        <v>146</v>
      </c>
      <c r="B64" s="51">
        <v>-10</v>
      </c>
      <c r="C64" s="51">
        <v>-20</v>
      </c>
      <c r="D64" s="51">
        <v>-20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</row>
    <row r="65" spans="1:19" s="40" customFormat="1">
      <c r="A65" s="40" t="s">
        <v>147</v>
      </c>
      <c r="B65" s="51">
        <f>B50</f>
        <v>0</v>
      </c>
      <c r="C65" s="51">
        <f t="shared" ref="C65:S65" si="17">C50</f>
        <v>0</v>
      </c>
      <c r="D65" s="51">
        <f t="shared" si="17"/>
        <v>0</v>
      </c>
      <c r="E65" s="51">
        <f t="shared" si="17"/>
        <v>1.2476227463971397</v>
      </c>
      <c r="F65" s="51">
        <f t="shared" si="17"/>
        <v>1.8807912901936881</v>
      </c>
      <c r="G65" s="51">
        <f t="shared" si="17"/>
        <v>2.5202603288595413</v>
      </c>
      <c r="H65" s="51">
        <f t="shared" si="17"/>
        <v>3.1660770381297989</v>
      </c>
      <c r="I65" s="51">
        <f t="shared" si="17"/>
        <v>3.8182889079845377</v>
      </c>
      <c r="J65" s="51">
        <f t="shared" si="17"/>
        <v>4.4769437446118676</v>
      </c>
      <c r="K65" s="51">
        <f t="shared" si="17"/>
        <v>5.1420896723827765</v>
      </c>
      <c r="L65" s="51">
        <f t="shared" si="17"/>
        <v>5.8137751358377754</v>
      </c>
      <c r="M65" s="51">
        <f t="shared" si="17"/>
        <v>6.4920489016855143</v>
      </c>
      <c r="N65" s="51">
        <f t="shared" si="17"/>
        <v>7.8294109754327303</v>
      </c>
      <c r="O65" s="51">
        <f t="shared" si="17"/>
        <v>9.1799843686948748</v>
      </c>
      <c r="P65" s="51">
        <f t="shared" si="17"/>
        <v>9.2258842905383496</v>
      </c>
      <c r="Q65" s="51">
        <f t="shared" si="17"/>
        <v>9.272013711991038</v>
      </c>
      <c r="R65" s="51">
        <f t="shared" si="17"/>
        <v>9.3183737805509956</v>
      </c>
      <c r="S65" s="51">
        <f t="shared" si="17"/>
        <v>5.3514089425449995</v>
      </c>
    </row>
    <row r="66" spans="1:19" s="40" customFormat="1">
      <c r="A66" s="40" t="s">
        <v>148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</row>
    <row r="67" spans="1:19" s="40" customFormat="1"/>
    <row r="68" spans="1:19" s="47" customFormat="1" ht="15.75">
      <c r="A68" s="47" t="s">
        <v>144</v>
      </c>
      <c r="B68" s="53">
        <f>SUM(B62:B66)</f>
        <v>-15</v>
      </c>
      <c r="C68" s="53">
        <f t="shared" ref="C68:S68" si="18">SUM(C62:C66)</f>
        <v>-28</v>
      </c>
      <c r="D68" s="53">
        <f t="shared" si="18"/>
        <v>-35</v>
      </c>
      <c r="E68" s="53">
        <f t="shared" si="18"/>
        <v>28.695323167134216</v>
      </c>
      <c r="F68" s="53">
        <f t="shared" si="18"/>
        <v>29.465730213034444</v>
      </c>
      <c r="G68" s="53">
        <f t="shared" si="18"/>
        <v>39.484078485466163</v>
      </c>
      <c r="H68" s="53">
        <f t="shared" si="18"/>
        <v>49.601873597366861</v>
      </c>
      <c r="I68" s="53">
        <f t="shared" si="18"/>
        <v>59.819859558424426</v>
      </c>
      <c r="J68" s="53">
        <f t="shared" si="18"/>
        <v>70.13878533225261</v>
      </c>
      <c r="K68" s="53">
        <f t="shared" si="18"/>
        <v>80.559404867330159</v>
      </c>
      <c r="L68" s="53">
        <f t="shared" si="18"/>
        <v>91.082477128125149</v>
      </c>
      <c r="M68" s="53">
        <f t="shared" si="18"/>
        <v>101.7087661264064</v>
      </c>
      <c r="N68" s="53">
        <f t="shared" si="18"/>
        <v>122.66077194844614</v>
      </c>
      <c r="O68" s="53">
        <f t="shared" si="18"/>
        <v>143.81975510955306</v>
      </c>
      <c r="P68" s="53">
        <f t="shared" si="18"/>
        <v>144.53885388510079</v>
      </c>
      <c r="Q68" s="53">
        <f t="shared" si="18"/>
        <v>145.26154815452628</v>
      </c>
      <c r="R68" s="53">
        <f t="shared" si="18"/>
        <v>145.98785589529894</v>
      </c>
      <c r="S68" s="53">
        <f t="shared" si="18"/>
        <v>83.838740099871671</v>
      </c>
    </row>
    <row r="69" spans="1:19" s="40" customFormat="1"/>
    <row r="70" spans="1:19" s="40" customFormat="1">
      <c r="A70" s="40" t="s">
        <v>135</v>
      </c>
      <c r="B70" s="40" t="s">
        <v>136</v>
      </c>
      <c r="C70" s="40" t="s">
        <v>137</v>
      </c>
      <c r="D70" s="40" t="s">
        <v>137</v>
      </c>
      <c r="E70" s="40" t="s">
        <v>138</v>
      </c>
      <c r="F70" s="40" t="s">
        <v>138</v>
      </c>
      <c r="G70" s="40" t="s">
        <v>138</v>
      </c>
      <c r="H70" s="40" t="s">
        <v>138</v>
      </c>
      <c r="I70" s="40" t="s">
        <v>138</v>
      </c>
      <c r="J70" s="40" t="s">
        <v>138</v>
      </c>
      <c r="K70" s="40" t="s">
        <v>138</v>
      </c>
      <c r="L70" s="40" t="s">
        <v>138</v>
      </c>
      <c r="M70" s="40" t="s">
        <v>138</v>
      </c>
      <c r="N70" s="40" t="s">
        <v>138</v>
      </c>
      <c r="O70" s="40" t="s">
        <v>138</v>
      </c>
      <c r="P70" s="40" t="s">
        <v>138</v>
      </c>
      <c r="Q70" s="40" t="s">
        <v>138</v>
      </c>
      <c r="R70" s="40" t="s">
        <v>138</v>
      </c>
      <c r="S70" s="40" t="s">
        <v>138</v>
      </c>
    </row>
    <row r="71" spans="1:19" s="40" customFormat="1">
      <c r="A71" s="40" t="s">
        <v>149</v>
      </c>
      <c r="B71" s="52">
        <v>0.3</v>
      </c>
      <c r="C71" s="52">
        <v>0.7</v>
      </c>
      <c r="D71" s="52">
        <v>0.7</v>
      </c>
      <c r="E71" s="52">
        <v>1</v>
      </c>
      <c r="F71" s="52">
        <v>1</v>
      </c>
      <c r="G71" s="52">
        <v>1</v>
      </c>
      <c r="H71" s="52">
        <v>1</v>
      </c>
      <c r="I71" s="52">
        <v>1</v>
      </c>
      <c r="J71" s="52">
        <v>1</v>
      </c>
      <c r="K71" s="52">
        <v>1</v>
      </c>
      <c r="L71" s="52">
        <v>1</v>
      </c>
      <c r="M71" s="52">
        <v>1</v>
      </c>
      <c r="N71" s="52">
        <v>1</v>
      </c>
      <c r="O71" s="52">
        <v>1</v>
      </c>
      <c r="P71" s="52">
        <v>1</v>
      </c>
      <c r="Q71" s="52">
        <v>1</v>
      </c>
      <c r="R71" s="52">
        <v>1</v>
      </c>
      <c r="S71" s="52">
        <v>1</v>
      </c>
    </row>
    <row r="72" spans="1:19" s="40" customFormat="1">
      <c r="A72" s="40" t="s">
        <v>150</v>
      </c>
      <c r="B72" s="45">
        <v>1</v>
      </c>
      <c r="C72" s="45">
        <v>0.5</v>
      </c>
      <c r="D72" s="45">
        <f>C72</f>
        <v>0.5</v>
      </c>
      <c r="E72" s="45">
        <f>D72</f>
        <v>0.5</v>
      </c>
      <c r="F72" s="45">
        <f>E71*E72</f>
        <v>0.5</v>
      </c>
      <c r="G72" s="45">
        <f>F72</f>
        <v>0.5</v>
      </c>
      <c r="H72" s="45">
        <f t="shared" ref="H72:S72" si="19">G72</f>
        <v>0.5</v>
      </c>
      <c r="I72" s="45">
        <f t="shared" si="19"/>
        <v>0.5</v>
      </c>
      <c r="J72" s="45">
        <f t="shared" si="19"/>
        <v>0.5</v>
      </c>
      <c r="K72" s="45">
        <f t="shared" si="19"/>
        <v>0.5</v>
      </c>
      <c r="L72" s="45">
        <f t="shared" si="19"/>
        <v>0.5</v>
      </c>
      <c r="M72" s="45">
        <f t="shared" si="19"/>
        <v>0.5</v>
      </c>
      <c r="N72" s="45">
        <f t="shared" si="19"/>
        <v>0.5</v>
      </c>
      <c r="O72" s="45">
        <f t="shared" si="19"/>
        <v>0.5</v>
      </c>
      <c r="P72" s="45">
        <f t="shared" si="19"/>
        <v>0.5</v>
      </c>
      <c r="Q72" s="45">
        <f t="shared" si="19"/>
        <v>0.5</v>
      </c>
      <c r="R72" s="45">
        <f t="shared" si="19"/>
        <v>0.5</v>
      </c>
      <c r="S72" s="45">
        <f t="shared" si="19"/>
        <v>0.5</v>
      </c>
    </row>
    <row r="73" spans="1:19" s="47" customFormat="1" ht="15.75">
      <c r="A73" s="47" t="s">
        <v>151</v>
      </c>
      <c r="B73" s="53">
        <f>B72*B68</f>
        <v>-15</v>
      </c>
      <c r="C73" s="53">
        <f t="shared" ref="C73:S73" si="20">C72*C68</f>
        <v>-14</v>
      </c>
      <c r="D73" s="53">
        <f t="shared" si="20"/>
        <v>-17.5</v>
      </c>
      <c r="E73" s="53">
        <f t="shared" si="20"/>
        <v>14.347661583567108</v>
      </c>
      <c r="F73" s="53">
        <f>F72*F68</f>
        <v>14.732865106517222</v>
      </c>
      <c r="G73" s="53">
        <f t="shared" si="20"/>
        <v>19.742039242733082</v>
      </c>
      <c r="H73" s="53">
        <f t="shared" si="20"/>
        <v>24.800936798683431</v>
      </c>
      <c r="I73" s="53">
        <f t="shared" si="20"/>
        <v>29.909929779212213</v>
      </c>
      <c r="J73" s="53">
        <f t="shared" si="20"/>
        <v>35.069392666126305</v>
      </c>
      <c r="K73" s="53">
        <f t="shared" si="20"/>
        <v>40.279702433665079</v>
      </c>
      <c r="L73" s="53">
        <f t="shared" si="20"/>
        <v>45.541238564062574</v>
      </c>
      <c r="M73" s="53">
        <f t="shared" si="20"/>
        <v>50.854383063203201</v>
      </c>
      <c r="N73" s="53">
        <f t="shared" si="20"/>
        <v>61.33038597422307</v>
      </c>
      <c r="O73" s="53">
        <f t="shared" si="20"/>
        <v>71.909877554776529</v>
      </c>
      <c r="P73" s="53">
        <f t="shared" si="20"/>
        <v>72.269426942550396</v>
      </c>
      <c r="Q73" s="53">
        <f t="shared" si="20"/>
        <v>72.63077407726314</v>
      </c>
      <c r="R73" s="53">
        <f t="shared" si="20"/>
        <v>72.993927947649468</v>
      </c>
      <c r="S73" s="53">
        <f t="shared" si="20"/>
        <v>41.919370049935836</v>
      </c>
    </row>
    <row r="74" spans="1:19" s="40" customFormat="1"/>
    <row r="75" spans="1:19" s="40" customFormat="1">
      <c r="A75" s="40" t="s">
        <v>152</v>
      </c>
      <c r="B75" s="40">
        <v>1</v>
      </c>
      <c r="C75" s="40">
        <f>B75+1</f>
        <v>2</v>
      </c>
      <c r="D75" s="40">
        <f t="shared" ref="D75:S75" si="21">C75+1</f>
        <v>3</v>
      </c>
      <c r="E75" s="40">
        <f t="shared" si="21"/>
        <v>4</v>
      </c>
      <c r="F75" s="40">
        <f t="shared" si="21"/>
        <v>5</v>
      </c>
      <c r="G75" s="40">
        <f t="shared" si="21"/>
        <v>6</v>
      </c>
      <c r="H75" s="40">
        <f t="shared" si="21"/>
        <v>7</v>
      </c>
      <c r="I75" s="40">
        <f t="shared" si="21"/>
        <v>8</v>
      </c>
      <c r="J75" s="40">
        <f t="shared" si="21"/>
        <v>9</v>
      </c>
      <c r="K75" s="40">
        <f t="shared" si="21"/>
        <v>10</v>
      </c>
      <c r="L75" s="40">
        <f t="shared" si="21"/>
        <v>11</v>
      </c>
      <c r="M75" s="40">
        <f t="shared" si="21"/>
        <v>12</v>
      </c>
      <c r="N75" s="40">
        <f t="shared" si="21"/>
        <v>13</v>
      </c>
      <c r="O75" s="40">
        <f t="shared" si="21"/>
        <v>14</v>
      </c>
      <c r="P75" s="40">
        <f t="shared" si="21"/>
        <v>15</v>
      </c>
      <c r="Q75" s="40">
        <f t="shared" si="21"/>
        <v>16</v>
      </c>
      <c r="R75" s="40">
        <f t="shared" si="21"/>
        <v>17</v>
      </c>
      <c r="S75" s="40">
        <f t="shared" si="21"/>
        <v>18</v>
      </c>
    </row>
    <row r="76" spans="1:19" s="40" customFormat="1">
      <c r="A76" s="40" t="s">
        <v>153</v>
      </c>
      <c r="B76" s="45">
        <v>0.12</v>
      </c>
      <c r="C76" s="45">
        <v>0.12</v>
      </c>
      <c r="D76" s="45">
        <v>0.12</v>
      </c>
      <c r="E76" s="45">
        <v>0.12</v>
      </c>
      <c r="F76" s="45">
        <v>0.12</v>
      </c>
      <c r="G76" s="45">
        <v>0.12</v>
      </c>
      <c r="H76" s="45">
        <v>0.12</v>
      </c>
      <c r="I76" s="45">
        <v>0.12</v>
      </c>
      <c r="J76" s="45">
        <v>0.12</v>
      </c>
      <c r="K76" s="45">
        <v>0.12</v>
      </c>
      <c r="L76" s="45">
        <v>0.12</v>
      </c>
      <c r="M76" s="45">
        <v>0.12</v>
      </c>
      <c r="N76" s="45">
        <v>0.12</v>
      </c>
      <c r="O76" s="45">
        <v>0.12</v>
      </c>
      <c r="P76" s="45">
        <v>0.12</v>
      </c>
      <c r="Q76" s="45">
        <v>0.12</v>
      </c>
      <c r="R76" s="45">
        <v>0.12</v>
      </c>
      <c r="S76" s="45">
        <v>0.12</v>
      </c>
    </row>
    <row r="77" spans="1:19" s="40" customFormat="1">
      <c r="A77" s="40" t="s">
        <v>154</v>
      </c>
      <c r="B77" s="58">
        <f>1/(1+B76)^B75</f>
        <v>0.89285714285714279</v>
      </c>
      <c r="C77" s="58">
        <f t="shared" ref="C77:S77" si="22">1/(1+C76)^C75</f>
        <v>0.79719387755102034</v>
      </c>
      <c r="D77" s="58">
        <f t="shared" si="22"/>
        <v>0.71178024781341087</v>
      </c>
      <c r="E77" s="58">
        <f t="shared" si="22"/>
        <v>0.63551807840483121</v>
      </c>
      <c r="F77" s="58">
        <f t="shared" si="22"/>
        <v>0.56742685571859919</v>
      </c>
      <c r="G77" s="58">
        <f t="shared" si="22"/>
        <v>0.50663112117732068</v>
      </c>
      <c r="H77" s="58">
        <f t="shared" si="22"/>
        <v>0.45234921533689343</v>
      </c>
      <c r="I77" s="58">
        <f t="shared" si="22"/>
        <v>0.4038832279793691</v>
      </c>
      <c r="J77" s="58">
        <f t="shared" si="22"/>
        <v>0.36061002498157957</v>
      </c>
      <c r="K77" s="58">
        <f t="shared" si="22"/>
        <v>0.32197323659069599</v>
      </c>
      <c r="L77" s="58">
        <f t="shared" si="22"/>
        <v>0.28747610409883567</v>
      </c>
      <c r="M77" s="58">
        <f t="shared" si="22"/>
        <v>0.25667509294538904</v>
      </c>
      <c r="N77" s="58">
        <f t="shared" si="22"/>
        <v>0.22917419012981158</v>
      </c>
      <c r="O77" s="58">
        <f t="shared" si="22"/>
        <v>0.20461981261590317</v>
      </c>
      <c r="P77" s="58">
        <f t="shared" si="22"/>
        <v>0.18269626126419927</v>
      </c>
      <c r="Q77" s="58">
        <f t="shared" si="22"/>
        <v>0.16312166184303503</v>
      </c>
      <c r="R77" s="58">
        <f t="shared" si="22"/>
        <v>0.14564434093128129</v>
      </c>
      <c r="S77" s="58">
        <f t="shared" si="22"/>
        <v>0.13003959011721541</v>
      </c>
    </row>
    <row r="78" spans="1:19" s="40" customFormat="1">
      <c r="A78" s="40" t="s">
        <v>155</v>
      </c>
      <c r="B78" s="51">
        <f>B73*B77</f>
        <v>-13.392857142857142</v>
      </c>
      <c r="C78" s="51">
        <f t="shared" ref="C78:S78" si="23">C73*C77</f>
        <v>-11.160714285714285</v>
      </c>
      <c r="D78" s="51">
        <f t="shared" si="23"/>
        <v>-12.45615433673469</v>
      </c>
      <c r="E78" s="51">
        <f t="shared" si="23"/>
        <v>9.1181983191913858</v>
      </c>
      <c r="F78" s="51">
        <f t="shared" si="23"/>
        <v>8.3598233231173324</v>
      </c>
      <c r="G78" s="51">
        <f t="shared" si="23"/>
        <v>10.001931475872524</v>
      </c>
      <c r="H78" s="51">
        <f t="shared" si="23"/>
        <v>11.218684300504336</v>
      </c>
      <c r="I78" s="51">
        <f t="shared" si="23"/>
        <v>12.080118987864488</v>
      </c>
      <c r="J78" s="51">
        <f t="shared" si="23"/>
        <v>12.646374565420631</v>
      </c>
      <c r="K78" s="51">
        <f t="shared" si="23"/>
        <v>12.968986161477279</v>
      </c>
      <c r="L78" s="51">
        <f t="shared" si="23"/>
        <v>13.092017838232362</v>
      </c>
      <c r="M78" s="51">
        <f t="shared" si="23"/>
        <v>13.053053499428099</v>
      </c>
      <c r="N78" s="51">
        <f t="shared" si="23"/>
        <v>14.055341535991326</v>
      </c>
      <c r="O78" s="51">
        <f t="shared" si="23"/>
        <v>14.714185670490915</v>
      </c>
      <c r="P78" s="51">
        <f t="shared" si="23"/>
        <v>13.203354106110149</v>
      </c>
      <c r="Q78" s="51">
        <f t="shared" si="23"/>
        <v>11.847652568429194</v>
      </c>
      <c r="R78" s="51">
        <f t="shared" si="23"/>
        <v>10.63115252792084</v>
      </c>
      <c r="S78" s="51">
        <f t="shared" si="23"/>
        <v>5.4511776992655321</v>
      </c>
    </row>
    <row r="79" spans="1:19" s="40" customFormat="1"/>
    <row r="80" spans="1:19" s="40" customFormat="1"/>
    <row r="81" spans="1:19" s="40" customFormat="1"/>
    <row r="82" spans="1:19" s="40" customFormat="1"/>
    <row r="83" spans="1:19" s="41" customFormat="1" ht="18.75">
      <c r="A83" s="42" t="s">
        <v>156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</row>
    <row r="84" spans="1:19" s="40" customFormat="1">
      <c r="A84" s="40" t="s">
        <v>157</v>
      </c>
      <c r="B84" s="51">
        <f>SUM(B78:S78)</f>
        <v>135.43232681401031</v>
      </c>
    </row>
    <row r="85" spans="1:19" s="40" customFormat="1">
      <c r="A85" s="40" t="s">
        <v>158</v>
      </c>
      <c r="B85" s="59">
        <v>0</v>
      </c>
    </row>
    <row r="86" spans="1:19" s="40" customFormat="1">
      <c r="A86" s="40" t="s">
        <v>159</v>
      </c>
      <c r="B86" s="59">
        <v>0</v>
      </c>
    </row>
    <row r="87" spans="1:19" s="40" customFormat="1"/>
    <row r="88" spans="1:19" s="40" customFormat="1">
      <c r="A88" s="40" t="s">
        <v>23</v>
      </c>
      <c r="B88" s="51">
        <f>SUM(B84:B86)</f>
        <v>135.43232681401031</v>
      </c>
    </row>
    <row r="89" spans="1:19" s="40" customFormat="1">
      <c r="A89" s="40" t="s">
        <v>160</v>
      </c>
      <c r="B89" s="51">
        <v>5</v>
      </c>
    </row>
    <row r="90" spans="1:19" s="40" customFormat="1">
      <c r="A90" s="40" t="s">
        <v>20</v>
      </c>
      <c r="B90" s="51">
        <f>B88+B89</f>
        <v>140.43232681401031</v>
      </c>
    </row>
    <row r="91" spans="1:19" s="40" customFormat="1">
      <c r="A91" s="40" t="s">
        <v>161</v>
      </c>
      <c r="B91" s="40">
        <v>6</v>
      </c>
    </row>
    <row r="92" spans="1:19" s="40" customFormat="1"/>
    <row r="93" spans="1:19" s="41" customFormat="1" ht="18.75">
      <c r="A93" s="60" t="s">
        <v>162</v>
      </c>
      <c r="B93" s="61">
        <f>B90/B91</f>
        <v>23.405387802335053</v>
      </c>
      <c r="C93" s="62"/>
    </row>
    <row r="94" spans="1:19" s="40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Matteo Doye</cp:lastModifiedBy>
  <cp:revision/>
  <dcterms:created xsi:type="dcterms:W3CDTF">2024-10-30T14:34:07Z</dcterms:created>
  <dcterms:modified xsi:type="dcterms:W3CDTF">2024-11-05T07:41:25Z</dcterms:modified>
  <cp:category/>
  <cp:contentStatus/>
</cp:coreProperties>
</file>