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b3d2ac1bd8ccba/Documents/"/>
    </mc:Choice>
  </mc:AlternateContent>
  <xr:revisionPtr revIDLastSave="2755" documentId="8_{4AED09F2-1CC9-4585-B417-9AD19E8B026A}" xr6:coauthVersionLast="47" xr6:coauthVersionMax="47" xr10:uidLastSave="{4FBEC470-0A0F-4FFE-AABE-5D28CC9B01E2}"/>
  <bookViews>
    <workbookView minimized="1" xWindow="2784" yWindow="2544" windowWidth="23040" windowHeight="12096" activeTab="3" xr2:uid="{6C4CFDAB-E82E-453F-9333-D7C69E145497}"/>
  </bookViews>
  <sheets>
    <sheet name="Main" sheetId="1" r:id="rId1"/>
    <sheet name="Financial" sheetId="2" r:id="rId2"/>
    <sheet name="Vadadustat" sheetId="3" r:id="rId3"/>
    <sheet name="INNO2VATE" sheetId="6" r:id="rId4"/>
    <sheet name="PRO2TECT" sheetId="7" r:id="rId5"/>
    <sheet name="Literature" sheetId="4" r:id="rId6"/>
    <sheet name="Daprodustat" sheetId="8" r:id="rId7"/>
    <sheet name="Roxadustat " sheetId="9" r:id="rId8"/>
    <sheet name="Probabilities" sheetId="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6" l="1"/>
  <c r="H48" i="6"/>
  <c r="I45" i="6"/>
  <c r="I47" i="6"/>
  <c r="I46" i="6"/>
  <c r="H47" i="6"/>
  <c r="H46" i="6"/>
  <c r="H45" i="6"/>
  <c r="F27" i="6"/>
  <c r="P36" i="6"/>
  <c r="P37" i="6"/>
  <c r="M37" i="6"/>
  <c r="I37" i="6"/>
  <c r="F37" i="6"/>
  <c r="I36" i="6"/>
  <c r="F36" i="6"/>
  <c r="M36" i="6"/>
  <c r="I28" i="6"/>
  <c r="I27" i="6"/>
  <c r="I26" i="6"/>
  <c r="F28" i="6"/>
  <c r="F26" i="6"/>
  <c r="Z61" i="2"/>
  <c r="Z71" i="2" s="1"/>
  <c r="Z69" i="2"/>
  <c r="Z70" i="2"/>
  <c r="Z47" i="2"/>
  <c r="Z72" i="2" s="1"/>
  <c r="Z53" i="2"/>
  <c r="Z54" i="2"/>
  <c r="Z74" i="2" s="1"/>
  <c r="Y69" i="2"/>
  <c r="Y37" i="2"/>
  <c r="Z27" i="2"/>
  <c r="Y20" i="2"/>
  <c r="Y19" i="2"/>
  <c r="Y16" i="2"/>
  <c r="Z16" i="2" s="1"/>
  <c r="Y15" i="2"/>
  <c r="Z15" i="2" s="1"/>
  <c r="Y14" i="2"/>
  <c r="Y13" i="2"/>
  <c r="Z13" i="2" s="1"/>
  <c r="Y7" i="2"/>
  <c r="Y6" i="2"/>
  <c r="Y4" i="2"/>
  <c r="Y3" i="2"/>
  <c r="Z39" i="2"/>
  <c r="Z38" i="2"/>
  <c r="Z37" i="2"/>
  <c r="Y26" i="2"/>
  <c r="Z24" i="2"/>
  <c r="Z22" i="2"/>
  <c r="Z21" i="2"/>
  <c r="Z20" i="2"/>
  <c r="Z19" i="2"/>
  <c r="Z14" i="2"/>
  <c r="Z8" i="2"/>
  <c r="Z7" i="2"/>
  <c r="Z6" i="2"/>
  <c r="Z4" i="2"/>
  <c r="Z3" i="2"/>
  <c r="U61" i="2"/>
  <c r="U69" i="2"/>
  <c r="U70" i="2"/>
  <c r="U71" i="2" s="1"/>
  <c r="U47" i="2"/>
  <c r="U72" i="2" s="1"/>
  <c r="U53" i="2"/>
  <c r="U54" i="2" s="1"/>
  <c r="U74" i="2" s="1"/>
  <c r="T69" i="2"/>
  <c r="U38" i="2"/>
  <c r="T37" i="2"/>
  <c r="U37" i="2" s="1"/>
  <c r="U39" i="2" s="1"/>
  <c r="T26" i="2"/>
  <c r="T20" i="2"/>
  <c r="U20" i="2" s="1"/>
  <c r="T19" i="2"/>
  <c r="T16" i="2"/>
  <c r="U16" i="2" s="1"/>
  <c r="T15" i="2"/>
  <c r="T14" i="2"/>
  <c r="T13" i="2"/>
  <c r="T7" i="2"/>
  <c r="T9" i="2" s="1"/>
  <c r="T6" i="2"/>
  <c r="T4" i="2"/>
  <c r="T3" i="2"/>
  <c r="U24" i="2"/>
  <c r="U22" i="2"/>
  <c r="U21" i="2"/>
  <c r="U19" i="2"/>
  <c r="U15" i="2"/>
  <c r="U14" i="2"/>
  <c r="U13" i="2"/>
  <c r="U8" i="2"/>
  <c r="U7" i="2"/>
  <c r="U6" i="2"/>
  <c r="U4" i="2"/>
  <c r="U5" i="2" s="1"/>
  <c r="U3" i="2"/>
  <c r="O70" i="2"/>
  <c r="O61" i="2"/>
  <c r="O71" i="2" s="1"/>
  <c r="O47" i="2"/>
  <c r="O72" i="2" s="1"/>
  <c r="O53" i="2"/>
  <c r="O54" i="2"/>
  <c r="O74" i="2" s="1"/>
  <c r="P70" i="2"/>
  <c r="P61" i="2"/>
  <c r="P72" i="2" s="1"/>
  <c r="P53" i="2"/>
  <c r="P54" i="2" s="1"/>
  <c r="P47" i="2"/>
  <c r="O37" i="2"/>
  <c r="P37" i="2" s="1"/>
  <c r="P38" i="2"/>
  <c r="O26" i="2"/>
  <c r="O23" i="2"/>
  <c r="O20" i="2"/>
  <c r="O19" i="2"/>
  <c r="O15" i="2"/>
  <c r="O14" i="2"/>
  <c r="O13" i="2"/>
  <c r="O7" i="2"/>
  <c r="O6" i="2"/>
  <c r="O4" i="2"/>
  <c r="P4" i="2" s="1"/>
  <c r="O3" i="2"/>
  <c r="P24" i="2"/>
  <c r="P22" i="2"/>
  <c r="P21" i="2"/>
  <c r="P20" i="2"/>
  <c r="P19" i="2"/>
  <c r="P16" i="2"/>
  <c r="P15" i="2"/>
  <c r="P14" i="2"/>
  <c r="P13" i="2"/>
  <c r="P9" i="2"/>
  <c r="P8" i="2"/>
  <c r="P7" i="2"/>
  <c r="P6" i="2"/>
  <c r="P3" i="2"/>
  <c r="F70" i="2"/>
  <c r="F71" i="2"/>
  <c r="F61" i="2"/>
  <c r="F47" i="2"/>
  <c r="F72" i="2" s="1"/>
  <c r="F53" i="2"/>
  <c r="F54" i="2"/>
  <c r="F74" i="2" s="1"/>
  <c r="K70" i="2"/>
  <c r="K61" i="2"/>
  <c r="K71" i="2" s="1"/>
  <c r="K47" i="2"/>
  <c r="K72" i="2" s="1"/>
  <c r="K53" i="2"/>
  <c r="J38" i="2"/>
  <c r="J37" i="2"/>
  <c r="J20" i="2"/>
  <c r="K20" i="2" s="1"/>
  <c r="J19" i="2"/>
  <c r="J15" i="2"/>
  <c r="K15" i="2" s="1"/>
  <c r="J14" i="2"/>
  <c r="K14" i="2" s="1"/>
  <c r="J13" i="2"/>
  <c r="K13" i="2" s="1"/>
  <c r="J6" i="2"/>
  <c r="J7" i="2"/>
  <c r="K7" i="2" s="1"/>
  <c r="J4" i="2"/>
  <c r="K4" i="2" s="1"/>
  <c r="J3" i="2"/>
  <c r="J5" i="2" s="1"/>
  <c r="K26" i="2"/>
  <c r="K24" i="2"/>
  <c r="K22" i="2"/>
  <c r="K21" i="2"/>
  <c r="K19" i="2"/>
  <c r="K16" i="2"/>
  <c r="K8" i="2"/>
  <c r="K6" i="2"/>
  <c r="F22" i="2"/>
  <c r="F21" i="2"/>
  <c r="F16" i="2"/>
  <c r="AQ39" i="2"/>
  <c r="AR39" i="2"/>
  <c r="AS39" i="2"/>
  <c r="AT39" i="2"/>
  <c r="AA9" i="2"/>
  <c r="AA5" i="2"/>
  <c r="X69" i="2"/>
  <c r="X70" i="2" s="1"/>
  <c r="Y39" i="2"/>
  <c r="AA39" i="2"/>
  <c r="W37" i="2"/>
  <c r="X37" i="2" s="1"/>
  <c r="X39" i="2" s="1"/>
  <c r="W69" i="2"/>
  <c r="W70" i="2" s="1"/>
  <c r="V69" i="2"/>
  <c r="V70" i="2" s="1"/>
  <c r="S69" i="2"/>
  <c r="S70" i="2" s="1"/>
  <c r="R37" i="2"/>
  <c r="S37" i="2" s="1"/>
  <c r="S39" i="2" s="1"/>
  <c r="R69" i="2"/>
  <c r="R70" i="2" s="1"/>
  <c r="Q69" i="2"/>
  <c r="Q70" i="2" s="1"/>
  <c r="H38" i="2"/>
  <c r="K38" i="2" s="1"/>
  <c r="M37" i="2"/>
  <c r="N37" i="2" s="1"/>
  <c r="N39" i="2" s="1"/>
  <c r="N70" i="2"/>
  <c r="T70" i="2"/>
  <c r="Y70" i="2"/>
  <c r="AA70" i="2"/>
  <c r="M70" i="2"/>
  <c r="L70" i="2"/>
  <c r="H37" i="2"/>
  <c r="I37" i="2" s="1"/>
  <c r="I39" i="2" s="1"/>
  <c r="I9" i="2"/>
  <c r="J9" i="2"/>
  <c r="L9" i="2"/>
  <c r="M9" i="2"/>
  <c r="N9" i="2"/>
  <c r="O9" i="2"/>
  <c r="Q9" i="2"/>
  <c r="R9" i="2"/>
  <c r="S9" i="2"/>
  <c r="V9" i="2"/>
  <c r="W9" i="2"/>
  <c r="X9" i="2"/>
  <c r="Y9" i="2"/>
  <c r="Z9" i="2" s="1"/>
  <c r="H9" i="2"/>
  <c r="I70" i="2"/>
  <c r="J70" i="2"/>
  <c r="G70" i="2"/>
  <c r="H70" i="2"/>
  <c r="E70" i="2"/>
  <c r="E27" i="2"/>
  <c r="F27" i="2" s="1"/>
  <c r="E24" i="2"/>
  <c r="F24" i="2" s="1"/>
  <c r="E20" i="2"/>
  <c r="F20" i="2" s="1"/>
  <c r="E19" i="2"/>
  <c r="F19" i="2" s="1"/>
  <c r="E15" i="2"/>
  <c r="F15" i="2" s="1"/>
  <c r="E14" i="2"/>
  <c r="F14" i="2" s="1"/>
  <c r="E13" i="2"/>
  <c r="F13" i="2" s="1"/>
  <c r="E7" i="2"/>
  <c r="F7" i="2" s="1"/>
  <c r="E6" i="2"/>
  <c r="F6" i="2" s="1"/>
  <c r="E4" i="2"/>
  <c r="F4" i="2" s="1"/>
  <c r="E3" i="2"/>
  <c r="C38" i="2"/>
  <c r="D38" i="2" s="1"/>
  <c r="C37" i="2"/>
  <c r="C70" i="2"/>
  <c r="D70" i="2"/>
  <c r="C61" i="2"/>
  <c r="D61" i="2"/>
  <c r="E61" i="2"/>
  <c r="G61" i="2"/>
  <c r="H61" i="2"/>
  <c r="I61" i="2"/>
  <c r="J61" i="2"/>
  <c r="L61" i="2"/>
  <c r="M61" i="2"/>
  <c r="N61" i="2"/>
  <c r="Q61" i="2"/>
  <c r="R61" i="2"/>
  <c r="S61" i="2"/>
  <c r="T61" i="2"/>
  <c r="V61" i="2"/>
  <c r="W61" i="2"/>
  <c r="X61" i="2"/>
  <c r="Y61" i="2"/>
  <c r="AA61" i="2"/>
  <c r="C53" i="2"/>
  <c r="D53" i="2"/>
  <c r="E53" i="2"/>
  <c r="G53" i="2"/>
  <c r="H53" i="2"/>
  <c r="I53" i="2"/>
  <c r="J53" i="2"/>
  <c r="L53" i="2"/>
  <c r="M53" i="2"/>
  <c r="N53" i="2"/>
  <c r="Q53" i="2"/>
  <c r="R53" i="2"/>
  <c r="S53" i="2"/>
  <c r="T53" i="2"/>
  <c r="V53" i="2"/>
  <c r="W53" i="2"/>
  <c r="X53" i="2"/>
  <c r="Y53" i="2"/>
  <c r="AA53" i="2"/>
  <c r="C47" i="2"/>
  <c r="D47" i="2"/>
  <c r="E47" i="2"/>
  <c r="G47" i="2"/>
  <c r="H47" i="2"/>
  <c r="I47" i="2"/>
  <c r="J47" i="2"/>
  <c r="L47" i="2"/>
  <c r="M47" i="2"/>
  <c r="N47" i="2"/>
  <c r="Q47" i="2"/>
  <c r="R47" i="2"/>
  <c r="S47" i="2"/>
  <c r="T47" i="2"/>
  <c r="V47" i="2"/>
  <c r="W47" i="2"/>
  <c r="X47" i="2"/>
  <c r="Y47" i="2"/>
  <c r="AA47" i="2"/>
  <c r="G39" i="2"/>
  <c r="J39" i="2"/>
  <c r="L39" i="2"/>
  <c r="O39" i="2"/>
  <c r="Q39" i="2"/>
  <c r="R39" i="2"/>
  <c r="T39" i="2"/>
  <c r="V39" i="2"/>
  <c r="C17" i="2"/>
  <c r="D17" i="2"/>
  <c r="G17" i="2"/>
  <c r="H17" i="2"/>
  <c r="I17" i="2"/>
  <c r="L17" i="2"/>
  <c r="M17" i="2"/>
  <c r="N17" i="2"/>
  <c r="O17" i="2"/>
  <c r="P17" i="2" s="1"/>
  <c r="Q17" i="2"/>
  <c r="R17" i="2"/>
  <c r="S17" i="2"/>
  <c r="T17" i="2"/>
  <c r="V17" i="2"/>
  <c r="W17" i="2"/>
  <c r="X17" i="2"/>
  <c r="Y17" i="2"/>
  <c r="Z17" i="2" s="1"/>
  <c r="AA17" i="2"/>
  <c r="C9" i="2"/>
  <c r="D9" i="2"/>
  <c r="G9" i="2"/>
  <c r="C5" i="2"/>
  <c r="D5" i="2"/>
  <c r="G5" i="2"/>
  <c r="H5" i="2"/>
  <c r="I5" i="2"/>
  <c r="L5" i="2"/>
  <c r="M5" i="2"/>
  <c r="N5" i="2"/>
  <c r="O5" i="2"/>
  <c r="P5" i="2" s="1"/>
  <c r="Q5" i="2"/>
  <c r="R5" i="2"/>
  <c r="S5" i="2"/>
  <c r="T5" i="2"/>
  <c r="V5" i="2"/>
  <c r="W5" i="2"/>
  <c r="X5" i="2"/>
  <c r="Y5" i="2"/>
  <c r="Z5" i="2" s="1"/>
  <c r="B70" i="2"/>
  <c r="B61" i="2"/>
  <c r="B53" i="2"/>
  <c r="B47" i="2"/>
  <c r="B39" i="2"/>
  <c r="B17" i="2"/>
  <c r="B9" i="2"/>
  <c r="B5" i="2"/>
  <c r="U17" i="2" l="1"/>
  <c r="U9" i="2"/>
  <c r="U10" i="2"/>
  <c r="U11" i="2" s="1"/>
  <c r="P71" i="2"/>
  <c r="P74" i="2" s="1"/>
  <c r="P39" i="2"/>
  <c r="K54" i="2"/>
  <c r="K74" i="2" s="1"/>
  <c r="K3" i="2"/>
  <c r="J17" i="2"/>
  <c r="H71" i="2"/>
  <c r="L72" i="2"/>
  <c r="M71" i="2"/>
  <c r="K9" i="2"/>
  <c r="K17" i="2"/>
  <c r="K5" i="2"/>
  <c r="AA10" i="2"/>
  <c r="AA11" i="2" s="1"/>
  <c r="K37" i="2"/>
  <c r="M39" i="2"/>
  <c r="H10" i="2"/>
  <c r="H11" i="2" s="1"/>
  <c r="E5" i="2"/>
  <c r="F5" i="2" s="1"/>
  <c r="F3" i="2"/>
  <c r="H39" i="2"/>
  <c r="K39" i="2" s="1"/>
  <c r="W39" i="2"/>
  <c r="V71" i="2"/>
  <c r="G71" i="2"/>
  <c r="S72" i="2"/>
  <c r="E38" i="2"/>
  <c r="F38" i="2" s="1"/>
  <c r="B72" i="2"/>
  <c r="N54" i="2"/>
  <c r="E17" i="2"/>
  <c r="M72" i="2"/>
  <c r="R10" i="2"/>
  <c r="R18" i="2" s="1"/>
  <c r="R23" i="2" s="1"/>
  <c r="R25" i="2" s="1"/>
  <c r="R27" i="2" s="1"/>
  <c r="Q10" i="2"/>
  <c r="Q18" i="2" s="1"/>
  <c r="Q23" i="2" s="1"/>
  <c r="Q25" i="2" s="1"/>
  <c r="Q27" i="2" s="1"/>
  <c r="T71" i="2"/>
  <c r="I71" i="2"/>
  <c r="J72" i="2"/>
  <c r="R71" i="2"/>
  <c r="N10" i="2"/>
  <c r="N18" i="2" s="1"/>
  <c r="N23" i="2" s="1"/>
  <c r="N25" i="2" s="1"/>
  <c r="N27" i="2" s="1"/>
  <c r="L71" i="2"/>
  <c r="C39" i="2"/>
  <c r="R72" i="2"/>
  <c r="Q54" i="2"/>
  <c r="V10" i="2"/>
  <c r="V11" i="2" s="1"/>
  <c r="S71" i="2"/>
  <c r="AA54" i="2"/>
  <c r="G54" i="2"/>
  <c r="M54" i="2"/>
  <c r="X71" i="2"/>
  <c r="O10" i="2"/>
  <c r="L54" i="2"/>
  <c r="J54" i="2"/>
  <c r="I54" i="2"/>
  <c r="Q71" i="2"/>
  <c r="Y71" i="2"/>
  <c r="T54" i="2"/>
  <c r="M10" i="2"/>
  <c r="M11" i="2" s="1"/>
  <c r="H72" i="2"/>
  <c r="G10" i="2"/>
  <c r="Y10" i="2"/>
  <c r="L10" i="2"/>
  <c r="L18" i="2" s="1"/>
  <c r="L23" i="2" s="1"/>
  <c r="L25" i="2" s="1"/>
  <c r="L27" i="2" s="1"/>
  <c r="J71" i="2"/>
  <c r="X10" i="2"/>
  <c r="X11" i="2" s="1"/>
  <c r="J10" i="2"/>
  <c r="J11" i="2" s="1"/>
  <c r="W10" i="2"/>
  <c r="W18" i="2" s="1"/>
  <c r="W23" i="2" s="1"/>
  <c r="W25" i="2" s="1"/>
  <c r="W27" i="2" s="1"/>
  <c r="I10" i="2"/>
  <c r="I11" i="2" s="1"/>
  <c r="I72" i="2"/>
  <c r="D37" i="2"/>
  <c r="X54" i="2"/>
  <c r="D72" i="2"/>
  <c r="R54" i="2"/>
  <c r="T10" i="2"/>
  <c r="T18" i="2" s="1"/>
  <c r="T23" i="2" s="1"/>
  <c r="Y54" i="2"/>
  <c r="N71" i="2"/>
  <c r="S10" i="2"/>
  <c r="S11" i="2" s="1"/>
  <c r="W54" i="2"/>
  <c r="E9" i="2"/>
  <c r="V54" i="2"/>
  <c r="T72" i="2"/>
  <c r="AA71" i="2"/>
  <c r="Q72" i="2"/>
  <c r="N72" i="2"/>
  <c r="W71" i="2"/>
  <c r="S54" i="2"/>
  <c r="G72" i="2"/>
  <c r="AA72" i="2"/>
  <c r="Y72" i="2"/>
  <c r="X72" i="2"/>
  <c r="D10" i="2"/>
  <c r="D11" i="2" s="1"/>
  <c r="W72" i="2"/>
  <c r="V72" i="2"/>
  <c r="D54" i="2"/>
  <c r="B71" i="2"/>
  <c r="E71" i="2"/>
  <c r="E54" i="2"/>
  <c r="H54" i="2"/>
  <c r="E72" i="2"/>
  <c r="D71" i="2"/>
  <c r="C71" i="2"/>
  <c r="C72" i="2"/>
  <c r="C54" i="2"/>
  <c r="C10" i="2"/>
  <c r="C11" i="2" s="1"/>
  <c r="B54" i="2"/>
  <c r="B10" i="2"/>
  <c r="Y11" i="2" l="1"/>
  <c r="Z10" i="2"/>
  <c r="Z11" i="2" s="1"/>
  <c r="T25" i="2"/>
  <c r="U23" i="2"/>
  <c r="U18" i="2"/>
  <c r="O18" i="2"/>
  <c r="P10" i="2"/>
  <c r="P11" i="2" s="1"/>
  <c r="E10" i="2"/>
  <c r="I18" i="2"/>
  <c r="I23" i="2" s="1"/>
  <c r="I25" i="2" s="1"/>
  <c r="I27" i="2" s="1"/>
  <c r="AA18" i="2"/>
  <c r="AA23" i="2" s="1"/>
  <c r="AA25" i="2" s="1"/>
  <c r="AA27" i="2" s="1"/>
  <c r="G11" i="2"/>
  <c r="K10" i="2"/>
  <c r="K11" i="2" s="1"/>
  <c r="F17" i="2"/>
  <c r="B18" i="2"/>
  <c r="F10" i="2"/>
  <c r="F11" i="2" s="1"/>
  <c r="F9" i="2"/>
  <c r="R11" i="2"/>
  <c r="N11" i="2"/>
  <c r="V74" i="2"/>
  <c r="Q74" i="2"/>
  <c r="Q11" i="2"/>
  <c r="N74" i="2"/>
  <c r="Y18" i="2"/>
  <c r="D39" i="2"/>
  <c r="E37" i="2"/>
  <c r="F37" i="2" s="1"/>
  <c r="Y74" i="2"/>
  <c r="R74" i="2"/>
  <c r="T74" i="2"/>
  <c r="I74" i="2"/>
  <c r="L74" i="2"/>
  <c r="H74" i="2"/>
  <c r="G74" i="2"/>
  <c r="G18" i="2"/>
  <c r="S74" i="2"/>
  <c r="AA74" i="2"/>
  <c r="W74" i="2"/>
  <c r="H18" i="2"/>
  <c r="H23" i="2" s="1"/>
  <c r="H25" i="2" s="1"/>
  <c r="H27" i="2" s="1"/>
  <c r="M74" i="2"/>
  <c r="V18" i="2"/>
  <c r="V23" i="2" s="1"/>
  <c r="V25" i="2" s="1"/>
  <c r="V27" i="2" s="1"/>
  <c r="B11" i="2"/>
  <c r="X74" i="2"/>
  <c r="W11" i="2"/>
  <c r="J18" i="2"/>
  <c r="J23" i="2" s="1"/>
  <c r="L11" i="2"/>
  <c r="J74" i="2"/>
  <c r="M18" i="2"/>
  <c r="M23" i="2" s="1"/>
  <c r="M25" i="2" s="1"/>
  <c r="M27" i="2" s="1"/>
  <c r="O11" i="2"/>
  <c r="X18" i="2"/>
  <c r="X23" i="2" s="1"/>
  <c r="X25" i="2" s="1"/>
  <c r="X27" i="2" s="1"/>
  <c r="S18" i="2"/>
  <c r="S23" i="2" s="1"/>
  <c r="S25" i="2" s="1"/>
  <c r="S27" i="2" s="1"/>
  <c r="T11" i="2"/>
  <c r="B74" i="2"/>
  <c r="D74" i="2"/>
  <c r="D18" i="2"/>
  <c r="D23" i="2" s="1"/>
  <c r="D25" i="2" s="1"/>
  <c r="D26" i="2" s="1"/>
  <c r="E74" i="2"/>
  <c r="E18" i="2"/>
  <c r="E23" i="2" s="1"/>
  <c r="E25" i="2" s="1"/>
  <c r="E26" i="2" s="1"/>
  <c r="E11" i="2"/>
  <c r="C74" i="2"/>
  <c r="C18" i="2"/>
  <c r="C23" i="2" s="1"/>
  <c r="C25" i="2" s="1"/>
  <c r="C26" i="2" s="1"/>
  <c r="Y23" i="2" l="1"/>
  <c r="Z18" i="2"/>
  <c r="T27" i="2"/>
  <c r="U25" i="2"/>
  <c r="U27" i="2" s="1"/>
  <c r="P18" i="2"/>
  <c r="J25" i="2"/>
  <c r="J27" i="2" s="1"/>
  <c r="K23" i="2"/>
  <c r="G23" i="2"/>
  <c r="K18" i="2"/>
  <c r="B23" i="2"/>
  <c r="F18" i="2"/>
  <c r="E39" i="2"/>
  <c r="F39" i="2" s="1"/>
  <c r="Y25" i="2" l="1"/>
  <c r="Z23" i="2"/>
  <c r="O25" i="2"/>
  <c r="P23" i="2"/>
  <c r="G25" i="2"/>
  <c r="B25" i="2"/>
  <c r="F23" i="2"/>
  <c r="Y27" i="2" l="1"/>
  <c r="Z25" i="2"/>
  <c r="O27" i="2"/>
  <c r="P27" i="2" s="1"/>
  <c r="P25" i="2"/>
  <c r="G27" i="2"/>
  <c r="K27" i="2" s="1"/>
  <c r="K25" i="2"/>
  <c r="B26" i="2"/>
  <c r="F26" i="2" s="1"/>
  <c r="F25" i="2"/>
</calcChain>
</file>

<file path=xl/sharedStrings.xml><?xml version="1.0" encoding="utf-8"?>
<sst xmlns="http://schemas.openxmlformats.org/spreadsheetml/2006/main" count="510" uniqueCount="382">
  <si>
    <t>Main</t>
  </si>
  <si>
    <t>Date: 22/03/2024</t>
  </si>
  <si>
    <t>Name</t>
  </si>
  <si>
    <t>Indication</t>
  </si>
  <si>
    <t>Phase</t>
  </si>
  <si>
    <t>Economics</t>
  </si>
  <si>
    <t>MOA</t>
  </si>
  <si>
    <t>IP</t>
  </si>
  <si>
    <t>Price</t>
  </si>
  <si>
    <t>To predict stock price if the drug is not approved ( what's worth of the company only cash and their other drug ex: 500M</t>
  </si>
  <si>
    <t>Vadadustat</t>
  </si>
  <si>
    <t>Anemia due to chronic kidney disease (CKD)</t>
  </si>
  <si>
    <t>Shares</t>
  </si>
  <si>
    <t>MC</t>
  </si>
  <si>
    <t>Cash</t>
  </si>
  <si>
    <t>Debt</t>
  </si>
  <si>
    <t>EV</t>
  </si>
  <si>
    <t>Price prediction</t>
  </si>
  <si>
    <t xml:space="preserve">HQ </t>
  </si>
  <si>
    <t>Boston, MA</t>
  </si>
  <si>
    <r>
      <t xml:space="preserve">PDUFA date for approval for the drug Vadadustat is </t>
    </r>
    <r>
      <rPr>
        <b/>
        <sz val="13"/>
        <color theme="1"/>
        <rFont val="Arial"/>
        <family val="2"/>
      </rPr>
      <t>03/27/2024</t>
    </r>
  </si>
  <si>
    <t>CDK affects 10% of global population, anemia is a common complication of CDK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</si>
  <si>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</si>
  <si>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</si>
  <si>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</si>
  <si>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</si>
  <si>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</si>
  <si>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</si>
  <si>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</si>
  <si>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</si>
  <si>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</si>
  <si>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</si>
  <si>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</si>
  <si>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</si>
  <si>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</si>
  <si>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</si>
  <si>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</si>
  <si>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</si>
  <si>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</si>
  <si>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</si>
  <si>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</si>
  <si>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</si>
  <si>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</si>
  <si>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Product Revenue, net</t>
  </si>
  <si>
    <t>License,collaboration &amp; other revenue</t>
  </si>
  <si>
    <t>Total Revenue</t>
  </si>
  <si>
    <t>COSG Product</t>
  </si>
  <si>
    <t>Amortization of intangible asset</t>
  </si>
  <si>
    <t>Impairment of intengible assets</t>
  </si>
  <si>
    <t>Total COSG</t>
  </si>
  <si>
    <t>Gross Margin</t>
  </si>
  <si>
    <t>Gross Margin %</t>
  </si>
  <si>
    <t>R&amp;D</t>
  </si>
  <si>
    <t>S&amp;M + G&amp;A</t>
  </si>
  <si>
    <t>License expense</t>
  </si>
  <si>
    <t>Restructuring</t>
  </si>
  <si>
    <t>CapEX</t>
  </si>
  <si>
    <t>CapInc</t>
  </si>
  <si>
    <t>Interest Income</t>
  </si>
  <si>
    <t>Others</t>
  </si>
  <si>
    <t>Loss on extinguishment of debt</t>
  </si>
  <si>
    <t>Loss on termination of lease</t>
  </si>
  <si>
    <t>PreTax</t>
  </si>
  <si>
    <t>Taxes</t>
  </si>
  <si>
    <t>Net Income</t>
  </si>
  <si>
    <t>EPS</t>
  </si>
  <si>
    <t>Total Revenues Growth</t>
  </si>
  <si>
    <t>Product Revenues Growth</t>
  </si>
  <si>
    <t>License Revenue Growth</t>
  </si>
  <si>
    <t>CFFO</t>
  </si>
  <si>
    <t>CapEx</t>
  </si>
  <si>
    <t>FCF</t>
  </si>
  <si>
    <t>Cash &amp; Equivalent</t>
  </si>
  <si>
    <t>Available for sale securities</t>
  </si>
  <si>
    <t>Inventory</t>
  </si>
  <si>
    <t>Account receivables net</t>
  </si>
  <si>
    <t>Prepaid expenses and others current assets</t>
  </si>
  <si>
    <t>Total Current Assets</t>
  </si>
  <si>
    <t>Property &amp; equipment</t>
  </si>
  <si>
    <t>Operating lease assets</t>
  </si>
  <si>
    <t>Goodwill</t>
  </si>
  <si>
    <t>Integible assets net</t>
  </si>
  <si>
    <t>Other non-current assets</t>
  </si>
  <si>
    <t>Total non current assets</t>
  </si>
  <si>
    <t>Total Assets</t>
  </si>
  <si>
    <t>Account payable</t>
  </si>
  <si>
    <t>Accrued expenses &amp; other current liabilities</t>
  </si>
  <si>
    <t>Current Debt of the longterm one</t>
  </si>
  <si>
    <t>Short-term deferred revenue</t>
  </si>
  <si>
    <t>Other current liabilities</t>
  </si>
  <si>
    <t>Total current liabilities</t>
  </si>
  <si>
    <t>Deferred rent</t>
  </si>
  <si>
    <t>Deferred revenue</t>
  </si>
  <si>
    <t>Operating lease liabilities</t>
  </si>
  <si>
    <t>Deferred tax liabilities</t>
  </si>
  <si>
    <t>Derivative liabilities</t>
  </si>
  <si>
    <t>Long-term debt</t>
  </si>
  <si>
    <t>Liabilities related to sale of future royalties</t>
  </si>
  <si>
    <t>Other noncurrent liabilities</t>
  </si>
  <si>
    <t>Total Non-current liabilities</t>
  </si>
  <si>
    <t>Total Liabilities</t>
  </si>
  <si>
    <t>Net working capital</t>
  </si>
  <si>
    <t>Shareholder's Equity</t>
  </si>
  <si>
    <t>Brand</t>
  </si>
  <si>
    <t>AKB-6548, PG-1016548, B506</t>
  </si>
  <si>
    <t>Generic</t>
  </si>
  <si>
    <t>Anemia due to chronic kidney disease (CKD) in adult patients on dialysis</t>
  </si>
  <si>
    <t>Mechanism</t>
  </si>
  <si>
    <t>oral hypoxia-inducible factor prolyl hydroxylase inhibitor</t>
  </si>
  <si>
    <t>FDA Re-submission</t>
  </si>
  <si>
    <t>10/25/2023</t>
  </si>
  <si>
    <t>Already Approved</t>
  </si>
  <si>
    <t>In the EU countries, Australia, Japan, Taiwan, UK, Iceland, Norway, Liechtenstein, Switzerland</t>
  </si>
  <si>
    <t>Risk associated</t>
  </si>
  <si>
    <t>(VAT) vascular access thrombosis, (DILI) drug-induced liver injury</t>
  </si>
  <si>
    <t>Physiochemistry</t>
  </si>
  <si>
    <t>306.70 g/mol, logP 2,5, HBD 3, HBA 5, RB 4</t>
  </si>
  <si>
    <t>Molecule</t>
  </si>
  <si>
    <t>2-[[5-(3-chlorophenyl)-3-hydroxypyridine-2-carbonyl]amino]acetic acid</t>
  </si>
  <si>
    <t>Clinical Trials</t>
  </si>
  <si>
    <t>Study 1</t>
  </si>
  <si>
    <t>"Efficacy of Hypoxia-Inducible Factor Prolyl Hydroxylase Inhibitor on Clinical Parameters in Patients with Heart Failure"</t>
  </si>
  <si>
    <t>N</t>
  </si>
  <si>
    <t>Date</t>
  </si>
  <si>
    <t>Achieved Primary Endpoint</t>
  </si>
  <si>
    <t>Inclusion Criteria</t>
  </si>
  <si>
    <t>Stable Herat Failure (HF)</t>
  </si>
  <si>
    <t>Achieved Safety Endpoint</t>
  </si>
  <si>
    <t>If HIF-PH were taken only Vadadustat</t>
  </si>
  <si>
    <t>PMID: 38256345</t>
  </si>
  <si>
    <t>Patient who had CDK were not on hemodialysis</t>
  </si>
  <si>
    <t>Patient who had CDK had a max (eGFR) of &lt;60mL/min/1.73m² were eligible</t>
  </si>
  <si>
    <t>No red blodd cell transfusion in the week before and after extraction data</t>
  </si>
  <si>
    <t>No previous malignacy or retinopathy condition</t>
  </si>
  <si>
    <t>Sites</t>
  </si>
  <si>
    <t>Japan</t>
  </si>
  <si>
    <t>Interventions</t>
  </si>
  <si>
    <t>300mg vadadustat, orally once daily</t>
  </si>
  <si>
    <t>Iron supplement for patients with iron deficiency</t>
  </si>
  <si>
    <t>Primary Endpoint</t>
  </si>
  <si>
    <t>Change in clinical parameters after 1 month of vadadustat treatment</t>
  </si>
  <si>
    <t>Safety Endpoint</t>
  </si>
  <si>
    <t>Presence of embolic and thrombotic events</t>
  </si>
  <si>
    <t>A</t>
  </si>
  <si>
    <t>B</t>
  </si>
  <si>
    <t>C</t>
  </si>
  <si>
    <t>Success</t>
  </si>
  <si>
    <t>Hemoglobin (the higher the better)</t>
  </si>
  <si>
    <t>Day 0</t>
  </si>
  <si>
    <t>Week 4</t>
  </si>
  <si>
    <t>P value</t>
  </si>
  <si>
    <t>300mg vadadustat</t>
  </si>
  <si>
    <t>p=0,001</t>
  </si>
  <si>
    <t>Failed</t>
  </si>
  <si>
    <t>eGFR (the higher the better)</t>
  </si>
  <si>
    <t>p=0,828</t>
  </si>
  <si>
    <t>Systolic blood pressure (the better around 120)</t>
  </si>
  <si>
    <t>p=0,649</t>
  </si>
  <si>
    <t>D</t>
  </si>
  <si>
    <t>E</t>
  </si>
  <si>
    <t>F</t>
  </si>
  <si>
    <t>Diastolic blood pressure (the better around 80)</t>
  </si>
  <si>
    <t>p=0,742</t>
  </si>
  <si>
    <t>NT-proBNP (the lower the better)</t>
  </si>
  <si>
    <t>p=0,002</t>
  </si>
  <si>
    <t>NYHA (the lower the better)</t>
  </si>
  <si>
    <t>p=0,008</t>
  </si>
  <si>
    <t>Study 2</t>
  </si>
  <si>
    <t>Big Clinical Trial</t>
  </si>
  <si>
    <r>
      <t xml:space="preserve">Conflict of interest statement: </t>
    </r>
    <r>
      <rPr>
        <i/>
        <sz val="13"/>
        <color theme="1"/>
        <rFont val="Arial"/>
        <family val="2"/>
      </rPr>
      <t>"M.J.S. has received steering committee fees from Akebia Therapeutics, Inc."</t>
    </r>
  </si>
  <si>
    <t>Trial</t>
  </si>
  <si>
    <t>INNO2VATE Study 1 - "Vadadustat VS Darbepoetin alfa"</t>
  </si>
  <si>
    <t>Darbepoetin alfa - is not an oral drug!</t>
  </si>
  <si>
    <t>Enrollment</t>
  </si>
  <si>
    <t>Vadadustat N=152, Darbepoetin alfa N=157</t>
  </si>
  <si>
    <t>CT First Record</t>
  </si>
  <si>
    <t>2016-07</t>
  </si>
  <si>
    <t>≥18 years of age</t>
  </si>
  <si>
    <t>Initiated chronic maintenance dialysis (either peritoneal or hemodialysis) for end-stage kidney disease within 16 weeks prior to Screening</t>
  </si>
  <si>
    <t>Mean Screening hemoglobin between 8.0 and &lt;11.0 grams per deciliter (g/dL) (inclusive)</t>
  </si>
  <si>
    <t>Serum ferritin ≥100 nanograms per deciliter (ng/mL) and TSAT ≥20% during Screening</t>
  </si>
  <si>
    <t xml:space="preserve">54 USA, 9 Argentina, 13 Brazil, 3 Germany, 7 Italy, 5 Korea, 3 Mexico, 3 Poland, 2 Porugal, 7 Russia, 12 Ukraine </t>
  </si>
  <si>
    <t>Vadadustat: oral dose administered once daily for ≥36 weeks. Dose adjustment based on hemoglobin level as defined in the protocol</t>
  </si>
  <si>
    <t>Darbepoetin alfa: subcutaneous or intravenous dose administered for ≥36 weeks. Initial dose based on the current package insert for investigational sites in the US</t>
  </si>
  <si>
    <t>Change From Baseline in Hemoglobin (Hb) to the Average Over the Primary Efficacy Period (Weeks 24 to 36)</t>
  </si>
  <si>
    <t>Median Time to First Major Adverse Cardiovascular Event (MACE)</t>
  </si>
  <si>
    <r>
      <rPr>
        <b/>
        <sz val="13"/>
        <color theme="1"/>
        <rFont val="Arial"/>
        <family val="2"/>
      </rPr>
      <t>Time Frame:</t>
    </r>
    <r>
      <rPr>
        <sz val="13"/>
        <color theme="1"/>
        <rFont val="Arial"/>
        <family val="2"/>
      </rPr>
      <t xml:space="preserve"> up to 176 weeks</t>
    </r>
  </si>
  <si>
    <t>Secondary Endpoint</t>
  </si>
  <si>
    <t>Change From Baseline in Hb to the Average Over the Secondary Efficacy Period (Weeks 40 to 52)</t>
  </si>
  <si>
    <t>Median Time to First MACE Plus Hospitalization for Heart Failure or Thromboembolic Event Excluding Vascular Access Thrombosis</t>
  </si>
  <si>
    <r>
      <rPr>
        <b/>
        <sz val="13"/>
        <color theme="1"/>
        <rFont val="Arial"/>
        <family val="2"/>
      </rPr>
      <t>Time Frame:</t>
    </r>
    <r>
      <rPr>
        <sz val="13"/>
        <color theme="1"/>
        <rFont val="Arial"/>
        <family val="2"/>
      </rPr>
      <t xml:space="preserve"> Up to 176 weeks</t>
    </r>
  </si>
  <si>
    <t>Median Time to First Cardiovascular MACE</t>
  </si>
  <si>
    <t>Median Time to First Cardiovascular Death</t>
  </si>
  <si>
    <t>Median Time to First All-cause Mortality</t>
  </si>
  <si>
    <t>NCT</t>
  </si>
  <si>
    <t>NCT02865850</t>
  </si>
  <si>
    <r>
      <t xml:space="preserve">Hemoglobin (the higher the better - </t>
    </r>
    <r>
      <rPr>
        <i/>
        <sz val="13"/>
        <color theme="1"/>
        <rFont val="Arial"/>
        <family val="2"/>
      </rPr>
      <t>in this case the lower the better</t>
    </r>
    <r>
      <rPr>
        <sz val="13"/>
        <color theme="1"/>
        <rFont val="Arial"/>
        <family val="2"/>
      </rPr>
      <t>)</t>
    </r>
  </si>
  <si>
    <t>Vadustat (week 24-36)</t>
  </si>
  <si>
    <t>n=125</t>
  </si>
  <si>
    <t>Week 24-36</t>
  </si>
  <si>
    <t>Week 40-52</t>
  </si>
  <si>
    <t>Darbepoetin alfa (week 24-36)</t>
  </si>
  <si>
    <t>n=143</t>
  </si>
  <si>
    <t>Vadustat</t>
  </si>
  <si>
    <t>Darbepoetin alfa</t>
  </si>
  <si>
    <t>Compare to Darbepoetin alfa</t>
  </si>
  <si>
    <t>Vadustat (week 40-52)</t>
  </si>
  <si>
    <t>n=11</t>
  </si>
  <si>
    <t>Hb&gt;12g/dL</t>
  </si>
  <si>
    <t>Darbepoetin alfa (week 40-52)</t>
  </si>
  <si>
    <t>n=131</t>
  </si>
  <si>
    <t>Hb&gt;13g/dL</t>
  </si>
  <si>
    <t>Hb&gt;14 g/dL</t>
  </si>
  <si>
    <t>No significant result</t>
  </si>
  <si>
    <t>Trial teartment modifications</t>
  </si>
  <si>
    <t>Primary evaluation period</t>
  </si>
  <si>
    <t>Secondary evaluation period</t>
  </si>
  <si>
    <t>VADA (week 2-8)</t>
  </si>
  <si>
    <t>n= 152</t>
  </si>
  <si>
    <t>Week 2-8</t>
  </si>
  <si>
    <t>Week 10-20</t>
  </si>
  <si>
    <t>DA (week 2-8)</t>
  </si>
  <si>
    <t>n=157</t>
  </si>
  <si>
    <t>VADA</t>
  </si>
  <si>
    <t>DA</t>
  </si>
  <si>
    <t>Compare to DA</t>
  </si>
  <si>
    <t>VADA (week 10-20)</t>
  </si>
  <si>
    <t>Number of dose change</t>
  </si>
  <si>
    <t>Mean (SD)</t>
  </si>
  <si>
    <t>DA (week 10-20)</t>
  </si>
  <si>
    <t>ESA rescue</t>
  </si>
  <si>
    <t>VADA (week 24-36)</t>
  </si>
  <si>
    <t>n=152</t>
  </si>
  <si>
    <t>DA (week 24-36)</t>
  </si>
  <si>
    <t>VADA (week 40-52)</t>
  </si>
  <si>
    <t>DA (week 40-52)</t>
  </si>
  <si>
    <r>
      <t xml:space="preserve">TEAEs (the lower the better - </t>
    </r>
    <r>
      <rPr>
        <i/>
        <sz val="13"/>
        <color theme="1"/>
        <rFont val="Arial"/>
        <family val="2"/>
      </rPr>
      <t>serious adverse event</t>
    </r>
    <r>
      <rPr>
        <sz val="13"/>
        <color theme="1"/>
        <rFont val="Arial"/>
        <family val="2"/>
      </rPr>
      <t>)</t>
    </r>
  </si>
  <si>
    <t>n</t>
  </si>
  <si>
    <t>Events</t>
  </si>
  <si>
    <t>N compare to DA</t>
  </si>
  <si>
    <t>Events compare to DA</t>
  </si>
  <si>
    <t>Any TEAEs</t>
  </si>
  <si>
    <t>Severe TEAEs</t>
  </si>
  <si>
    <t>Serious TEAEs</t>
  </si>
  <si>
    <t>TEAEs leading to death</t>
  </si>
  <si>
    <t>INNO2VATE Study 2 - "Safety and Efficacy of Vadadustat for Anemia in Patients Undergoing Dialysis"</t>
  </si>
  <si>
    <t>2016-08</t>
  </si>
  <si>
    <t>NCT02892149</t>
  </si>
  <si>
    <t>Put all the links and title of relevant documents do not forget to add with what search terms you've got the doc and where have you got it (pubmed, uspto,…)</t>
  </si>
  <si>
    <t>Search term</t>
  </si>
  <si>
    <t>Printed</t>
  </si>
  <si>
    <t>Read</t>
  </si>
  <si>
    <t>Relevance out of 5</t>
  </si>
  <si>
    <t>Source</t>
  </si>
  <si>
    <t>Topic</t>
  </si>
  <si>
    <t>Title</t>
  </si>
  <si>
    <t>Akebia Press Releases</t>
  </si>
  <si>
    <t>No</t>
  </si>
  <si>
    <t>1. Akebia Therapeutics Reports Fourth Quarter and Full Year 2023 Financial Results and Recent Business Highlights</t>
  </si>
  <si>
    <t>https://ir.akebia.com/news-releases/news-release-details/akebia-therapeutics-reports-fourth-quarter-and-full-year-2023</t>
  </si>
  <si>
    <t>2. Akebia Receives FDA Acceptance of Resubmission to NDA of Vadadustat for the Treatment of Anemia due to Chronic Kidney Disease</t>
  </si>
  <si>
    <t>https://ir.akebia.com/news-releases/news-release-details/akebia-receives-fda-acceptance-resubmission-nda-vadadustat</t>
  </si>
  <si>
    <t>3. Akebia Therapeutics Announces Five Poster Presentations at ASN Kidney Week 2023</t>
  </si>
  <si>
    <t>https://ir.akebia.com/news-releases/news-release-details/akebia-therapeutics-announces-five-poster-presentations-asn</t>
  </si>
  <si>
    <t>4. Akebia Therapeutics Resubmits New Drug Application to the FDA for Vadadustat</t>
  </si>
  <si>
    <t>https://ir.akebia.com/news-releases/news-release-details/akebia-therapeutics-resubmits-new-drug-application-fda</t>
  </si>
  <si>
    <t>5. Akebia Announces Approval of Vafseo® (vadadustat) in Australia and Provides Commercial Update</t>
  </si>
  <si>
    <t>https://ir.akebia.com/news-releases/news-release-details/akebia-announces-approval-vafseor-vadadustat-australia-and</t>
  </si>
  <si>
    <t>6. Akebia Therapeutics Expects to Resubmit Vadadustat NDA in Third Quarter 2023</t>
  </si>
  <si>
    <t>https://ir.akebia.com/news-releases/news-release-details/akebia-therapeutics-expects-resubmit-vadadustat-nda-third</t>
  </si>
  <si>
    <t>7. Akebia Therapeutics Completed Type A Meeting with the FDA and Expects to Resubmit Vadadustat NDA in Third Quarter 2023</t>
  </si>
  <si>
    <t>https://ir.akebia.com/news-releases/news-release-details/akebia-therapeutics-completed-type-meeting-fda-and-expects</t>
  </si>
  <si>
    <t>8. Akebia Announces Swissmedic Approval of Vafseo® (vadadustat)</t>
  </si>
  <si>
    <t>https://ir.akebia.com/news-releases/news-release-details/akebia-announces-swissmedic-approval-vafseor-vadadustat</t>
  </si>
  <si>
    <t>9. FDA Provides Akebia Therapeutics a Path Forward for Vadadustat</t>
  </si>
  <si>
    <t>https://ir.akebia.com/news-releases/news-release-details/fda-provides-akebia-therapeutics-path-forward-vadadustat</t>
  </si>
  <si>
    <t>10. Akebia Announces UK MHRA Approval of Vafseo® (vadadustat) for the Treatment of Symptomatic Anemia Associated with Chronic Kidney Disease in Adults on Chronic Maintenance Dialysis</t>
  </si>
  <si>
    <t>https://ir.akebia.com/news-releases/news-release-details/akebia-announces-uk-mhra-approval-vafseor-vadadustat-treatment</t>
  </si>
  <si>
    <t>11. Akebia Receives European Commission Approval for Vafseo™ (vadadustat) for the Treatment of Symptomatic Anaemia Associated with Chronic Kidney Disease in Adults on Chronic Maintenance Dialysis</t>
  </si>
  <si>
    <t>https://ir.akebia.com/news-releases/news-release-details/akebia-receives-european-commission-approval-vafseotm-vadadustat</t>
  </si>
  <si>
    <t>12. Akebia Therapeutics Provides Update on Regulatory Process for Vadadustat</t>
  </si>
  <si>
    <t>https://ir.akebia.com/news-releases/news-release-details/akebia-therapeutics-provides-update-regulatory-process</t>
  </si>
  <si>
    <t>13. Akebia Therapeutics Received Interim Response from the FDA to Appeal for Vadadustat for the Treatment of Anemia due to Chronic Kidney Disease</t>
  </si>
  <si>
    <t>https://ir.akebia.com/news-releases/news-release-details/akebia-therapeutics-received-interim-response-fda-appeal</t>
  </si>
  <si>
    <t>14. Akebia Therapeutics Received Interim Response to Appeal for Vadadustat for the Treatment of Anemia due to Chronic Kidney Disease from the FDA</t>
  </si>
  <si>
    <t>https://ir.akebia.com/news-releases/news-release-details/akebia-therapeutics-received-interim-response-appeal-vadadustat</t>
  </si>
  <si>
    <t>15. Akebia Therapeutics Regaining Rights to Vadadustat in the United States, Europe, China and Access Consortium Countries upon Termination of Collaboration and License Agreements with Otsuka</t>
  </si>
  <si>
    <t>https://ir.akebia.com/news-releases/news-release-details/akebia-therapeutics-regaining-rights-vadadustat-united-states</t>
  </si>
  <si>
    <t>16. Akebia Therapeutics Receives Complete Response Letter from the FDA for Vadadustat for the Treatment of Anemia due to Chronic Kidney Disease in Adult Patients</t>
  </si>
  <si>
    <t>https://ir.akebia.com/news-releases/news-release-details/akebia-therapeutics-receives-complete-response-letter-fda</t>
  </si>
  <si>
    <t>Fierce Pharma</t>
  </si>
  <si>
    <t>Competitor</t>
  </si>
  <si>
    <t>1. After rivals' FDA rebuffs, GSK targets class-first oral approval in chronic kidney disease anemia</t>
  </si>
  <si>
    <t>https://www.fiercepharma.com/pharma/after-roxadustat-vadadustat-snubs-glaxosmithklines-daprodustat-could-snag-class-first-us-nod</t>
  </si>
  <si>
    <t>PubMed</t>
  </si>
  <si>
    <t>Yes</t>
  </si>
  <si>
    <t>1. Efficacy of Hypoxia-Inducible Factor Prolyl Hydroxylase Inhibitor on Clinical Parameters in Patients with Heart Failure</t>
  </si>
  <si>
    <t>https://pubmed.ncbi.nlm.nih.gov/38256345/</t>
  </si>
  <si>
    <t>2. Comparison of outcomes on hypoxia-inducible factor prolyl hydroxylase inhibitors (HIF-PHIs) in anaemia associated with chronic kidney disease: network meta-analyses in dialysis and non-dialysis dependent populations</t>
  </si>
  <si>
    <t>https://pubmed.ncbi.nlm.nih.gov/38250252/</t>
  </si>
  <si>
    <t>3. Safety and Efficacy of Hypoxia-Inducible Factor-Prolyl Hydroxylase Inhibitors vs. Erythropoietin-Stimulating Agents in Treating Anemia in Renal Patients (With or Without Dialysis): A Meta-Analysis and Systematic Review</t>
  </si>
  <si>
    <t>https://pubmed.ncbi.nlm.nih.gov/38021836/</t>
  </si>
  <si>
    <t>4. Safety and Efficacy of Hypoxia-Inducible Factor-Prolyl Hydroxylase Inhibitors vs. Erythropoietin-Stimulating Agents in Treating Anemia in Renal Patients (With or Without Dialysis): A Meta-Analysis and Systematic Review</t>
  </si>
  <si>
    <t>5. [New Therapeutic Strategies in the Treatment of CKD Anemia: Hypoxia-Induced Factor Prolyl-Hydroxylase Inhibitors]</t>
  </si>
  <si>
    <t>https://pubmed.ncbi.nlm.nih.gov/38010250/</t>
  </si>
  <si>
    <t>6. The Comparison between Vadadustat and Daprodustat Regarding Dose, Cost, and Safety of Treatment for Renal Anemia in Non-dialysis Patients with Chronic Kidney Diseases</t>
  </si>
  <si>
    <t>https://pubmed.ncbi.nlm.nih.gov/37926547/</t>
  </si>
  <si>
    <t>7. The Comparison between Vadadustat and Daprodustat Regarding Dose, Cost, and Safety of Treatment for Renal Anemia in Non-dialysis Patients with Chronic Kidney Diseases</t>
  </si>
  <si>
    <t>8. Comparative effectiveness and acceptability of HIF prolyl-hydroxylase inhibitors versus for anemia patients with chronic kidney disease undergoing dialysis: a systematic review and network meta-analysis</t>
  </si>
  <si>
    <t>https://pubmed.ncbi.nlm.nih.gov/37521459/</t>
  </si>
  <si>
    <t>10. Overall Adverse Event Profile of Vadadustat versus Darbepoetin Alfa for the Treatment of Anemia Associated with Chronic Kidney Disease in Phase 3 Trials</t>
  </si>
  <si>
    <t>https://pubmed.ncbi.nlm.nih.gov/36450264/</t>
  </si>
  <si>
    <t>11. Efficacy and safety of vadadustat compared to darbepoetin alfa on anemia in patients with chronic kidney disease: a meta-analysis</t>
  </si>
  <si>
    <t>https://pubmed.ncbi.nlm.nih.gov/35960479/</t>
  </si>
  <si>
    <t>12. Preclinical Characterization of Vadadustat (AKB-6548), an Oral Small Molecule Hypoxia-Inducible Factor Prolyl-4-Hydroxylase Inhibitor, for the Potential Treatment of Renal Anemia</t>
  </si>
  <si>
    <t>https://pubmed.ncbi.nlm.nih.gov/35926869/</t>
  </si>
  <si>
    <t>13. Erythropoietic effects of vadadustat in patients with anemia associated with chronic kidney disease</t>
  </si>
  <si>
    <t>https://pubmed.ncbi.nlm.nih.gov/35751858/</t>
  </si>
  <si>
    <t>14. Effects of vadadustat on hemoglobin concentrations in patients receiving hemodialysis previously treated with erythropoiesis-stimulating agents</t>
  </si>
  <si>
    <t>https://pubmed.ncbi.nlm.nih.gov/29672740/</t>
  </si>
  <si>
    <t>INNO2VATE</t>
  </si>
  <si>
    <t>1. Global Phase 3 programme of vadadustat for treatment of anaemia of chronic kidney disease: rationale, study design and baseline characteristics of dialysis-dependent patients in the INNO2VATE trials</t>
  </si>
  <si>
    <t>https://pubmed.ncbi.nlm.nih.gov/33188693/</t>
  </si>
  <si>
    <t>PRO2TECT</t>
  </si>
  <si>
    <t>1. Cardiovascular safety and efficacy of vadadustat for the treatment of anemia in non-dialysis-dependent CKD: Design and baseline characteristics</t>
  </si>
  <si>
    <t>https://pubmed.ncbi.nlm.nih.gov/33129989/</t>
  </si>
  <si>
    <t>Vadustat (Clinical Trials)</t>
  </si>
  <si>
    <t>1. A phase 3, open-label, single-arm study of vadadustat for anemia in chronic kidney disease for Japanese patients on hemodialysis not receiving erythropoiesis-stimulating agents</t>
  </si>
  <si>
    <t>https://pubmed.ncbi.nlm.nih.gov/34115437/</t>
  </si>
  <si>
    <t>2. Effect of Moderate Hepatic Impairment on the Pharmacokinetics of Vadadustat, an Oral Hypoxia-Inducible Factor Prolyl Hydroxylase Inhibitor</t>
  </si>
  <si>
    <t>https://pubmed.ncbi.nlm.nih.gov/33661566/</t>
  </si>
  <si>
    <t>3. Vadadustat for anemia in chronic kidney disease patients on peritoneal dialysis: A phase 3 open-label study in Japan</t>
  </si>
  <si>
    <t>https://pubmed.ncbi.nlm.nih.gov/33283981/</t>
  </si>
  <si>
    <t xml:space="preserve">vadadustat (Industry, Interventional, Phase 3) </t>
  </si>
  <si>
    <t>ClinicalTrials.gov</t>
  </si>
  <si>
    <t>1. Study Evaluating the Efficacy and Safety of Dose Conversion From a Long-acting Erythropoiesis-stimulating Agent (Mircera®) to Three Times Weekly Oral Vadadustat for the Maintenance Treatment of Anemia in Hemodialysis Subjects</t>
  </si>
  <si>
    <t>https://clinicaltrials.gov/study/NCT04707768?term=vadadustat&amp;aggFilters=funderType:industry,phase:3,studyType:int&amp;start=2018-01-01_&amp;rank=3</t>
  </si>
  <si>
    <t>2. Trial Evaluating the Efficacy and Safety of Oral Vadadustat Once Daily (QD) and Three Times Weekly (TIW) for the Maintenance Treatment of Anemia in Hemodialysis Subjects Converting From Erythropoiesis-Stimulating Agents (ESAs)</t>
  </si>
  <si>
    <t>https://clinicaltrials.gov/study/NCT04313153?term=vadadustat&amp;aggFilters=funderType:industry,phase:3,studyType:int&amp;start=2018-01-01_&amp;rank=4</t>
  </si>
  <si>
    <t>3. Efficacy and Safety Study to Evaluate MT-6548 in Hemodialysis Subjects Not Receiving ESAs With Anemia Associated With Chronic Kidney Disease in Japan</t>
  </si>
  <si>
    <t>https://clinicaltrials.gov/study/NCT03461146?term=vadadustat&amp;aggFilters=funderType:industry,phase:3,studyType:int&amp;start=2018-01-01_&amp;rank=6</t>
  </si>
  <si>
    <t>5. Efficacy and Safety Study to Evaluate MT-6548 in Peritoneal Dialysis Subjects With Anemia Associated With Chronic Kidney Disease in Japan</t>
  </si>
  <si>
    <t>https://clinicaltrials.gov/study/NCT03402386?term=vadadustat&amp;aggFilters=funderType:industry,phase:3,studyType:int&amp;start=2018-01-01_&amp;rank=8</t>
  </si>
  <si>
    <t xml:space="preserve">AKB-6548 (Industry, Interventional, Phase 3) </t>
  </si>
  <si>
    <t>1. Study to Evaluate Three Times Per Week (TIW) Oral Dosing of Vadadustat for Anemia in Subjects With Dialysis-Dependent Chronic Kidney Disease (DD-CKD) (TRILOGY)</t>
  </si>
  <si>
    <t>https://clinicaltrials.gov/study/NCT03242967?term=AKB-6548&amp;aggFilters=funderType:industry,phase:3,studyType:int&amp;page=1&amp;limit=50&amp;rank=5</t>
  </si>
  <si>
    <t>2. Efficacy and Safety Study to Evaluate MT-6548 in Non-dialysis Subjects With Anemia Associated With Chronic Kidney Disease in Japan</t>
  </si>
  <si>
    <t>https://clinicaltrials.gov/study/NCT03329196?term=AKB-6548&amp;aggFilters=funderType:industry,phase:3,studyType:int&amp;page=1&amp;limit=50&amp;rank=12</t>
  </si>
  <si>
    <t>vadadusta (clinical trial , Phase 3)</t>
  </si>
  <si>
    <t>1. Vadadustat for treatment of anemia in patients with dialysis-dependent chronic kidney disease receiving peritoneal dialysis</t>
  </si>
  <si>
    <t>https://pubmed.ncbi.nlm.nih.gov/37096396/</t>
  </si>
  <si>
    <t>2. Safety and Efficacy of Vadadustat for Anemia in Patients Undergoing Dialysis</t>
  </si>
  <si>
    <t>https://pubmed.ncbi.nlm.nih.gov/33913638/</t>
  </si>
  <si>
    <t>Associated Trials</t>
  </si>
  <si>
    <t>Efficacy and Safety Study to Evaluate Vadadustat for the Correction or Maintenance Treatment of Anemia in Participants With Incident Dialysis-dependent Chronic Kidney Disease (DD-CKD)</t>
  </si>
  <si>
    <t>https://clinicaltrials.gov/study/NCT02865850</t>
  </si>
  <si>
    <t>Efficacy and Safety Study to Evaluate Vadadustat for the Maintenance Treatment of Anemia in Participants With Dialysis-dependent Chronic Kidney Disease (DD-CKD)</t>
  </si>
  <si>
    <t>https://clinicaltrials.gov/study/NCT02892149</t>
  </si>
  <si>
    <t>1. Vadadustat in Patients with Anemia and Non-Dialysis-Dependent CKD</t>
  </si>
  <si>
    <t>https://pubmed.ncbi.nlm.nih.gov/33913637/</t>
  </si>
  <si>
    <t>2. Safety Endpoints With Vadadustat Versus Darbepoetin Alfa in Patients With Non - Dialysis-Dependent CKD: A Post Hoc Regional Analysis of the PRO2TECT Randomized Clinical Trial of ESA-Treated Patients</t>
  </si>
  <si>
    <t>https://pubmed.ncbi.nlm.nih.gov/37427292/</t>
  </si>
  <si>
    <t>3. Safety Endpoints With Vadadustat Versus Darbepoetin Alfa in Patients With Non-Dialysis-Dependent CKD: A Post Hoc Regional Analysis of the PRO2TECT Randomized Clinical Trial of ESA-Naïve Patients</t>
  </si>
  <si>
    <t>https://pubmed.ncbi.nlm.nih.gov/37427293/</t>
  </si>
  <si>
    <t>Study to Evaluate Vadadustat for the Correction of Anemia in Participants With Non-dialysis-dependent Chronic Kidney Disease</t>
  </si>
  <si>
    <t>https://clinicaltrials.gov/study/NCT02648347</t>
  </si>
  <si>
    <t>Efficacy and Safety Study to Evaluate Vadadustat for the Maintenance Treatment of Anemia in Participants With Non-dialysis-dependent Chronic Kidney Disease (NDD-CKD)</t>
  </si>
  <si>
    <t>https://clinicaltrials.gov/study/NCT02680574</t>
  </si>
  <si>
    <t>1. Efficacy and safety of vadadustat compared with darbepoetin alfa in Japanese anemic patients on hemodialysis: a Phase 3, multicenter, randomized, double-blind study</t>
  </si>
  <si>
    <t>https://pubmed.ncbi.nlm.nih.gov/33650630/</t>
  </si>
  <si>
    <t>Efficacy and Safety Study to Evaluate MT-6548 in Hemodialysis Subjects Currently Receiving ESAs With Anemia Associated With Chronic Kidney Disease in Japan</t>
  </si>
  <si>
    <t>https://clinicaltrials.gov/study/NCT03439137?term=vadadustat&amp;aggFilters=funderType:industry,phase:3,studyType:int&amp;start=2018-01-01_&amp;rank=7</t>
  </si>
  <si>
    <t>1. Clinical Trial of Vadadustat in Patients with Anemia Secondary to Stage 3 or 4 Chronic Kidney Disease</t>
  </si>
  <si>
    <t>https://pubmed.ncbi.nlm.nih.gov/28343225/</t>
  </si>
  <si>
    <t>42-Day Repeat Oral Dose Study of AKB-6548 in Participants With Chronic Kidney Disease and Anemia</t>
  </si>
  <si>
    <t>https://clinicaltrials.gov/study/NCT01381094</t>
  </si>
  <si>
    <t>1. Vadadustat, a novel oral HIF stabilizer, provides effective anemia treatment in nondialysis-dependent chronic kidney disease</t>
  </si>
  <si>
    <t>https://pubmed.ncbi.nlm.nih.gov/27650732/</t>
  </si>
  <si>
    <t>20-Week Repeat Oral Dose Study of AKB-6548 in Participants With Chronic Kidney Disease and Anemia</t>
  </si>
  <si>
    <t>https://clinicaltrials.gov/study/NCT01906489</t>
  </si>
  <si>
    <t>Competitor Drug</t>
  </si>
  <si>
    <t>PDUFA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</si>
</sst>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3"/>
      <color theme="1"/>
      <name val="Arial"/>
      <family val="2"/>
    </font>
    <font>
      <sz val="13"/>
      <color rgb="FF006100"/>
      <name val="Arial"/>
      <family val="2"/>
    </font>
    <font>
      <sz val="13"/>
      <color rgb="FF9C0006"/>
      <name val="Arial"/>
      <family val="2"/>
    </font>
    <font>
      <sz val="13"/>
      <color rgb="FF9C5700"/>
      <name val="Arial"/>
      <family val="2"/>
    </font>
    <font>
      <b/>
      <sz val="13"/>
      <color theme="1"/>
      <name val="Arial"/>
      <family val="2"/>
    </font>
    <font>
      <u/>
      <sz val="13"/>
      <color theme="1"/>
      <name val="Arial"/>
      <family val="2"/>
    </font>
    <font>
      <u/>
      <sz val="13"/>
      <color theme="1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rgb="FF000000"/>
      <name val="Arial"/>
      <family val="2"/>
    </font>
    <font>
      <sz val="13"/>
      <color rgb="FF1B1B1B"/>
      <name val="Arial"/>
      <family val="2"/>
    </font>
    <font>
      <i/>
      <sz val="13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/>
    <xf numFmtId="0" fontId="6" fillId="0" borderId="0" xfId="4"/>
    <xf numFmtId="10" fontId="0" fillId="0" borderId="0" xfId="0" applyNumberFormat="1"/>
    <xf numFmtId="3" fontId="0" fillId="0" borderId="0" xfId="0" applyNumberFormat="1"/>
    <xf numFmtId="3" fontId="4" fillId="0" borderId="0" xfId="0" applyNumberFormat="1" applyFont="1"/>
    <xf numFmtId="0" fontId="6" fillId="0" borderId="1" xfId="4" applyBorder="1"/>
    <xf numFmtId="0" fontId="7" fillId="0" borderId="0" xfId="0" applyFont="1"/>
    <xf numFmtId="4" fontId="4" fillId="0" borderId="0" xfId="0" applyNumberFormat="1" applyFont="1"/>
    <xf numFmtId="0" fontId="8" fillId="0" borderId="0" xfId="0" applyFont="1"/>
    <xf numFmtId="0" fontId="9" fillId="0" borderId="0" xfId="0" applyFont="1"/>
    <xf numFmtId="3" fontId="10" fillId="0" borderId="0" xfId="0" applyNumberFormat="1" applyFont="1"/>
    <xf numFmtId="0" fontId="1" fillId="2" borderId="0" xfId="1"/>
    <xf numFmtId="10" fontId="1" fillId="2" borderId="0" xfId="1" applyNumberFormat="1"/>
    <xf numFmtId="0" fontId="2" fillId="3" borderId="0" xfId="2"/>
    <xf numFmtId="0" fontId="0" fillId="5" borderId="9" xfId="0" applyFill="1" applyBorder="1"/>
    <xf numFmtId="3" fontId="0" fillId="5" borderId="0" xfId="0" applyNumberFormat="1" applyFill="1"/>
    <xf numFmtId="3" fontId="4" fillId="5" borderId="0" xfId="0" applyNumberFormat="1" applyFont="1" applyFill="1"/>
    <xf numFmtId="10" fontId="0" fillId="5" borderId="0" xfId="0" applyNumberFormat="1" applyFill="1"/>
    <xf numFmtId="4" fontId="4" fillId="5" borderId="0" xfId="0" applyNumberFormat="1" applyFont="1" applyFill="1"/>
    <xf numFmtId="0" fontId="0" fillId="5" borderId="0" xfId="0" applyFill="1"/>
    <xf numFmtId="14" fontId="0" fillId="5" borderId="0" xfId="0" applyNumberFormat="1" applyFill="1"/>
    <xf numFmtId="0" fontId="3" fillId="4" borderId="0" xfId="3"/>
    <xf numFmtId="0" fontId="6" fillId="4" borderId="0" xfId="4" applyFill="1"/>
    <xf numFmtId="0" fontId="11" fillId="0" borderId="0" xfId="0" applyFont="1"/>
    <xf numFmtId="0" fontId="0" fillId="0" borderId="0" xfId="0" applyAlignment="1">
      <alignment horizontal="right"/>
    </xf>
    <xf numFmtId="0" fontId="12" fillId="0" borderId="0" xfId="0" applyFont="1"/>
    <xf numFmtId="0" fontId="1" fillId="2" borderId="0" xfId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649606</xdr:colOff>
      <xdr:row>26</xdr:row>
      <xdr:rowOff>74296</xdr:rowOff>
    </xdr:from>
    <xdr:to>
      <xdr:col>12</xdr:col>
      <xdr:colOff>15240</xdr:colOff>
      <xdr:row>41</xdr:row>
      <xdr:rowOff>60904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9B650-6A67-2283-2F74-980216A46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3631" y="5522596"/>
          <a:ext cx="3318509" cy="3129858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552451</xdr:colOff>
      <xdr:row>26</xdr:row>
      <xdr:rowOff>66675</xdr:rowOff>
    </xdr:from>
    <xdr:to>
      <xdr:col>17</xdr:col>
      <xdr:colOff>91701</xdr:colOff>
      <xdr:row>40</xdr:row>
      <xdr:rowOff>59055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245E8B-E2D2-60DB-AB1F-C5D38EA9F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9351" y="5514975"/>
          <a:ext cx="3492125" cy="2926080"/>
        </a:xfrm>
        <a:prstGeom prst="rect">
          <a:avLst/>
        </a:prstGeom>
      </xdr:spPr>
    </xdr:pic>
    <xdr:clientData/>
  </xdr:twoCellAnchor>
  <xdr:twoCellAnchor editAs="oneCell">
    <xdr:from>
      <xdr:col>17</xdr:col>
      <xdr:colOff>438150</xdr:colOff>
      <xdr:row>26</xdr:row>
      <xdr:rowOff>142876</xdr:rowOff>
    </xdr:from>
    <xdr:to>
      <xdr:col>21</xdr:col>
      <xdr:colOff>474345</xdr:colOff>
      <xdr:row>40</xdr:row>
      <xdr:rowOff>168487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BCA8D4-0FBD-1791-0D7B-E0B890B3D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77925" y="5591176"/>
          <a:ext cx="3198495" cy="294978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</xdr:colOff>
      <xdr:row>43</xdr:row>
      <xdr:rowOff>53340</xdr:rowOff>
    </xdr:from>
    <xdr:to>
      <xdr:col>12</xdr:col>
      <xdr:colOff>476250</xdr:colOff>
      <xdr:row>59</xdr:row>
      <xdr:rowOff>1385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717CA9-3BDB-9C13-A2EE-630D47813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39840" y="9063990"/>
          <a:ext cx="3623310" cy="3289415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43</xdr:row>
      <xdr:rowOff>102870</xdr:rowOff>
    </xdr:from>
    <xdr:to>
      <xdr:col>17</xdr:col>
      <xdr:colOff>91440</xdr:colOff>
      <xdr:row>58</xdr:row>
      <xdr:rowOff>56903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3DCA1-3282-54C9-EA09-2E8545C67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85095" y="9113520"/>
          <a:ext cx="3246120" cy="3104903"/>
        </a:xfrm>
        <a:prstGeom prst="rect">
          <a:avLst/>
        </a:prstGeom>
      </xdr:spPr>
    </xdr:pic>
    <xdr:clientData/>
  </xdr:twoCellAnchor>
  <xdr:twoCellAnchor editAs="oneCell">
    <xdr:from>
      <xdr:col>17</xdr:col>
      <xdr:colOff>504826</xdr:colOff>
      <xdr:row>43</xdr:row>
      <xdr:rowOff>190500</xdr:rowOff>
    </xdr:from>
    <xdr:to>
      <xdr:col>21</xdr:col>
      <xdr:colOff>56035</xdr:colOff>
      <xdr:row>58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D3F392-EA44-4A07-E5E2-A29EBCA59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44601" y="9201150"/>
          <a:ext cx="2721129" cy="3036570"/>
        </a:xfrm>
        <a:prstGeom prst="rect">
          <a:avLst/>
        </a:prstGeom>
      </xdr:spPr>
    </xdr:pic>
    <xdr:clientData/>
  </xdr:twoCellAnchor>
  <xdr:twoCellAnchor editAs="oneCell">
    <xdr:from>
      <xdr:col>13</xdr:col>
      <xdr:colOff>721993</xdr:colOff>
      <xdr:row>0</xdr:row>
      <xdr:rowOff>91440</xdr:rowOff>
    </xdr:from>
    <xdr:to>
      <xdr:col>17</xdr:col>
      <xdr:colOff>142874</xdr:colOff>
      <xdr:row>18</xdr:row>
      <xdr:rowOff>160131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9A737A7-58C5-8460-B459-B4B7B690B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99468" y="91440"/>
          <a:ext cx="2583181" cy="38405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76200</xdr:rowOff>
    </xdr:from>
    <xdr:to>
      <xdr:col>21</xdr:col>
      <xdr:colOff>476250</xdr:colOff>
      <xdr:row>51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84C96C8-AE04-0A19-700D-5BA2CE14A1B5}"/>
            </a:ext>
          </a:extLst>
        </xdr:cNvPr>
        <xdr:cNvCxnSpPr/>
      </xdr:nvCxnSpPr>
      <xdr:spPr>
        <a:xfrm>
          <a:off x="0" y="10763250"/>
          <a:ext cx="17183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54</xdr:row>
      <xdr:rowOff>102870</xdr:rowOff>
    </xdr:from>
    <xdr:to>
      <xdr:col>21</xdr:col>
      <xdr:colOff>476250</xdr:colOff>
      <xdr:row>54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BF11DDC-9119-4AEA-B4A7-74908DEC9BF8}"/>
            </a:ext>
          </a:extLst>
        </xdr:cNvPr>
        <xdr:cNvCxnSpPr/>
      </xdr:nvCxnSpPr>
      <xdr:spPr>
        <a:xfrm>
          <a:off x="0" y="11418570"/>
          <a:ext cx="17183100" cy="114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94</xdr:row>
      <xdr:rowOff>87630</xdr:rowOff>
    </xdr:from>
    <xdr:to>
      <xdr:col>21</xdr:col>
      <xdr:colOff>485775</xdr:colOff>
      <xdr:row>94</xdr:row>
      <xdr:rowOff>104775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52F04CE-16F7-4802-AB15-C6FBA4414394}"/>
            </a:ext>
          </a:extLst>
        </xdr:cNvPr>
        <xdr:cNvCxnSpPr/>
      </xdr:nvCxnSpPr>
      <xdr:spPr>
        <a:xfrm>
          <a:off x="9525" y="19785330"/>
          <a:ext cx="17183100" cy="171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</xdr:colOff>
      <xdr:row>98</xdr:row>
      <xdr:rowOff>100965</xdr:rowOff>
    </xdr:from>
    <xdr:to>
      <xdr:col>21</xdr:col>
      <xdr:colOff>483870</xdr:colOff>
      <xdr:row>98</xdr:row>
      <xdr:rowOff>110490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AF03240-0000-4970-A247-E0D05A5557E9}"/>
            </a:ext>
          </a:extLst>
        </xdr:cNvPr>
        <xdr:cNvCxnSpPr/>
      </xdr:nvCxnSpPr>
      <xdr:spPr>
        <a:xfrm>
          <a:off x="11430" y="20636865"/>
          <a:ext cx="1717929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102</xdr:row>
      <xdr:rowOff>64770</xdr:rowOff>
    </xdr:from>
    <xdr:to>
      <xdr:col>21</xdr:col>
      <xdr:colOff>472440</xdr:colOff>
      <xdr:row>102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73A5467-1098-434F-9836-4A269EEC9303}"/>
            </a:ext>
          </a:extLst>
        </xdr:cNvPr>
        <xdr:cNvCxnSpPr/>
      </xdr:nvCxnSpPr>
      <xdr:spPr>
        <a:xfrm>
          <a:off x="0" y="21438870"/>
          <a:ext cx="17179290" cy="209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112</xdr:row>
      <xdr:rowOff>83820</xdr:rowOff>
    </xdr:from>
    <xdr:to>
      <xdr:col>21</xdr:col>
      <xdr:colOff>468630</xdr:colOff>
      <xdr:row>112</xdr:row>
      <xdr:rowOff>106680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3C01462-953C-4087-BCA3-1E95FB377576}"/>
            </a:ext>
          </a:extLst>
        </xdr:cNvPr>
        <xdr:cNvCxnSpPr/>
      </xdr:nvCxnSpPr>
      <xdr:spPr>
        <a:xfrm>
          <a:off x="9525" y="23553420"/>
          <a:ext cx="17165955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</xdr:colOff>
      <xdr:row>132</xdr:row>
      <xdr:rowOff>106680</xdr:rowOff>
    </xdr:from>
    <xdr:to>
      <xdr:col>21</xdr:col>
      <xdr:colOff>468630</xdr:colOff>
      <xdr:row>132</xdr:row>
      <xdr:rowOff>112395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7E61B01-E36A-4DD1-A7F7-EE1E82988A4C}"/>
            </a:ext>
          </a:extLst>
        </xdr:cNvPr>
        <xdr:cNvCxnSpPr/>
      </xdr:nvCxnSpPr>
      <xdr:spPr>
        <a:xfrm>
          <a:off x="1905" y="27767280"/>
          <a:ext cx="17173575" cy="57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125</xdr:row>
      <xdr:rowOff>72390</xdr:rowOff>
    </xdr:from>
    <xdr:to>
      <xdr:col>21</xdr:col>
      <xdr:colOff>468630</xdr:colOff>
      <xdr:row>125</xdr:row>
      <xdr:rowOff>78105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5CC1722-C153-4E16-8C38-7F3D4922D7D0}"/>
            </a:ext>
          </a:extLst>
        </xdr:cNvPr>
        <xdr:cNvCxnSpPr/>
      </xdr:nvCxnSpPr>
      <xdr:spPr>
        <a:xfrm>
          <a:off x="0" y="26266140"/>
          <a:ext cx="17175480" cy="57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ir.akebia.com/news-releases/news-release-details/akebia-therapeutics-received-interim-response-fda-appeal" TargetMode="External"/><Relationship Id="rId18" Type="http://schemas.openxmlformats.org/officeDocument/2006/relationships/hyperlink" Target="https://pubmed.ncbi.nlm.nih.gov/38256345/" TargetMode="External"/><Relationship Id="rId26" Type="http://schemas.openxmlformats.org/officeDocument/2006/relationships/hyperlink" Target="https://pubmed.ncbi.nlm.nih.gov/37427293/" TargetMode="External"/><Relationship Id="rId39" Type="http://schemas.openxmlformats.org/officeDocument/2006/relationships/hyperlink" Target="https://pubmed.ncbi.nlm.nih.gov/33283981/" TargetMode="External"/><Relationship Id="rId21" Type="http://schemas.openxmlformats.org/officeDocument/2006/relationships/hyperlink" Target="https://pubmed.ncbi.nlm.nih.gov/38021836/" TargetMode="External"/><Relationship Id="rId34" Type="http://schemas.openxmlformats.org/officeDocument/2006/relationships/hyperlink" Target="https://pubmed.ncbi.nlm.nih.gov/33913637/" TargetMode="External"/><Relationship Id="rId42" Type="http://schemas.openxmlformats.org/officeDocument/2006/relationships/hyperlink" Target="https://clinicaltrials.gov/study/NCT03461146?term=vadadustat&amp;aggFilters=funderType:industry,phase:3,studyType:int&amp;start=2018-01-01_&amp;rank=6" TargetMode="External"/><Relationship Id="rId47" Type="http://schemas.openxmlformats.org/officeDocument/2006/relationships/hyperlink" Target="https://clinicaltrials.gov/study/NCT02648347" TargetMode="External"/><Relationship Id="rId50" Type="http://schemas.openxmlformats.org/officeDocument/2006/relationships/hyperlink" Target="https://clinicaltrials.gov/study/NCT01381094" TargetMode="External"/><Relationship Id="rId55" Type="http://schemas.openxmlformats.org/officeDocument/2006/relationships/hyperlink" Target="https://clinicaltrials.gov/study/NCT03329196?term=AKB-6548&amp;aggFilters=funderType:industry,phase:3,studyType:int&amp;page=1&amp;limit=50&amp;rank=12" TargetMode="External"/><Relationship Id="rId7" Type="http://schemas.openxmlformats.org/officeDocument/2006/relationships/hyperlink" Target="https://ir.akebia.com/news-releases/news-release-details/akebia-therapeutics-completed-type-meeting-fda-and-expects" TargetMode="External"/><Relationship Id="rId2" Type="http://schemas.openxmlformats.org/officeDocument/2006/relationships/hyperlink" Target="https://ir.akebia.com/news-releases/news-release-details/akebia-therapeutics-reports-fourth-quarter-and-full-year-2023" TargetMode="External"/><Relationship Id="rId16" Type="http://schemas.openxmlformats.org/officeDocument/2006/relationships/hyperlink" Target="https://ir.akebia.com/news-releases/news-release-details/akebia-therapeutics-receives-complete-response-letter-fda" TargetMode="External"/><Relationship Id="rId29" Type="http://schemas.openxmlformats.org/officeDocument/2006/relationships/hyperlink" Target="https://pubmed.ncbi.nlm.nih.gov/35960479/" TargetMode="External"/><Relationship Id="rId11" Type="http://schemas.openxmlformats.org/officeDocument/2006/relationships/hyperlink" Target="https://ir.akebia.com/news-releases/news-release-details/akebia-receives-european-commission-approval-vafseotm-vadadustat" TargetMode="External"/><Relationship Id="rId24" Type="http://schemas.openxmlformats.org/officeDocument/2006/relationships/hyperlink" Target="https://pubmed.ncbi.nlm.nih.gov/37926547/" TargetMode="External"/><Relationship Id="rId32" Type="http://schemas.openxmlformats.org/officeDocument/2006/relationships/hyperlink" Target="https://pubmed.ncbi.nlm.nih.gov/33913638/" TargetMode="External"/><Relationship Id="rId37" Type="http://schemas.openxmlformats.org/officeDocument/2006/relationships/hyperlink" Target="https://pubmed.ncbi.nlm.nih.gov/33661566/" TargetMode="External"/><Relationship Id="rId40" Type="http://schemas.openxmlformats.org/officeDocument/2006/relationships/hyperlink" Target="https://clinicaltrials.gov/study/NCT04707768?term=vadadustat&amp;aggFilters=funderType:industry,phase:3,studyType:int&amp;start=2018-01-01_&amp;rank=3" TargetMode="External"/><Relationship Id="rId45" Type="http://schemas.openxmlformats.org/officeDocument/2006/relationships/hyperlink" Target="https://clinicaltrials.gov/study/NCT02865850" TargetMode="External"/><Relationship Id="rId53" Type="http://schemas.openxmlformats.org/officeDocument/2006/relationships/hyperlink" Target="https://pubmed.ncbi.nlm.nih.gov/37427292/" TargetMode="External"/><Relationship Id="rId5" Type="http://schemas.openxmlformats.org/officeDocument/2006/relationships/hyperlink" Target="https://ir.akebia.com/news-releases/news-release-details/akebia-announces-approval-vafseor-vadadustat-australia-and" TargetMode="External"/><Relationship Id="rId19" Type="http://schemas.openxmlformats.org/officeDocument/2006/relationships/hyperlink" Target="https://pubmed.ncbi.nlm.nih.gov/38250252/" TargetMode="External"/><Relationship Id="rId4" Type="http://schemas.openxmlformats.org/officeDocument/2006/relationships/hyperlink" Target="https://ir.akebia.com/news-releases/news-release-details/akebia-therapeutics-resubmits-new-drug-application-fda" TargetMode="External"/><Relationship Id="rId9" Type="http://schemas.openxmlformats.org/officeDocument/2006/relationships/hyperlink" Target="https://ir.akebia.com/news-releases/news-release-details/fda-provides-akebia-therapeutics-path-forward-vadadustat" TargetMode="External"/><Relationship Id="rId14" Type="http://schemas.openxmlformats.org/officeDocument/2006/relationships/hyperlink" Target="https://ir.akebia.com/news-releases/news-release-details/akebia-therapeutics-received-interim-response-appeal-vadadustat" TargetMode="External"/><Relationship Id="rId22" Type="http://schemas.openxmlformats.org/officeDocument/2006/relationships/hyperlink" Target="https://pubmed.ncbi.nlm.nih.gov/38010250/" TargetMode="External"/><Relationship Id="rId27" Type="http://schemas.openxmlformats.org/officeDocument/2006/relationships/hyperlink" Target="https://pubmed.ncbi.nlm.nih.gov/37096396/" TargetMode="External"/><Relationship Id="rId30" Type="http://schemas.openxmlformats.org/officeDocument/2006/relationships/hyperlink" Target="https://pubmed.ncbi.nlm.nih.gov/35926869/" TargetMode="External"/><Relationship Id="rId35" Type="http://schemas.openxmlformats.org/officeDocument/2006/relationships/hyperlink" Target="https://pubmed.ncbi.nlm.nih.gov/33129989/" TargetMode="External"/><Relationship Id="rId43" Type="http://schemas.openxmlformats.org/officeDocument/2006/relationships/hyperlink" Target="https://clinicaltrials.gov/study/NCT03439137?term=vadadustat&amp;aggFilters=funderType:industry,phase:3,studyType:int&amp;start=2018-01-01_&amp;rank=7" TargetMode="External"/><Relationship Id="rId48" Type="http://schemas.openxmlformats.org/officeDocument/2006/relationships/hyperlink" Target="https://clinicaltrials.gov/study/NCT02680574" TargetMode="External"/><Relationship Id="rId56" Type="http://schemas.openxmlformats.org/officeDocument/2006/relationships/hyperlink" Target="https://pubmed.ncbi.nlm.nih.gov/29672740/" TargetMode="External"/><Relationship Id="rId8" Type="http://schemas.openxmlformats.org/officeDocument/2006/relationships/hyperlink" Target="https://ir.akebia.com/news-releases/news-release-details/akebia-announces-swissmedic-approval-vafseor-vadadustat" TargetMode="External"/><Relationship Id="rId51" Type="http://schemas.openxmlformats.org/officeDocument/2006/relationships/hyperlink" Target="https://pubmed.ncbi.nlm.nih.gov/27650732/" TargetMode="External"/><Relationship Id="rId3" Type="http://schemas.openxmlformats.org/officeDocument/2006/relationships/hyperlink" Target="https://ir.akebia.com/news-releases/news-release-details/akebia-therapeutics-announces-five-poster-presentations-asn" TargetMode="External"/><Relationship Id="rId12" Type="http://schemas.openxmlformats.org/officeDocument/2006/relationships/hyperlink" Target="https://ir.akebia.com/news-releases/news-release-details/akebia-therapeutics-provides-update-regulatory-process" TargetMode="External"/><Relationship Id="rId17" Type="http://schemas.openxmlformats.org/officeDocument/2006/relationships/hyperlink" Target="https://www.fiercepharma.com/pharma/after-roxadustat-vadadustat-snubs-glaxosmithklines-daprodustat-could-snag-class-first-us-nod" TargetMode="External"/><Relationship Id="rId25" Type="http://schemas.openxmlformats.org/officeDocument/2006/relationships/hyperlink" Target="https://pubmed.ncbi.nlm.nih.gov/37521459/" TargetMode="External"/><Relationship Id="rId33" Type="http://schemas.openxmlformats.org/officeDocument/2006/relationships/hyperlink" Target="https://pubmed.ncbi.nlm.nih.gov/33188693/" TargetMode="External"/><Relationship Id="rId38" Type="http://schemas.openxmlformats.org/officeDocument/2006/relationships/hyperlink" Target="https://pubmed.ncbi.nlm.nih.gov/33650630/" TargetMode="External"/><Relationship Id="rId46" Type="http://schemas.openxmlformats.org/officeDocument/2006/relationships/hyperlink" Target="https://clinicaltrials.gov/study/NCT02892149" TargetMode="External"/><Relationship Id="rId20" Type="http://schemas.openxmlformats.org/officeDocument/2006/relationships/hyperlink" Target="https://pubmed.ncbi.nlm.nih.gov/38021836/" TargetMode="External"/><Relationship Id="rId41" Type="http://schemas.openxmlformats.org/officeDocument/2006/relationships/hyperlink" Target="https://clinicaltrials.gov/study/NCT04313153?term=vadadustat&amp;aggFilters=funderType:industry,phase:3,studyType:int&amp;start=2018-01-01_&amp;rank=4" TargetMode="External"/><Relationship Id="rId54" Type="http://schemas.openxmlformats.org/officeDocument/2006/relationships/hyperlink" Target="https://clinicaltrials.gov/study/NCT03242967?term=AKB-6548&amp;aggFilters=funderType:industry,phase:3,studyType:int&amp;page=1&amp;limit=50&amp;rank=5" TargetMode="External"/><Relationship Id="rId1" Type="http://schemas.openxmlformats.org/officeDocument/2006/relationships/hyperlink" Target="https://ir.akebia.com/news-releases/news-release-details/akebia-receives-fda-acceptance-resubmission-nda-vadadustat" TargetMode="External"/><Relationship Id="rId6" Type="http://schemas.openxmlformats.org/officeDocument/2006/relationships/hyperlink" Target="https://ir.akebia.com/news-releases/news-release-details/akebia-therapeutics-expects-resubmit-vadadustat-nda-third" TargetMode="External"/><Relationship Id="rId15" Type="http://schemas.openxmlformats.org/officeDocument/2006/relationships/hyperlink" Target="https://ir.akebia.com/news-releases/news-release-details/akebia-therapeutics-regaining-rights-vadadustat-united-states" TargetMode="External"/><Relationship Id="rId23" Type="http://schemas.openxmlformats.org/officeDocument/2006/relationships/hyperlink" Target="https://pubmed.ncbi.nlm.nih.gov/37926547/" TargetMode="External"/><Relationship Id="rId28" Type="http://schemas.openxmlformats.org/officeDocument/2006/relationships/hyperlink" Target="https://pubmed.ncbi.nlm.nih.gov/36450264/" TargetMode="External"/><Relationship Id="rId36" Type="http://schemas.openxmlformats.org/officeDocument/2006/relationships/hyperlink" Target="https://pubmed.ncbi.nlm.nih.gov/34115437/" TargetMode="External"/><Relationship Id="rId49" Type="http://schemas.openxmlformats.org/officeDocument/2006/relationships/hyperlink" Target="https://pubmed.ncbi.nlm.nih.gov/28343225/" TargetMode="External"/><Relationship Id="rId57" Type="http://schemas.openxmlformats.org/officeDocument/2006/relationships/drawing" Target="../drawings/drawing2.xml"/><Relationship Id="rId10" Type="http://schemas.openxmlformats.org/officeDocument/2006/relationships/hyperlink" Target="https://ir.akebia.com/news-releases/news-release-details/akebia-announces-uk-mhra-approval-vafseor-vadadustat-treatment" TargetMode="External"/><Relationship Id="rId31" Type="http://schemas.openxmlformats.org/officeDocument/2006/relationships/hyperlink" Target="https://pubmed.ncbi.nlm.nih.gov/35751858/" TargetMode="External"/><Relationship Id="rId44" Type="http://schemas.openxmlformats.org/officeDocument/2006/relationships/hyperlink" Target="https://clinicaltrials.gov/study/NCT03402386?term=vadadustat&amp;aggFilters=funderType:industry,phase:3,studyType:int&amp;start=2018-01-01_&amp;rank=8" TargetMode="External"/><Relationship Id="rId52" Type="http://schemas.openxmlformats.org/officeDocument/2006/relationships/hyperlink" Target="https://clinicaltrials.gov/study/NCT019064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5DEC-7993-4846-9604-FE87846CE200}">
  <dimension ref="A1:Q22"/>
  <sheetViews>
    <sheetView workbookViewId="0">
      <selection activeCell="E11" sqref="E11"/>
    </sheetView>
  </sheetViews>
  <sheetFormatPr defaultRowHeight="16.8" x14ac:dyDescent="0.3"/>
  <sheetData>
    <row r="1" spans="1:17" x14ac:dyDescent="0.3">
      <c r="A1" t="s">
        <v>0</v>
      </c>
    </row>
    <row r="2" spans="1:17" x14ac:dyDescent="0.3">
      <c r="A2" t="s">
        <v>1</v>
      </c>
    </row>
    <row r="3" spans="1:17" x14ac:dyDescent="0.3">
      <c r="C3" s="6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8" t="s">
        <v>7</v>
      </c>
      <c r="L3" t="s">
        <v>8</v>
      </c>
      <c r="Q3" t="s">
        <v>9</v>
      </c>
    </row>
    <row r="4" spans="1:17" x14ac:dyDescent="0.3">
      <c r="C4" s="19" t="s">
        <v>10</v>
      </c>
      <c r="D4" t="s">
        <v>11</v>
      </c>
      <c r="E4" t="s">
        <v>381</v>
      </c>
      <c r="H4" s="2"/>
      <c r="L4" t="s">
        <v>12</v>
      </c>
      <c r="P4" t="s">
        <v>12</v>
      </c>
      <c r="Q4">
        <v>108</v>
      </c>
    </row>
    <row r="5" spans="1:17" x14ac:dyDescent="0.3">
      <c r="C5" s="1"/>
      <c r="H5" s="2"/>
      <c r="L5" t="s">
        <v>13</v>
      </c>
      <c r="P5" t="s">
        <v>14</v>
      </c>
      <c r="Q5">
        <v>298</v>
      </c>
    </row>
    <row r="6" spans="1:17" x14ac:dyDescent="0.3">
      <c r="C6" s="1"/>
      <c r="H6" s="2"/>
      <c r="L6" t="s">
        <v>14</v>
      </c>
      <c r="P6" t="s">
        <v>15</v>
      </c>
      <c r="Q6">
        <v>56</v>
      </c>
    </row>
    <row r="7" spans="1:17" x14ac:dyDescent="0.3">
      <c r="C7" s="1"/>
      <c r="H7" s="2"/>
      <c r="L7" t="s">
        <v>15</v>
      </c>
    </row>
    <row r="8" spans="1:17" x14ac:dyDescent="0.3">
      <c r="C8" s="1"/>
      <c r="H8" s="2"/>
      <c r="L8" t="s">
        <v>16</v>
      </c>
      <c r="P8" t="s">
        <v>17</v>
      </c>
      <c r="Q8">
        <v>6.8703703703703702</v>
      </c>
    </row>
    <row r="9" spans="1:17" x14ac:dyDescent="0.3">
      <c r="C9" s="1"/>
      <c r="H9" s="2"/>
    </row>
    <row r="10" spans="1:17" x14ac:dyDescent="0.3">
      <c r="C10" s="3"/>
      <c r="D10" s="4"/>
      <c r="E10" s="4"/>
      <c r="F10" s="4"/>
      <c r="G10" s="4"/>
      <c r="H10" s="5"/>
    </row>
    <row r="19" spans="3:4" x14ac:dyDescent="0.3">
      <c r="C19" t="s">
        <v>18</v>
      </c>
      <c r="D19" t="s">
        <v>19</v>
      </c>
    </row>
    <row r="21" spans="3:4" x14ac:dyDescent="0.3">
      <c r="C21" t="s">
        <v>20</v>
      </c>
    </row>
    <row r="22" spans="3:4" x14ac:dyDescent="0.3">
      <c r="C22" t="s">
        <v>21</v>
      </c>
    </row>
  </sheetData>
  <hyperlinks>
    <hyperlink ref="C4" location="Vadadustat!A1" display="Vadadustat" xr:uid="{AF9D1DF5-A3D4-47F7-AAF9-00D99A7191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1E66-8A42-4E06-8B4C-E1B99A5D59DD}">
  <dimension ref="A1:EH76"/>
  <sheetViews>
    <sheetView workbookViewId="0">
      <pane xSplit="1" topLeftCell="B1" activePane="topRight" state="frozen"/>
      <selection pane="topRight" activeCell="A2" sqref="A2"/>
    </sheetView>
  </sheetViews>
  <sheetFormatPr defaultRowHeight="16.8" x14ac:dyDescent="0.3"/>
  <cols>
    <col min="1" max="1" width="31" customWidth="1"/>
    <col min="2" max="2" width="10.75" bestFit="1" customWidth="1"/>
    <col min="3" max="3" width="10.33203125" customWidth="1"/>
    <col min="4" max="5" width="10.4140625" customWidth="1"/>
    <col min="6" max="6" width="10.4140625" style="33" customWidth="1"/>
    <col min="7" max="7" width="11.25" customWidth="1"/>
    <col min="8" max="8" width="11.4140625" customWidth="1"/>
    <col min="9" max="9" width="12" customWidth="1"/>
    <col min="10" max="10" width="11.75" customWidth="1"/>
    <col min="11" max="11" width="12.33203125" style="33" customWidth="1"/>
    <col min="12" max="14" width="10.75" bestFit="1" customWidth="1"/>
    <col min="15" max="15" width="11.75" customWidth="1"/>
    <col min="16" max="16" width="10.75" style="33" bestFit="1" customWidth="1"/>
    <col min="17" max="19" width="10.75" bestFit="1" customWidth="1"/>
    <col min="20" max="20" width="11.6640625" customWidth="1"/>
    <col min="21" max="21" width="10.75" style="33" bestFit="1" customWidth="1"/>
    <col min="22" max="24" width="10.75" bestFit="1" customWidth="1"/>
    <col min="25" max="25" width="12.08203125" customWidth="1"/>
    <col min="26" max="26" width="10.75" style="33" bestFit="1" customWidth="1"/>
  </cols>
  <sheetData>
    <row r="1" spans="1:44" x14ac:dyDescent="0.3">
      <c r="B1" s="13">
        <v>43555</v>
      </c>
      <c r="C1" s="13">
        <v>43646</v>
      </c>
      <c r="D1" s="13">
        <v>43738</v>
      </c>
      <c r="E1" s="13">
        <v>43830</v>
      </c>
      <c r="F1" s="34"/>
      <c r="G1" s="13">
        <v>43921</v>
      </c>
      <c r="H1" s="13">
        <v>44012</v>
      </c>
      <c r="I1" s="13">
        <v>44104</v>
      </c>
      <c r="J1" s="13">
        <v>44196</v>
      </c>
      <c r="K1" s="34"/>
      <c r="L1" s="13">
        <v>44286</v>
      </c>
      <c r="M1" s="13">
        <v>44377</v>
      </c>
      <c r="N1" s="13">
        <v>44469</v>
      </c>
      <c r="O1" s="13">
        <v>44561</v>
      </c>
      <c r="Q1" s="13">
        <v>44651</v>
      </c>
      <c r="R1" s="13">
        <v>44742</v>
      </c>
      <c r="S1" s="13">
        <v>44834</v>
      </c>
      <c r="T1" s="13">
        <v>44926</v>
      </c>
      <c r="V1" s="13">
        <v>45016</v>
      </c>
      <c r="W1" s="13">
        <v>45107</v>
      </c>
      <c r="X1" s="13">
        <v>45199</v>
      </c>
      <c r="Y1" s="13">
        <v>45291</v>
      </c>
    </row>
    <row r="2" spans="1:44" s="9" customFormat="1" x14ac:dyDescent="0.3">
      <c r="B2" s="9" t="s">
        <v>22</v>
      </c>
      <c r="C2" s="9" t="s">
        <v>23</v>
      </c>
      <c r="D2" s="9" t="s">
        <v>24</v>
      </c>
      <c r="E2" s="9" t="s">
        <v>25</v>
      </c>
      <c r="F2" s="28">
        <v>2019</v>
      </c>
      <c r="G2" s="9" t="s">
        <v>26</v>
      </c>
      <c r="H2" s="9" t="s">
        <v>27</v>
      </c>
      <c r="I2" s="9" t="s">
        <v>28</v>
      </c>
      <c r="J2" s="9" t="s">
        <v>29</v>
      </c>
      <c r="K2" s="28">
        <v>2020</v>
      </c>
      <c r="L2" s="9" t="s">
        <v>30</v>
      </c>
      <c r="M2" s="9" t="s">
        <v>31</v>
      </c>
      <c r="N2" s="9" t="s">
        <v>32</v>
      </c>
      <c r="O2" s="9" t="s">
        <v>33</v>
      </c>
      <c r="P2" s="28">
        <v>2021</v>
      </c>
      <c r="Q2" s="9" t="s">
        <v>34</v>
      </c>
      <c r="R2" s="9" t="s">
        <v>35</v>
      </c>
      <c r="S2" s="9" t="s">
        <v>36</v>
      </c>
      <c r="T2" s="9" t="s">
        <v>37</v>
      </c>
      <c r="U2" s="28">
        <v>2022</v>
      </c>
      <c r="V2" s="9" t="s">
        <v>38</v>
      </c>
      <c r="W2" s="9" t="s">
        <v>39</v>
      </c>
      <c r="X2" s="9" t="s">
        <v>40</v>
      </c>
      <c r="Y2" s="9" t="s">
        <v>41</v>
      </c>
      <c r="Z2" s="28">
        <v>2023</v>
      </c>
      <c r="AA2" s="9" t="s">
        <v>42</v>
      </c>
    </row>
    <row r="3" spans="1:44" x14ac:dyDescent="0.3">
      <c r="A3" t="s">
        <v>43</v>
      </c>
      <c r="B3" s="17">
        <v>23111</v>
      </c>
      <c r="C3" s="17">
        <v>29089</v>
      </c>
      <c r="D3" s="17">
        <v>30004</v>
      </c>
      <c r="E3" s="17">
        <f>111119-B3-C3-D3</f>
        <v>28915</v>
      </c>
      <c r="F3" s="29">
        <f>B3+C3+D3+E3</f>
        <v>111119</v>
      </c>
      <c r="G3" s="17">
        <v>29209</v>
      </c>
      <c r="H3" s="17">
        <v>30696</v>
      </c>
      <c r="I3" s="17">
        <v>34392</v>
      </c>
      <c r="J3" s="17">
        <f>128901-I3-G3-H3</f>
        <v>34604</v>
      </c>
      <c r="K3" s="29">
        <f t="shared" ref="K3:K10" si="0">G3+H3+I3+J3</f>
        <v>128901</v>
      </c>
      <c r="L3" s="17">
        <v>30408</v>
      </c>
      <c r="M3" s="17">
        <v>32959</v>
      </c>
      <c r="N3" s="17">
        <v>36753</v>
      </c>
      <c r="O3" s="17">
        <f>142216-N3-M3-L3</f>
        <v>42096</v>
      </c>
      <c r="P3" s="29">
        <f t="shared" ref="P3:P10" si="1">L3+M3+N3+O3</f>
        <v>142216</v>
      </c>
      <c r="Q3" s="17">
        <v>41448</v>
      </c>
      <c r="R3" s="17">
        <v>43703</v>
      </c>
      <c r="S3" s="17">
        <v>42239</v>
      </c>
      <c r="T3" s="17">
        <f>177067-Q3-R3-S3</f>
        <v>49677</v>
      </c>
      <c r="U3" s="29">
        <f>T3+R3+Q3+S3</f>
        <v>177067</v>
      </c>
      <c r="V3" s="17">
        <v>34828</v>
      </c>
      <c r="W3" s="17">
        <v>42244</v>
      </c>
      <c r="X3" s="17">
        <v>40118</v>
      </c>
      <c r="Y3" s="17">
        <f>170301-X3-V3-W3</f>
        <v>53111</v>
      </c>
      <c r="Z3" s="29">
        <f>V3+W3+X3+Y3</f>
        <v>170301</v>
      </c>
      <c r="AA3" s="17"/>
      <c r="AB3" s="17"/>
      <c r="AC3" s="17"/>
      <c r="AD3" s="17"/>
      <c r="AE3" s="17"/>
      <c r="AF3" s="17"/>
      <c r="AG3" s="17"/>
      <c r="AH3" s="17"/>
      <c r="AI3" s="17"/>
      <c r="AK3" s="17"/>
      <c r="AL3" s="17"/>
      <c r="AM3" s="17"/>
      <c r="AN3" s="17"/>
      <c r="AO3" s="17"/>
      <c r="AP3" s="17"/>
    </row>
    <row r="4" spans="1:44" x14ac:dyDescent="0.3">
      <c r="A4" t="s">
        <v>44</v>
      </c>
      <c r="B4" s="17">
        <v>49555</v>
      </c>
      <c r="C4" s="17">
        <v>71714</v>
      </c>
      <c r="D4" s="17">
        <v>61973</v>
      </c>
      <c r="E4" s="17">
        <f>223882-B4-C4-D4</f>
        <v>40640</v>
      </c>
      <c r="F4" s="29">
        <f>B4+C4+D4+E4</f>
        <v>223882</v>
      </c>
      <c r="G4" s="17">
        <v>59269</v>
      </c>
      <c r="H4" s="17">
        <v>59446</v>
      </c>
      <c r="I4" s="17">
        <v>25596</v>
      </c>
      <c r="J4" s="17">
        <f>166406-I4-H4-G4</f>
        <v>22095</v>
      </c>
      <c r="K4" s="29">
        <f t="shared" si="0"/>
        <v>166406</v>
      </c>
      <c r="L4" s="17">
        <v>21896</v>
      </c>
      <c r="M4" s="17">
        <v>19954</v>
      </c>
      <c r="N4" s="17">
        <v>12003</v>
      </c>
      <c r="O4" s="17">
        <f>71362-L4-M4-N4</f>
        <v>17509</v>
      </c>
      <c r="P4" s="29">
        <f t="shared" si="1"/>
        <v>71362</v>
      </c>
      <c r="Q4" s="17">
        <v>20251</v>
      </c>
      <c r="R4" s="17">
        <v>83056</v>
      </c>
      <c r="S4" s="17">
        <v>6725</v>
      </c>
      <c r="T4" s="17">
        <f>115535-S4-R4-Q4</f>
        <v>5503</v>
      </c>
      <c r="U4" s="29">
        <f>T4+S4+R4+Q4</f>
        <v>115535</v>
      </c>
      <c r="V4" s="17">
        <v>5299</v>
      </c>
      <c r="W4" s="17">
        <v>14132</v>
      </c>
      <c r="X4" s="17">
        <v>1928</v>
      </c>
      <c r="Y4" s="17">
        <f>24322-X4-V4-W4</f>
        <v>2963</v>
      </c>
      <c r="Z4" s="29">
        <f>Y4+V4+W4+X4</f>
        <v>24322</v>
      </c>
      <c r="AA4" s="17"/>
      <c r="AB4" s="17"/>
      <c r="AC4" s="17"/>
      <c r="AD4" s="17"/>
      <c r="AE4" s="17"/>
      <c r="AF4" s="17"/>
      <c r="AG4" s="17"/>
      <c r="AH4" s="17"/>
      <c r="AI4" s="17"/>
      <c r="AK4" s="17"/>
      <c r="AL4" s="17"/>
      <c r="AM4" s="17"/>
      <c r="AN4" s="17"/>
      <c r="AO4" s="17"/>
      <c r="AP4" s="17"/>
    </row>
    <row r="5" spans="1:44" x14ac:dyDescent="0.3">
      <c r="A5" s="10" t="s">
        <v>45</v>
      </c>
      <c r="B5" s="18">
        <f>B3+B4</f>
        <v>72666</v>
      </c>
      <c r="C5" s="18">
        <f>C3+C4</f>
        <v>100803</v>
      </c>
      <c r="D5" s="18">
        <f>D3+D4</f>
        <v>91977</v>
      </c>
      <c r="E5" s="18">
        <f>E3+E4</f>
        <v>69555</v>
      </c>
      <c r="F5" s="30">
        <f>B5+C5+D5+E5</f>
        <v>335001</v>
      </c>
      <c r="G5" s="18">
        <f>G3+G4</f>
        <v>88478</v>
      </c>
      <c r="H5" s="18">
        <f>H3+H4</f>
        <v>90142</v>
      </c>
      <c r="I5" s="18">
        <f>I3+I4</f>
        <v>59988</v>
      </c>
      <c r="J5" s="18">
        <f>J3+J4</f>
        <v>56699</v>
      </c>
      <c r="K5" s="30">
        <f t="shared" si="0"/>
        <v>295307</v>
      </c>
      <c r="L5" s="18">
        <f>L3+L4</f>
        <v>52304</v>
      </c>
      <c r="M5" s="18">
        <f>M3+M4</f>
        <v>52913</v>
      </c>
      <c r="N5" s="18">
        <f>N3+N4</f>
        <v>48756</v>
      </c>
      <c r="O5" s="18">
        <f>O3+O4</f>
        <v>59605</v>
      </c>
      <c r="P5" s="30">
        <f t="shared" si="1"/>
        <v>213578</v>
      </c>
      <c r="Q5" s="18">
        <f t="shared" ref="Q5:Y5" si="2">Q3+Q4</f>
        <v>61699</v>
      </c>
      <c r="R5" s="18">
        <f t="shared" si="2"/>
        <v>126759</v>
      </c>
      <c r="S5" s="18">
        <f t="shared" si="2"/>
        <v>48964</v>
      </c>
      <c r="T5" s="18">
        <f t="shared" si="2"/>
        <v>55180</v>
      </c>
      <c r="U5" s="30">
        <f t="shared" si="2"/>
        <v>292602</v>
      </c>
      <c r="V5" s="18">
        <f t="shared" si="2"/>
        <v>40127</v>
      </c>
      <c r="W5" s="18">
        <f t="shared" si="2"/>
        <v>56376</v>
      </c>
      <c r="X5" s="18">
        <f t="shared" si="2"/>
        <v>42046</v>
      </c>
      <c r="Y5" s="18">
        <f t="shared" si="2"/>
        <v>56074</v>
      </c>
      <c r="Z5" s="30">
        <f>V5+W5+X5+Y5</f>
        <v>194623</v>
      </c>
      <c r="AA5" s="18">
        <f>AA3+AA4</f>
        <v>0</v>
      </c>
      <c r="AB5" s="17"/>
      <c r="AC5" s="17"/>
      <c r="AD5" s="17"/>
      <c r="AE5" s="17"/>
      <c r="AF5" s="17"/>
      <c r="AG5" s="17"/>
      <c r="AH5" s="17"/>
      <c r="AI5" s="17"/>
      <c r="AK5" s="18"/>
      <c r="AL5" s="18"/>
      <c r="AM5" s="18"/>
      <c r="AN5" s="18"/>
      <c r="AO5" s="17"/>
      <c r="AP5" s="17"/>
    </row>
    <row r="6" spans="1:44" x14ac:dyDescent="0.3">
      <c r="A6" t="s">
        <v>46</v>
      </c>
      <c r="B6" s="17">
        <v>22157</v>
      </c>
      <c r="C6" s="17">
        <v>28569</v>
      </c>
      <c r="D6" s="17">
        <v>29162</v>
      </c>
      <c r="E6" s="17">
        <f>108935-B6-C6-D6</f>
        <v>29047</v>
      </c>
      <c r="F6" s="29">
        <f>B6+C6+D6+E6</f>
        <v>108935</v>
      </c>
      <c r="G6" s="17">
        <v>18613</v>
      </c>
      <c r="H6" s="17">
        <v>49988</v>
      </c>
      <c r="I6" s="17">
        <v>24239</v>
      </c>
      <c r="J6" s="17">
        <f>148866-I6-H6-G6</f>
        <v>56026</v>
      </c>
      <c r="K6" s="29">
        <f t="shared" si="0"/>
        <v>148866</v>
      </c>
      <c r="L6" s="17">
        <v>25595</v>
      </c>
      <c r="M6" s="17">
        <v>43484</v>
      </c>
      <c r="N6" s="17">
        <v>6933</v>
      </c>
      <c r="O6" s="17">
        <f>117352-N6-M6-L6</f>
        <v>41340</v>
      </c>
      <c r="P6" s="29">
        <f t="shared" si="1"/>
        <v>117352</v>
      </c>
      <c r="Q6" s="17">
        <v>22333</v>
      </c>
      <c r="R6" s="17">
        <v>9589</v>
      </c>
      <c r="S6" s="17">
        <v>28936</v>
      </c>
      <c r="T6" s="17">
        <f>48754-S6-R6-Q6</f>
        <v>-12104</v>
      </c>
      <c r="U6" s="29">
        <f>Q6+R6+S6+T6</f>
        <v>48754</v>
      </c>
      <c r="V6" s="17">
        <v>10473</v>
      </c>
      <c r="W6" s="17">
        <v>8273</v>
      </c>
      <c r="X6" s="17">
        <v>8998</v>
      </c>
      <c r="Y6" s="17">
        <f>38107-V6-W6-X6</f>
        <v>10363</v>
      </c>
      <c r="Z6" s="29">
        <f>V6+X6+W6+Y6</f>
        <v>38107</v>
      </c>
      <c r="AA6" s="17"/>
      <c r="AB6" s="17"/>
      <c r="AC6" s="17"/>
      <c r="AD6" s="17"/>
      <c r="AE6" s="17"/>
      <c r="AF6" s="17"/>
      <c r="AG6" s="17"/>
      <c r="AH6" s="17"/>
      <c r="AI6" s="17"/>
      <c r="AK6" s="17"/>
      <c r="AL6" s="17"/>
      <c r="AM6" s="17"/>
      <c r="AN6" s="17"/>
      <c r="AO6" s="17"/>
      <c r="AP6" s="17"/>
    </row>
    <row r="7" spans="1:44" x14ac:dyDescent="0.3">
      <c r="A7" t="s">
        <v>47</v>
      </c>
      <c r="B7" s="17">
        <v>9100</v>
      </c>
      <c r="C7" s="17">
        <v>9100</v>
      </c>
      <c r="D7" s="17">
        <v>9101</v>
      </c>
      <c r="E7" s="17">
        <f>36401-B7-C7-D7</f>
        <v>9100</v>
      </c>
      <c r="F7" s="29">
        <f>B7+C7+D7+E7</f>
        <v>36401</v>
      </c>
      <c r="G7" s="17">
        <v>9100</v>
      </c>
      <c r="H7" s="17">
        <v>9101</v>
      </c>
      <c r="I7" s="17">
        <v>6106</v>
      </c>
      <c r="J7" s="17">
        <f>31515-I7-H7-G7</f>
        <v>7208</v>
      </c>
      <c r="K7" s="29">
        <f t="shared" si="0"/>
        <v>31515</v>
      </c>
      <c r="L7" s="17">
        <v>9011</v>
      </c>
      <c r="M7" s="17">
        <v>9011</v>
      </c>
      <c r="N7" s="17">
        <v>9011</v>
      </c>
      <c r="O7" s="17">
        <f>36042-L7-M7-N7</f>
        <v>9009</v>
      </c>
      <c r="P7" s="29">
        <f t="shared" si="1"/>
        <v>36042</v>
      </c>
      <c r="Q7" s="17">
        <v>9011</v>
      </c>
      <c r="R7" s="17">
        <v>9011</v>
      </c>
      <c r="S7" s="17">
        <v>9011</v>
      </c>
      <c r="T7" s="17">
        <f>36042-S7-R7-Q7</f>
        <v>9009</v>
      </c>
      <c r="U7" s="29">
        <f>Q7+R7+S7+T7</f>
        <v>36042</v>
      </c>
      <c r="V7" s="17">
        <v>9011</v>
      </c>
      <c r="W7" s="17">
        <v>9011</v>
      </c>
      <c r="X7" s="17">
        <v>9011</v>
      </c>
      <c r="Y7" s="17">
        <f>36042-X7-W7-V7</f>
        <v>9009</v>
      </c>
      <c r="Z7" s="29">
        <f>V7+W7+X7+Y7</f>
        <v>36042</v>
      </c>
      <c r="AA7" s="17"/>
      <c r="AB7" s="17"/>
      <c r="AC7" s="17"/>
      <c r="AD7" s="17"/>
      <c r="AE7" s="17"/>
      <c r="AF7" s="17"/>
      <c r="AG7" s="17"/>
      <c r="AH7" s="17"/>
      <c r="AI7" s="17"/>
      <c r="AK7" s="17"/>
      <c r="AL7" s="17"/>
      <c r="AM7" s="17"/>
      <c r="AN7" s="17"/>
      <c r="AO7" s="17"/>
      <c r="AP7" s="17"/>
    </row>
    <row r="8" spans="1:44" x14ac:dyDescent="0.3">
      <c r="A8" t="s">
        <v>48</v>
      </c>
      <c r="B8" s="17"/>
      <c r="C8" s="17"/>
      <c r="D8" s="17"/>
      <c r="E8" s="17"/>
      <c r="F8" s="29"/>
      <c r="G8" s="17">
        <v>0</v>
      </c>
      <c r="H8" s="17">
        <v>115527</v>
      </c>
      <c r="I8" s="17">
        <v>0</v>
      </c>
      <c r="J8" s="17">
        <v>0</v>
      </c>
      <c r="K8" s="29">
        <f t="shared" si="0"/>
        <v>115527</v>
      </c>
      <c r="L8" s="17">
        <v>0</v>
      </c>
      <c r="M8" s="17">
        <v>0</v>
      </c>
      <c r="N8" s="17">
        <v>0</v>
      </c>
      <c r="O8" s="17"/>
      <c r="P8" s="29">
        <f t="shared" si="1"/>
        <v>0</v>
      </c>
      <c r="Q8" s="17">
        <v>0</v>
      </c>
      <c r="R8" s="17">
        <v>0</v>
      </c>
      <c r="S8" s="17">
        <v>0</v>
      </c>
      <c r="T8" s="17">
        <v>0</v>
      </c>
      <c r="U8" s="29">
        <f>Q8+R8+S8+T8</f>
        <v>0</v>
      </c>
      <c r="V8" s="17">
        <v>0</v>
      </c>
      <c r="W8" s="17">
        <v>0</v>
      </c>
      <c r="X8" s="17">
        <v>0</v>
      </c>
      <c r="Y8" s="17">
        <v>0</v>
      </c>
      <c r="Z8" s="29">
        <f>V8+W8+X8+Y8</f>
        <v>0</v>
      </c>
      <c r="AA8" s="17"/>
      <c r="AB8" s="17"/>
      <c r="AC8" s="17"/>
      <c r="AD8" s="17"/>
      <c r="AE8" s="17"/>
      <c r="AF8" s="17"/>
      <c r="AG8" s="17"/>
      <c r="AH8" s="17"/>
      <c r="AI8" s="17"/>
      <c r="AK8" s="17"/>
      <c r="AL8" s="17"/>
      <c r="AM8" s="17"/>
      <c r="AN8" s="17"/>
      <c r="AO8" s="17"/>
      <c r="AP8" s="17"/>
    </row>
    <row r="9" spans="1:44" x14ac:dyDescent="0.3">
      <c r="A9" t="s">
        <v>49</v>
      </c>
      <c r="B9" s="17">
        <f>B6+B7</f>
        <v>31257</v>
      </c>
      <c r="C9" s="17">
        <f>C6+C7</f>
        <v>37669</v>
      </c>
      <c r="D9" s="17">
        <f>D6+D7</f>
        <v>38263</v>
      </c>
      <c r="E9" s="17">
        <f>E6+E7</f>
        <v>38147</v>
      </c>
      <c r="F9" s="29">
        <f>B9+C9+D9+E9</f>
        <v>145336</v>
      </c>
      <c r="G9" s="17">
        <f>G6+G7</f>
        <v>27713</v>
      </c>
      <c r="H9" s="17">
        <f>H6+H7+H8</f>
        <v>174616</v>
      </c>
      <c r="I9" s="17">
        <f>I6+I7+I8</f>
        <v>30345</v>
      </c>
      <c r="J9" s="17">
        <f>J6+J7+J8</f>
        <v>63234</v>
      </c>
      <c r="K9" s="29">
        <f t="shared" si="0"/>
        <v>295908</v>
      </c>
      <c r="L9" s="17">
        <f>L6+L7+L8</f>
        <v>34606</v>
      </c>
      <c r="M9" s="17">
        <f>M6+M7+M8</f>
        <v>52495</v>
      </c>
      <c r="N9" s="17">
        <f>N6+N7+N8</f>
        <v>15944</v>
      </c>
      <c r="O9" s="17">
        <f>O6+O7+O8</f>
        <v>50349</v>
      </c>
      <c r="P9" s="29">
        <f t="shared" si="1"/>
        <v>153394</v>
      </c>
      <c r="Q9" s="17">
        <f t="shared" ref="Q9:Y9" si="3">Q6+Q7+Q8</f>
        <v>31344</v>
      </c>
      <c r="R9" s="17">
        <f t="shared" si="3"/>
        <v>18600</v>
      </c>
      <c r="S9" s="17">
        <f t="shared" si="3"/>
        <v>37947</v>
      </c>
      <c r="T9" s="17">
        <f t="shared" si="3"/>
        <v>-3095</v>
      </c>
      <c r="U9" s="29">
        <f t="shared" si="3"/>
        <v>84796</v>
      </c>
      <c r="V9" s="17">
        <f t="shared" si="3"/>
        <v>19484</v>
      </c>
      <c r="W9" s="17">
        <f t="shared" si="3"/>
        <v>17284</v>
      </c>
      <c r="X9" s="17">
        <f t="shared" si="3"/>
        <v>18009</v>
      </c>
      <c r="Y9" s="17">
        <f t="shared" si="3"/>
        <v>19372</v>
      </c>
      <c r="Z9" s="29">
        <f>V9+W9+X9+Y9</f>
        <v>74149</v>
      </c>
      <c r="AA9" s="17">
        <f>AA6+AA7+AA8</f>
        <v>0</v>
      </c>
      <c r="AB9" s="17"/>
      <c r="AC9" s="17"/>
      <c r="AD9" s="17"/>
      <c r="AE9" s="17"/>
      <c r="AF9" s="17"/>
      <c r="AG9" s="17"/>
      <c r="AH9" s="17"/>
      <c r="AI9" s="17"/>
      <c r="AK9" s="17"/>
      <c r="AL9" s="17"/>
      <c r="AM9" s="17"/>
      <c r="AN9" s="17"/>
      <c r="AO9" s="17"/>
      <c r="AP9" s="17"/>
    </row>
    <row r="10" spans="1:44" x14ac:dyDescent="0.3">
      <c r="A10" s="10" t="s">
        <v>50</v>
      </c>
      <c r="B10" s="18">
        <f>B5-B9</f>
        <v>41409</v>
      </c>
      <c r="C10" s="18">
        <f>C5-C9</f>
        <v>63134</v>
      </c>
      <c r="D10" s="18">
        <f>D5-D9</f>
        <v>53714</v>
      </c>
      <c r="E10" s="18">
        <f>E5-E9</f>
        <v>31408</v>
      </c>
      <c r="F10" s="30">
        <f>B10+C10+D10+E10</f>
        <v>189665</v>
      </c>
      <c r="G10" s="18">
        <f>G5-G9</f>
        <v>60765</v>
      </c>
      <c r="H10" s="18">
        <f>H5-H9</f>
        <v>-84474</v>
      </c>
      <c r="I10" s="18">
        <f>I5-I9</f>
        <v>29643</v>
      </c>
      <c r="J10" s="18">
        <f>J5-J9</f>
        <v>-6535</v>
      </c>
      <c r="K10" s="30">
        <f t="shared" si="0"/>
        <v>-601</v>
      </c>
      <c r="L10" s="18">
        <f>L5-L9</f>
        <v>17698</v>
      </c>
      <c r="M10" s="18">
        <f>M5-M9</f>
        <v>418</v>
      </c>
      <c r="N10" s="18">
        <f>N5-N9</f>
        <v>32812</v>
      </c>
      <c r="O10" s="18">
        <f>O5-O9</f>
        <v>9256</v>
      </c>
      <c r="P10" s="30">
        <f t="shared" si="1"/>
        <v>60184</v>
      </c>
      <c r="Q10" s="18">
        <f t="shared" ref="Q10:Y10" si="4">Q5-Q9</f>
        <v>30355</v>
      </c>
      <c r="R10" s="18">
        <f t="shared" si="4"/>
        <v>108159</v>
      </c>
      <c r="S10" s="18">
        <f t="shared" si="4"/>
        <v>11017</v>
      </c>
      <c r="T10" s="18">
        <f t="shared" si="4"/>
        <v>58275</v>
      </c>
      <c r="U10" s="30">
        <f t="shared" si="4"/>
        <v>207806</v>
      </c>
      <c r="V10" s="18">
        <f t="shared" si="4"/>
        <v>20643</v>
      </c>
      <c r="W10" s="18">
        <f t="shared" si="4"/>
        <v>39092</v>
      </c>
      <c r="X10" s="18">
        <f t="shared" si="4"/>
        <v>24037</v>
      </c>
      <c r="Y10" s="18">
        <f t="shared" si="4"/>
        <v>36702</v>
      </c>
      <c r="Z10" s="30">
        <f>V10+W10+X10+Y10</f>
        <v>120474</v>
      </c>
      <c r="AA10" s="18">
        <f>AA5-AA9</f>
        <v>0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 spans="1:44" x14ac:dyDescent="0.3">
      <c r="A11" t="s">
        <v>51</v>
      </c>
      <c r="B11" s="16">
        <f t="shared" ref="B11:AA11" si="5">B10/B5</f>
        <v>0.56985385187020066</v>
      </c>
      <c r="C11" s="16">
        <f t="shared" si="5"/>
        <v>0.6263107248792199</v>
      </c>
      <c r="D11" s="16">
        <f t="shared" si="5"/>
        <v>0.58399382454309234</v>
      </c>
      <c r="E11" s="16">
        <f t="shared" si="5"/>
        <v>0.45155632233484294</v>
      </c>
      <c r="F11" s="31">
        <f t="shared" si="5"/>
        <v>0.56616248906719679</v>
      </c>
      <c r="G11" s="16">
        <f t="shared" si="5"/>
        <v>0.6867808946856846</v>
      </c>
      <c r="H11" s="16">
        <f t="shared" si="5"/>
        <v>-0.93712143063167008</v>
      </c>
      <c r="I11" s="16">
        <f t="shared" si="5"/>
        <v>0.4941488297659532</v>
      </c>
      <c r="J11" s="16">
        <f t="shared" si="5"/>
        <v>-0.11525776468720789</v>
      </c>
      <c r="K11" s="31">
        <f t="shared" si="5"/>
        <v>-2.035170178830844E-3</v>
      </c>
      <c r="L11" s="16">
        <f t="shared" si="5"/>
        <v>0.33836800244723159</v>
      </c>
      <c r="M11" s="16">
        <f t="shared" si="5"/>
        <v>7.8997599833689272E-3</v>
      </c>
      <c r="N11" s="16">
        <f t="shared" si="5"/>
        <v>0.67298383788661909</v>
      </c>
      <c r="O11" s="16">
        <f t="shared" si="5"/>
        <v>0.15528898582333697</v>
      </c>
      <c r="P11" s="31">
        <f t="shared" si="5"/>
        <v>0.28178932287033309</v>
      </c>
      <c r="Q11" s="16">
        <f t="shared" si="5"/>
        <v>0.49198528339195124</v>
      </c>
      <c r="R11" s="16">
        <f t="shared" si="5"/>
        <v>0.8532648569332355</v>
      </c>
      <c r="S11" s="16">
        <f t="shared" si="5"/>
        <v>0.22500204231680418</v>
      </c>
      <c r="T11" s="16">
        <f t="shared" si="5"/>
        <v>1.0560891627401232</v>
      </c>
      <c r="U11" s="31">
        <f t="shared" si="5"/>
        <v>0.71020020368965353</v>
      </c>
      <c r="V11" s="16">
        <f t="shared" si="5"/>
        <v>0.51444164776833556</v>
      </c>
      <c r="W11" s="16">
        <f t="shared" si="5"/>
        <v>0.69341563786008231</v>
      </c>
      <c r="X11" s="16">
        <f t="shared" si="5"/>
        <v>0.57168339437758642</v>
      </c>
      <c r="Y11" s="16">
        <f t="shared" si="5"/>
        <v>0.65452794521525126</v>
      </c>
      <c r="Z11" s="31">
        <f t="shared" si="5"/>
        <v>0.61901214142213412</v>
      </c>
      <c r="AA11" s="16" t="e">
        <f t="shared" si="5"/>
        <v>#DIV/0!</v>
      </c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4" x14ac:dyDescent="0.3">
      <c r="B12" s="17"/>
      <c r="C12" s="17"/>
      <c r="D12" s="17"/>
      <c r="E12" s="17"/>
      <c r="F12" s="29"/>
      <c r="G12" s="17"/>
      <c r="H12" s="17"/>
      <c r="I12" s="17"/>
      <c r="J12" s="17"/>
      <c r="K12" s="29"/>
      <c r="L12" s="17"/>
      <c r="M12" s="17"/>
      <c r="N12" s="17"/>
      <c r="O12" s="17"/>
      <c r="P12" s="29"/>
      <c r="Q12" s="17"/>
      <c r="R12" s="17"/>
      <c r="S12" s="17"/>
      <c r="T12" s="17"/>
      <c r="U12" s="29"/>
      <c r="V12" s="17"/>
      <c r="W12" s="17"/>
      <c r="X12" s="17"/>
      <c r="Y12" s="17"/>
      <c r="Z12" s="29"/>
      <c r="AA12" s="17"/>
      <c r="AB12" s="17"/>
      <c r="AC12" s="17"/>
      <c r="AD12" s="17"/>
      <c r="AE12" s="17"/>
      <c r="AF12" s="17"/>
      <c r="AG12" s="17"/>
      <c r="AH12" s="17"/>
      <c r="AI12" s="17"/>
      <c r="AK12" s="17"/>
      <c r="AL12" s="17"/>
      <c r="AM12" s="17"/>
      <c r="AN12" s="17"/>
      <c r="AO12" s="17"/>
      <c r="AP12" s="17"/>
    </row>
    <row r="13" spans="1:44" x14ac:dyDescent="0.3">
      <c r="A13" t="s">
        <v>52</v>
      </c>
      <c r="B13" s="17">
        <v>82351</v>
      </c>
      <c r="C13" s="17">
        <v>85694</v>
      </c>
      <c r="D13" s="17">
        <v>74512</v>
      </c>
      <c r="E13" s="17">
        <f>322969-D13-B13-C13</f>
        <v>80412</v>
      </c>
      <c r="F13" s="29">
        <f t="shared" ref="F13:F25" si="6">B13+C13+D13+E13</f>
        <v>322969</v>
      </c>
      <c r="G13" s="17">
        <v>81231</v>
      </c>
      <c r="H13" s="17">
        <v>52819</v>
      </c>
      <c r="I13" s="17">
        <v>46857</v>
      </c>
      <c r="J13" s="17">
        <f>218485-I13-H13-G13</f>
        <v>37578</v>
      </c>
      <c r="K13" s="29">
        <f t="shared" ref="K13:K25" si="7">G13+H13+I13+J13</f>
        <v>218485</v>
      </c>
      <c r="L13" s="17">
        <v>40611</v>
      </c>
      <c r="M13" s="17">
        <v>37214</v>
      </c>
      <c r="N13" s="17">
        <v>40471</v>
      </c>
      <c r="O13" s="17">
        <f>147852-L13-M13-N13</f>
        <v>29556</v>
      </c>
      <c r="P13" s="29">
        <f t="shared" ref="P13:P25" si="8">L13+M13+N13+O13</f>
        <v>147852</v>
      </c>
      <c r="Q13" s="17">
        <v>43833</v>
      </c>
      <c r="R13" s="17">
        <v>26027</v>
      </c>
      <c r="S13" s="17">
        <v>27350</v>
      </c>
      <c r="T13" s="17">
        <f>129114-S13-R13-Q13</f>
        <v>31904</v>
      </c>
      <c r="U13" s="29">
        <f>Q13+R13+S13+T13</f>
        <v>129114</v>
      </c>
      <c r="V13" s="17">
        <v>19686</v>
      </c>
      <c r="W13" s="17">
        <v>20197</v>
      </c>
      <c r="X13" s="17">
        <v>13330</v>
      </c>
      <c r="Y13" s="17">
        <f>63079-V13-W13-X13</f>
        <v>9866</v>
      </c>
      <c r="Z13" s="29">
        <f t="shared" ref="Z13:Z25" si="9">V13+W13+X13+Y13</f>
        <v>63079</v>
      </c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1:44" x14ac:dyDescent="0.3">
      <c r="A14" t="s">
        <v>53</v>
      </c>
      <c r="B14" s="17">
        <v>34291</v>
      </c>
      <c r="C14" s="17">
        <v>36068</v>
      </c>
      <c r="D14" s="17">
        <v>34178</v>
      </c>
      <c r="E14" s="17">
        <f>149455-B14-C14-D14</f>
        <v>44918</v>
      </c>
      <c r="F14" s="29">
        <f t="shared" si="6"/>
        <v>149455</v>
      </c>
      <c r="G14" s="17">
        <v>37983</v>
      </c>
      <c r="H14" s="17">
        <v>35482</v>
      </c>
      <c r="I14" s="17">
        <v>40171</v>
      </c>
      <c r="J14" s="17">
        <f>153947-G14-H14-I14</f>
        <v>40311</v>
      </c>
      <c r="K14" s="29">
        <f t="shared" si="7"/>
        <v>153947</v>
      </c>
      <c r="L14" s="17">
        <v>41328</v>
      </c>
      <c r="M14" s="17">
        <v>41651</v>
      </c>
      <c r="N14" s="17">
        <v>46357</v>
      </c>
      <c r="O14" s="17">
        <f>174161-N14-M14-L14</f>
        <v>44825</v>
      </c>
      <c r="P14" s="29">
        <f t="shared" si="8"/>
        <v>174161</v>
      </c>
      <c r="Q14" s="17">
        <v>44327</v>
      </c>
      <c r="R14" s="17">
        <v>32807</v>
      </c>
      <c r="S14" s="17">
        <v>30918</v>
      </c>
      <c r="T14" s="17">
        <f>138699-Q14-R14-S14</f>
        <v>30647</v>
      </c>
      <c r="U14" s="29">
        <f>Q14+R14+S14+T14</f>
        <v>138699</v>
      </c>
      <c r="V14" s="17">
        <v>25221</v>
      </c>
      <c r="W14" s="17">
        <v>27036</v>
      </c>
      <c r="X14" s="17">
        <v>22710</v>
      </c>
      <c r="Y14" s="17">
        <f>100233-V14-W14-X14</f>
        <v>25266</v>
      </c>
      <c r="Z14" s="29">
        <f t="shared" si="9"/>
        <v>100233</v>
      </c>
      <c r="AA14" s="17"/>
      <c r="AB14" s="17"/>
      <c r="AC14" s="17"/>
      <c r="AD14" s="17"/>
      <c r="AE14" s="17"/>
      <c r="AF14" s="17"/>
      <c r="AG14" s="17"/>
      <c r="AH14" s="17"/>
      <c r="AI14" s="17"/>
      <c r="AK14" s="17"/>
      <c r="AL14" s="17"/>
      <c r="AM14" s="17"/>
      <c r="AN14" s="17"/>
      <c r="AO14" s="17"/>
      <c r="AP14" s="17"/>
    </row>
    <row r="15" spans="1:44" x14ac:dyDescent="0.3">
      <c r="A15" t="s">
        <v>54</v>
      </c>
      <c r="B15" s="17">
        <v>736</v>
      </c>
      <c r="C15" s="17">
        <v>895</v>
      </c>
      <c r="D15" s="17">
        <v>929</v>
      </c>
      <c r="E15" s="17">
        <f>3529-B15-C15-D15</f>
        <v>969</v>
      </c>
      <c r="F15" s="29">
        <f t="shared" si="6"/>
        <v>3529</v>
      </c>
      <c r="G15" s="17">
        <v>676</v>
      </c>
      <c r="H15" s="17">
        <v>1044</v>
      </c>
      <c r="I15" s="17">
        <v>710</v>
      </c>
      <c r="J15" s="17">
        <f>3409-I15-H15-G15</f>
        <v>979</v>
      </c>
      <c r="K15" s="29">
        <f t="shared" si="7"/>
        <v>3409</v>
      </c>
      <c r="L15" s="17">
        <v>695</v>
      </c>
      <c r="M15" s="17">
        <v>894</v>
      </c>
      <c r="N15" s="17">
        <v>870</v>
      </c>
      <c r="O15" s="17">
        <f>3489-N15-M15-L15</f>
        <v>1030</v>
      </c>
      <c r="P15" s="29">
        <f t="shared" si="8"/>
        <v>3489</v>
      </c>
      <c r="Q15" s="17">
        <v>688</v>
      </c>
      <c r="R15" s="17">
        <v>892</v>
      </c>
      <c r="S15" s="17">
        <v>743</v>
      </c>
      <c r="T15" s="17">
        <f>3175-S15-R15-Q15</f>
        <v>852</v>
      </c>
      <c r="U15" s="29">
        <f>Q15+R15+S15+T15</f>
        <v>3175</v>
      </c>
      <c r="V15" s="17">
        <v>568</v>
      </c>
      <c r="W15" s="17">
        <v>949</v>
      </c>
      <c r="X15" s="17">
        <v>864</v>
      </c>
      <c r="Y15" s="17">
        <f>3237-V15-W15-X15</f>
        <v>856</v>
      </c>
      <c r="Z15" s="29">
        <f t="shared" si="9"/>
        <v>3237</v>
      </c>
      <c r="AA15" s="17"/>
      <c r="AB15" s="17"/>
      <c r="AC15" s="17"/>
      <c r="AD15" s="17"/>
      <c r="AE15" s="17"/>
      <c r="AF15" s="17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x14ac:dyDescent="0.3">
      <c r="A16" t="s">
        <v>55</v>
      </c>
      <c r="B16" s="17">
        <v>0</v>
      </c>
      <c r="C16" s="17">
        <v>0</v>
      </c>
      <c r="D16" s="17">
        <v>0</v>
      </c>
      <c r="E16" s="17">
        <v>0</v>
      </c>
      <c r="F16" s="29">
        <f t="shared" si="6"/>
        <v>0</v>
      </c>
      <c r="G16" s="17">
        <v>0</v>
      </c>
      <c r="H16" s="17">
        <v>0</v>
      </c>
      <c r="I16" s="17">
        <v>0</v>
      </c>
      <c r="J16" s="17">
        <v>0</v>
      </c>
      <c r="K16" s="29">
        <f t="shared" si="7"/>
        <v>0</v>
      </c>
      <c r="L16" s="17">
        <v>0</v>
      </c>
      <c r="M16" s="17">
        <v>0</v>
      </c>
      <c r="N16" s="17">
        <v>0</v>
      </c>
      <c r="O16" s="17">
        <v>0</v>
      </c>
      <c r="P16" s="29">
        <f t="shared" si="8"/>
        <v>0</v>
      </c>
      <c r="Q16" s="17">
        <v>0</v>
      </c>
      <c r="R16" s="17">
        <v>14531</v>
      </c>
      <c r="S16" s="17">
        <v>180</v>
      </c>
      <c r="T16" s="17">
        <f>15933-Q16-R16-S16</f>
        <v>1222</v>
      </c>
      <c r="U16" s="29">
        <f>Q16+R16+S16+T16</f>
        <v>15933</v>
      </c>
      <c r="V16" s="17">
        <v>106</v>
      </c>
      <c r="W16" s="17">
        <v>-94</v>
      </c>
      <c r="X16" s="17">
        <v>169</v>
      </c>
      <c r="Y16" s="17">
        <f>181-X16-W16-V16</f>
        <v>0</v>
      </c>
      <c r="Z16" s="29">
        <f t="shared" si="9"/>
        <v>181</v>
      </c>
      <c r="AA16" s="17"/>
      <c r="AB16" s="17"/>
      <c r="AC16" s="17"/>
      <c r="AD16" s="17"/>
      <c r="AE16" s="17"/>
      <c r="AF16" s="17"/>
      <c r="AG16" s="17"/>
      <c r="AH16" s="17"/>
      <c r="AI16" s="17"/>
      <c r="AK16" s="17"/>
      <c r="AL16" s="17"/>
      <c r="AM16" s="17"/>
      <c r="AN16" s="17"/>
      <c r="AO16" s="17"/>
      <c r="AP16" s="17"/>
    </row>
    <row r="17" spans="1:42" x14ac:dyDescent="0.3">
      <c r="A17" t="s">
        <v>56</v>
      </c>
      <c r="B17" s="17">
        <f>B13+B14+B15+B16</f>
        <v>117378</v>
      </c>
      <c r="C17" s="17">
        <f>C13+C14+C15+C16</f>
        <v>122657</v>
      </c>
      <c r="D17" s="17">
        <f>D13+D14+D15+D16</f>
        <v>109619</v>
      </c>
      <c r="E17" s="17">
        <f>E13+E14+E15+E16</f>
        <v>126299</v>
      </c>
      <c r="F17" s="29">
        <f t="shared" si="6"/>
        <v>475953</v>
      </c>
      <c r="G17" s="17">
        <f>G13+G14+G15+G16</f>
        <v>119890</v>
      </c>
      <c r="H17" s="17">
        <f>H13+H14+H15+H16</f>
        <v>89345</v>
      </c>
      <c r="I17" s="17">
        <f>I13+I14+I15+I16</f>
        <v>87738</v>
      </c>
      <c r="J17" s="17">
        <f>J13+J14+J15+J16</f>
        <v>78868</v>
      </c>
      <c r="K17" s="29">
        <f t="shared" si="7"/>
        <v>375841</v>
      </c>
      <c r="L17" s="17">
        <f>L13+L14+L15+L16</f>
        <v>82634</v>
      </c>
      <c r="M17" s="17">
        <f>M13+M14+M15+M16</f>
        <v>79759</v>
      </c>
      <c r="N17" s="17">
        <f>N13+N14+N15+N16</f>
        <v>87698</v>
      </c>
      <c r="O17" s="17">
        <f>O13+O14+O15+O16</f>
        <v>75411</v>
      </c>
      <c r="P17" s="29">
        <f t="shared" si="8"/>
        <v>325502</v>
      </c>
      <c r="Q17" s="17">
        <f t="shared" ref="Q17:Y17" si="10">Q13+Q14+Q15+Q16</f>
        <v>88848</v>
      </c>
      <c r="R17" s="17">
        <f t="shared" si="10"/>
        <v>74257</v>
      </c>
      <c r="S17" s="17">
        <f t="shared" si="10"/>
        <v>59191</v>
      </c>
      <c r="T17" s="17">
        <f t="shared" si="10"/>
        <v>64625</v>
      </c>
      <c r="U17" s="29">
        <f t="shared" si="10"/>
        <v>286921</v>
      </c>
      <c r="V17" s="17">
        <f t="shared" si="10"/>
        <v>45581</v>
      </c>
      <c r="W17" s="17">
        <f t="shared" si="10"/>
        <v>48088</v>
      </c>
      <c r="X17" s="17">
        <f t="shared" si="10"/>
        <v>37073</v>
      </c>
      <c r="Y17" s="17">
        <f t="shared" si="10"/>
        <v>35988</v>
      </c>
      <c r="Z17" s="29">
        <f t="shared" si="9"/>
        <v>166730</v>
      </c>
      <c r="AA17" s="17">
        <f>AA13+AA14+AA15+AA16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2" x14ac:dyDescent="0.3">
      <c r="A18" t="s">
        <v>57</v>
      </c>
      <c r="B18" s="17">
        <f>B10-B17</f>
        <v>-75969</v>
      </c>
      <c r="C18" s="17">
        <f>C10-C17</f>
        <v>-59523</v>
      </c>
      <c r="D18" s="17">
        <f>D10-D17</f>
        <v>-55905</v>
      </c>
      <c r="E18" s="17">
        <f>E10-E17</f>
        <v>-94891</v>
      </c>
      <c r="F18" s="29">
        <f t="shared" si="6"/>
        <v>-286288</v>
      </c>
      <c r="G18" s="17">
        <f>G10-G17</f>
        <v>-59125</v>
      </c>
      <c r="H18" s="17">
        <f>H10-H17</f>
        <v>-173819</v>
      </c>
      <c r="I18" s="17">
        <f>I10-I17</f>
        <v>-58095</v>
      </c>
      <c r="J18" s="17">
        <f>J10-J17</f>
        <v>-85403</v>
      </c>
      <c r="K18" s="29">
        <f t="shared" si="7"/>
        <v>-376442</v>
      </c>
      <c r="L18" s="17">
        <f>L10-L17</f>
        <v>-64936</v>
      </c>
      <c r="M18" s="17">
        <f>M10-M17</f>
        <v>-79341</v>
      </c>
      <c r="N18" s="17">
        <f>N10-N17</f>
        <v>-54886</v>
      </c>
      <c r="O18" s="17">
        <f>O10-O17</f>
        <v>-66155</v>
      </c>
      <c r="P18" s="29">
        <f t="shared" si="8"/>
        <v>-265318</v>
      </c>
      <c r="Q18" s="17">
        <f t="shared" ref="Q18:Y18" si="11">Q10-Q17</f>
        <v>-58493</v>
      </c>
      <c r="R18" s="17">
        <f t="shared" si="11"/>
        <v>33902</v>
      </c>
      <c r="S18" s="17">
        <f t="shared" si="11"/>
        <v>-48174</v>
      </c>
      <c r="T18" s="17">
        <f t="shared" si="11"/>
        <v>-6350</v>
      </c>
      <c r="U18" s="29">
        <f t="shared" si="11"/>
        <v>-79115</v>
      </c>
      <c r="V18" s="17">
        <f t="shared" si="11"/>
        <v>-24938</v>
      </c>
      <c r="W18" s="17">
        <f t="shared" si="11"/>
        <v>-8996</v>
      </c>
      <c r="X18" s="17">
        <f t="shared" si="11"/>
        <v>-13036</v>
      </c>
      <c r="Y18" s="17">
        <f t="shared" si="11"/>
        <v>714</v>
      </c>
      <c r="Z18" s="29">
        <f t="shared" si="9"/>
        <v>-46256</v>
      </c>
      <c r="AA18" s="17">
        <f>AA10-AA17</f>
        <v>0</v>
      </c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spans="1:42" x14ac:dyDescent="0.3">
      <c r="A19" t="s">
        <v>58</v>
      </c>
      <c r="B19" s="17">
        <v>-78</v>
      </c>
      <c r="C19" s="17">
        <v>23</v>
      </c>
      <c r="D19" s="17">
        <v>-185</v>
      </c>
      <c r="E19" s="17">
        <f>-794-B19-C19-D19</f>
        <v>-554</v>
      </c>
      <c r="F19" s="29">
        <f t="shared" si="6"/>
        <v>-794</v>
      </c>
      <c r="G19" s="17">
        <v>-1972</v>
      </c>
      <c r="H19" s="17">
        <v>-2308</v>
      </c>
      <c r="I19" s="17">
        <v>-2274</v>
      </c>
      <c r="J19" s="17">
        <f>-8871-G19-H19-I19</f>
        <v>-2317</v>
      </c>
      <c r="K19" s="29">
        <f t="shared" si="7"/>
        <v>-8871</v>
      </c>
      <c r="L19" s="17">
        <v>-4805</v>
      </c>
      <c r="M19" s="17">
        <v>-4962</v>
      </c>
      <c r="N19" s="17">
        <v>-5085</v>
      </c>
      <c r="O19" s="17">
        <f>-19936-L19-M19-N19</f>
        <v>-5084</v>
      </c>
      <c r="P19" s="29">
        <f t="shared" si="8"/>
        <v>-19936</v>
      </c>
      <c r="Q19" s="17">
        <v>-5062</v>
      </c>
      <c r="R19" s="17">
        <v>-5037</v>
      </c>
      <c r="S19" s="17">
        <v>-3952</v>
      </c>
      <c r="T19" s="17">
        <f>-15687-Q19-R19-S19</f>
        <v>-1636</v>
      </c>
      <c r="U19" s="29">
        <f t="shared" ref="U19:U25" si="12">Q19+R19+S19+T19</f>
        <v>-15687</v>
      </c>
      <c r="V19" s="17">
        <v>-1561</v>
      </c>
      <c r="W19" s="17">
        <v>-1642</v>
      </c>
      <c r="X19" s="17">
        <v>-1410</v>
      </c>
      <c r="Y19" s="17">
        <f>-6032-X19-V19-W19</f>
        <v>-1419</v>
      </c>
      <c r="Z19" s="29">
        <f t="shared" si="9"/>
        <v>-6032</v>
      </c>
      <c r="AA19" s="17"/>
      <c r="AB19" s="17"/>
      <c r="AC19" s="17"/>
      <c r="AD19" s="17"/>
      <c r="AE19" s="17"/>
      <c r="AF19" s="17"/>
      <c r="AG19" s="17"/>
      <c r="AH19" s="17"/>
      <c r="AI19" s="17"/>
      <c r="AK19" s="17"/>
      <c r="AL19" s="17"/>
      <c r="AM19" s="17"/>
      <c r="AN19" s="17"/>
      <c r="AO19" s="17"/>
      <c r="AP19" s="17"/>
    </row>
    <row r="20" spans="1:42" x14ac:dyDescent="0.3">
      <c r="A20" t="s">
        <v>59</v>
      </c>
      <c r="B20" s="17">
        <v>869</v>
      </c>
      <c r="C20" s="17">
        <v>485</v>
      </c>
      <c r="D20" s="17">
        <v>228</v>
      </c>
      <c r="E20" s="17">
        <f>792-B20-C20-D20</f>
        <v>-790</v>
      </c>
      <c r="F20" s="29">
        <f t="shared" si="6"/>
        <v>792</v>
      </c>
      <c r="G20" s="17">
        <v>350</v>
      </c>
      <c r="H20" s="17">
        <v>376</v>
      </c>
      <c r="I20" s="17">
        <v>410</v>
      </c>
      <c r="J20" s="17">
        <f>1856-G20-H20-I20</f>
        <v>720</v>
      </c>
      <c r="K20" s="29">
        <f t="shared" si="7"/>
        <v>1856</v>
      </c>
      <c r="L20" s="17">
        <v>161</v>
      </c>
      <c r="M20" s="17">
        <v>1265</v>
      </c>
      <c r="N20" s="17">
        <v>427</v>
      </c>
      <c r="O20" s="17">
        <f>2414-N20-M20-L20</f>
        <v>561</v>
      </c>
      <c r="P20" s="29">
        <f t="shared" si="8"/>
        <v>2414</v>
      </c>
      <c r="Q20" s="17">
        <v>1134</v>
      </c>
      <c r="R20" s="17">
        <v>411</v>
      </c>
      <c r="S20" s="17">
        <v>1167</v>
      </c>
      <c r="T20" s="17">
        <f>3146-R20-Q20-S20</f>
        <v>434</v>
      </c>
      <c r="U20" s="29">
        <f t="shared" si="12"/>
        <v>3146</v>
      </c>
      <c r="V20" s="17">
        <v>282</v>
      </c>
      <c r="W20" s="17">
        <v>-10</v>
      </c>
      <c r="X20" s="17">
        <v>-43</v>
      </c>
      <c r="Y20" s="17">
        <f>887-X20-V20-W20</f>
        <v>658</v>
      </c>
      <c r="Z20" s="29">
        <f t="shared" si="9"/>
        <v>887</v>
      </c>
      <c r="AA20" s="17"/>
      <c r="AB20" s="17"/>
      <c r="AC20" s="17"/>
      <c r="AD20" s="17"/>
      <c r="AE20" s="17"/>
      <c r="AF20" s="17"/>
      <c r="AG20" s="17"/>
      <c r="AH20" s="17"/>
      <c r="AI20" s="17"/>
      <c r="AK20" s="17"/>
      <c r="AL20" s="17"/>
      <c r="AM20" s="17"/>
      <c r="AN20" s="17"/>
      <c r="AO20" s="17"/>
      <c r="AP20" s="17"/>
    </row>
    <row r="21" spans="1:42" x14ac:dyDescent="0.3">
      <c r="A21" t="s">
        <v>60</v>
      </c>
      <c r="B21" s="17">
        <v>0</v>
      </c>
      <c r="C21" s="17">
        <v>0</v>
      </c>
      <c r="D21" s="17">
        <v>0</v>
      </c>
      <c r="E21" s="17">
        <v>0</v>
      </c>
      <c r="F21" s="29">
        <f t="shared" si="6"/>
        <v>0</v>
      </c>
      <c r="G21" s="17">
        <v>0</v>
      </c>
      <c r="H21" s="17">
        <v>0</v>
      </c>
      <c r="I21" s="17">
        <v>0</v>
      </c>
      <c r="J21" s="17">
        <v>0</v>
      </c>
      <c r="K21" s="29">
        <f t="shared" si="7"/>
        <v>0</v>
      </c>
      <c r="L21" s="17">
        <v>0</v>
      </c>
      <c r="M21" s="17">
        <v>0</v>
      </c>
      <c r="N21" s="17">
        <v>0</v>
      </c>
      <c r="O21" s="17">
        <v>0</v>
      </c>
      <c r="P21" s="29">
        <f t="shared" si="8"/>
        <v>0</v>
      </c>
      <c r="Q21" s="17">
        <v>0</v>
      </c>
      <c r="R21" s="17">
        <v>0</v>
      </c>
      <c r="S21" s="17">
        <v>-906</v>
      </c>
      <c r="T21" s="17">
        <v>0</v>
      </c>
      <c r="U21" s="29">
        <f t="shared" si="12"/>
        <v>-906</v>
      </c>
      <c r="V21" s="17">
        <v>0</v>
      </c>
      <c r="W21" s="17">
        <v>0</v>
      </c>
      <c r="X21" s="17">
        <v>0</v>
      </c>
      <c r="Y21" s="17">
        <v>0</v>
      </c>
      <c r="Z21" s="29">
        <f t="shared" si="9"/>
        <v>0</v>
      </c>
      <c r="AA21" s="17"/>
      <c r="AB21" s="17"/>
      <c r="AC21" s="17"/>
      <c r="AD21" s="17"/>
      <c r="AE21" s="17"/>
      <c r="AF21" s="17"/>
      <c r="AG21" s="17"/>
      <c r="AH21" s="17"/>
      <c r="AI21" s="17"/>
      <c r="AK21" s="17"/>
      <c r="AL21" s="17"/>
      <c r="AM21" s="17"/>
      <c r="AN21" s="17"/>
      <c r="AO21" s="17"/>
      <c r="AP21" s="17"/>
    </row>
    <row r="22" spans="1:42" x14ac:dyDescent="0.3">
      <c r="A22" t="s">
        <v>61</v>
      </c>
      <c r="B22" s="17">
        <v>0</v>
      </c>
      <c r="C22" s="17">
        <v>0</v>
      </c>
      <c r="D22" s="17">
        <v>0</v>
      </c>
      <c r="E22" s="17">
        <v>0</v>
      </c>
      <c r="F22" s="29">
        <f t="shared" si="6"/>
        <v>0</v>
      </c>
      <c r="G22" s="17">
        <v>0</v>
      </c>
      <c r="H22" s="17">
        <v>0</v>
      </c>
      <c r="I22" s="17">
        <v>0</v>
      </c>
      <c r="J22" s="17">
        <v>0</v>
      </c>
      <c r="K22" s="29">
        <f t="shared" si="7"/>
        <v>0</v>
      </c>
      <c r="L22" s="17">
        <v>0</v>
      </c>
      <c r="M22" s="17">
        <v>0</v>
      </c>
      <c r="N22" s="17">
        <v>0</v>
      </c>
      <c r="O22" s="17">
        <v>0</v>
      </c>
      <c r="P22" s="29">
        <f t="shared" si="8"/>
        <v>0</v>
      </c>
      <c r="Q22" s="17">
        <v>0</v>
      </c>
      <c r="R22" s="17">
        <v>0</v>
      </c>
      <c r="S22" s="17">
        <v>0</v>
      </c>
      <c r="T22" s="17">
        <v>0</v>
      </c>
      <c r="U22" s="29">
        <f t="shared" si="12"/>
        <v>0</v>
      </c>
      <c r="V22" s="17">
        <v>0</v>
      </c>
      <c r="W22" s="17">
        <v>-524</v>
      </c>
      <c r="X22" s="17">
        <v>0</v>
      </c>
      <c r="Y22" s="17">
        <v>0</v>
      </c>
      <c r="Z22" s="29">
        <f t="shared" si="9"/>
        <v>-524</v>
      </c>
      <c r="AA22" s="17"/>
      <c r="AB22" s="17"/>
      <c r="AC22" s="17"/>
      <c r="AD22" s="17"/>
      <c r="AE22" s="17"/>
      <c r="AF22" s="17"/>
      <c r="AG22" s="17"/>
      <c r="AH22" s="17"/>
      <c r="AI22" s="17"/>
      <c r="AK22" s="17"/>
      <c r="AL22" s="17"/>
      <c r="AM22" s="17"/>
      <c r="AN22" s="17"/>
      <c r="AO22" s="17"/>
      <c r="AP22" s="17"/>
    </row>
    <row r="23" spans="1:42" x14ac:dyDescent="0.3">
      <c r="A23" t="s">
        <v>62</v>
      </c>
      <c r="B23" s="17">
        <f>B18+B22+B19+B20+B21</f>
        <v>-75178</v>
      </c>
      <c r="C23" s="17">
        <f>C18+C22+C19+C20+C21</f>
        <v>-59015</v>
      </c>
      <c r="D23" s="17">
        <f>D18+D22+D19+D20+D21</f>
        <v>-55862</v>
      </c>
      <c r="E23" s="17">
        <f>E18+E22+E19+E20+E21</f>
        <v>-96235</v>
      </c>
      <c r="F23" s="29">
        <f t="shared" si="6"/>
        <v>-286290</v>
      </c>
      <c r="G23" s="17">
        <f>G18+G22+G19+G20+G21</f>
        <v>-60747</v>
      </c>
      <c r="H23" s="17">
        <f>H18+H22+H19+H20+H21</f>
        <v>-175751</v>
      </c>
      <c r="I23" s="17">
        <f>I18+I22+I19+I20+I21</f>
        <v>-59959</v>
      </c>
      <c r="J23" s="17">
        <f>J18+J22+J19+J20+J21</f>
        <v>-87000</v>
      </c>
      <c r="K23" s="29">
        <f t="shared" si="7"/>
        <v>-383457</v>
      </c>
      <c r="L23" s="17">
        <f>L18+L22+L19+L20+L21</f>
        <v>-69580</v>
      </c>
      <c r="M23" s="17">
        <f>M18+M22+M19+M20+M21</f>
        <v>-83038</v>
      </c>
      <c r="N23" s="17">
        <f>N18+N22+N19+N20+N21</f>
        <v>-59544</v>
      </c>
      <c r="O23" s="17">
        <f>O18+O22+O19+O20+O21</f>
        <v>-70678</v>
      </c>
      <c r="P23" s="29">
        <f t="shared" si="8"/>
        <v>-282840</v>
      </c>
      <c r="Q23" s="17">
        <f>Q18+Q22+Q19+Q20+Q21</f>
        <v>-62421</v>
      </c>
      <c r="R23" s="17">
        <f>R18+R22+R19+R20+R21</f>
        <v>29276</v>
      </c>
      <c r="S23" s="17">
        <f>S18+S22+S19+S20+S21</f>
        <v>-51865</v>
      </c>
      <c r="T23" s="17">
        <f>T18+T22+T19+T20+T21</f>
        <v>-7552</v>
      </c>
      <c r="U23" s="29">
        <f t="shared" si="12"/>
        <v>-92562</v>
      </c>
      <c r="V23" s="17">
        <f>V18+V22+V19+V20+V21</f>
        <v>-26217</v>
      </c>
      <c r="W23" s="17">
        <f>W18+W22+W19+W20+W21</f>
        <v>-11172</v>
      </c>
      <c r="X23" s="17">
        <f>X18+X22+X19+X20+X21</f>
        <v>-14489</v>
      </c>
      <c r="Y23" s="17">
        <f>Y18+Y22+Y19+Y20+Y21</f>
        <v>-47</v>
      </c>
      <c r="Z23" s="29">
        <f t="shared" si="9"/>
        <v>-51925</v>
      </c>
      <c r="AA23" s="17">
        <f>AA18+AA22+AA19+AA20+AA21</f>
        <v>0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</row>
    <row r="24" spans="1:42" x14ac:dyDescent="0.3">
      <c r="A24" t="s">
        <v>63</v>
      </c>
      <c r="B24" s="17">
        <v>-2757</v>
      </c>
      <c r="C24" s="17">
        <v>-845</v>
      </c>
      <c r="D24" s="17">
        <v>-1277</v>
      </c>
      <c r="E24" s="17">
        <f>-6631-B24-C24-D24</f>
        <v>-1752</v>
      </c>
      <c r="F24" s="29">
        <f t="shared" si="6"/>
        <v>-6631</v>
      </c>
      <c r="G24" s="17">
        <v>0</v>
      </c>
      <c r="H24" s="17">
        <v>0</v>
      </c>
      <c r="I24" s="17">
        <v>0</v>
      </c>
      <c r="J24" s="17">
        <v>0</v>
      </c>
      <c r="K24" s="29">
        <f t="shared" si="7"/>
        <v>0</v>
      </c>
      <c r="L24" s="17">
        <v>0</v>
      </c>
      <c r="M24" s="17">
        <v>0</v>
      </c>
      <c r="N24" s="17">
        <v>0</v>
      </c>
      <c r="O24" s="17">
        <v>0</v>
      </c>
      <c r="P24" s="29">
        <f t="shared" si="8"/>
        <v>0</v>
      </c>
      <c r="Q24" s="17">
        <v>0</v>
      </c>
      <c r="R24" s="17">
        <v>0</v>
      </c>
      <c r="S24" s="17">
        <v>0</v>
      </c>
      <c r="T24" s="17">
        <v>0</v>
      </c>
      <c r="U24" s="29">
        <f t="shared" si="12"/>
        <v>0</v>
      </c>
      <c r="V24" s="17">
        <v>0</v>
      </c>
      <c r="W24" s="17">
        <v>0</v>
      </c>
      <c r="X24" s="17">
        <v>0</v>
      </c>
      <c r="Y24" s="17">
        <v>0</v>
      </c>
      <c r="Z24" s="29">
        <f t="shared" si="9"/>
        <v>0</v>
      </c>
      <c r="AA24" s="17"/>
      <c r="AB24" s="17"/>
      <c r="AC24" s="17"/>
      <c r="AD24" s="17"/>
      <c r="AE24" s="17"/>
      <c r="AF24" s="17"/>
      <c r="AG24" s="17"/>
      <c r="AH24" s="17"/>
      <c r="AI24" s="17"/>
      <c r="AK24" s="17"/>
      <c r="AL24" s="17"/>
      <c r="AM24" s="17"/>
      <c r="AN24" s="17"/>
      <c r="AO24" s="17"/>
      <c r="AP24" s="17"/>
    </row>
    <row r="25" spans="1:42" x14ac:dyDescent="0.3">
      <c r="A25" t="s">
        <v>64</v>
      </c>
      <c r="B25" s="17">
        <f>B23-B24</f>
        <v>-72421</v>
      </c>
      <c r="C25" s="17">
        <f>C23-C24</f>
        <v>-58170</v>
      </c>
      <c r="D25" s="17">
        <f>D23-D24</f>
        <v>-54585</v>
      </c>
      <c r="E25" s="17">
        <f>E23-E24</f>
        <v>-94483</v>
      </c>
      <c r="F25" s="29">
        <f t="shared" si="6"/>
        <v>-279659</v>
      </c>
      <c r="G25" s="17">
        <f>G23-G24</f>
        <v>-60747</v>
      </c>
      <c r="H25" s="17">
        <f>H23-H24</f>
        <v>-175751</v>
      </c>
      <c r="I25" s="17">
        <f>I23-I24</f>
        <v>-59959</v>
      </c>
      <c r="J25" s="17">
        <f>J23-J24</f>
        <v>-87000</v>
      </c>
      <c r="K25" s="29">
        <f t="shared" si="7"/>
        <v>-383457</v>
      </c>
      <c r="L25" s="17">
        <f>L23-L24</f>
        <v>-69580</v>
      </c>
      <c r="M25" s="17">
        <f>M23-M24</f>
        <v>-83038</v>
      </c>
      <c r="N25" s="17">
        <f>N23-N24</f>
        <v>-59544</v>
      </c>
      <c r="O25" s="17">
        <f>O23-O24</f>
        <v>-70678</v>
      </c>
      <c r="P25" s="29">
        <f t="shared" si="8"/>
        <v>-282840</v>
      </c>
      <c r="Q25" s="17">
        <f>Q23-Q24</f>
        <v>-62421</v>
      </c>
      <c r="R25" s="17">
        <f>R23-R24</f>
        <v>29276</v>
      </c>
      <c r="S25" s="17">
        <f>S23-S24</f>
        <v>-51865</v>
      </c>
      <c r="T25" s="17">
        <f>T23-T24</f>
        <v>-7552</v>
      </c>
      <c r="U25" s="29">
        <f t="shared" si="12"/>
        <v>-92562</v>
      </c>
      <c r="V25" s="17">
        <f>V23-V24</f>
        <v>-26217</v>
      </c>
      <c r="W25" s="17">
        <f>W23-W24</f>
        <v>-11172</v>
      </c>
      <c r="X25" s="17">
        <f>X23-X24</f>
        <v>-14489</v>
      </c>
      <c r="Y25" s="17">
        <f>Y23-Y24</f>
        <v>-47</v>
      </c>
      <c r="Z25" s="29">
        <f t="shared" si="9"/>
        <v>-51925</v>
      </c>
      <c r="AA25" s="17">
        <f>AA23-AA24</f>
        <v>0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</row>
    <row r="26" spans="1:42" x14ac:dyDescent="0.3">
      <c r="A26" t="s">
        <v>12</v>
      </c>
      <c r="B26" s="17">
        <f>B25/B27</f>
        <v>116808.06451612903</v>
      </c>
      <c r="C26" s="17">
        <f>C25/C27</f>
        <v>118714.28571428571</v>
      </c>
      <c r="D26" s="17">
        <f>D25/D27</f>
        <v>118663.04347826086</v>
      </c>
      <c r="E26" s="17">
        <f>E25/E27</f>
        <v>119598.73417721521</v>
      </c>
      <c r="F26" s="29">
        <f>(B26+C26+D26+E26)/4</f>
        <v>118446.03197147271</v>
      </c>
      <c r="G26" s="17">
        <v>128395163</v>
      </c>
      <c r="H26" s="17">
        <v>136906968</v>
      </c>
      <c r="I26" s="17">
        <v>143314729</v>
      </c>
      <c r="J26" s="17">
        <v>145235747</v>
      </c>
      <c r="K26" s="29">
        <f>(G26+H26+I26+J26)/4</f>
        <v>138463151.75</v>
      </c>
      <c r="L26" s="17">
        <v>153820809</v>
      </c>
      <c r="M26" s="17">
        <v>161329990</v>
      </c>
      <c r="N26" s="17">
        <v>173782151</v>
      </c>
      <c r="O26" s="17">
        <f>P26*4-(L26+M26+N26)</f>
        <v>174865830</v>
      </c>
      <c r="P26" s="29">
        <v>165949695</v>
      </c>
      <c r="Q26" s="17">
        <v>179599045</v>
      </c>
      <c r="R26" s="17">
        <v>190375317</v>
      </c>
      <c r="S26" s="17">
        <v>183882446</v>
      </c>
      <c r="T26" s="17">
        <f>U26*4-(Q26+R26+S26)</f>
        <v>177273912</v>
      </c>
      <c r="U26" s="29">
        <v>182782680</v>
      </c>
      <c r="V26" s="17">
        <v>184768983</v>
      </c>
      <c r="W26" s="17">
        <v>186817431</v>
      </c>
      <c r="X26" s="17">
        <v>188306350</v>
      </c>
      <c r="Y26" s="17">
        <f>Z26*4-(V26+W26+X26)</f>
        <v>189969028</v>
      </c>
      <c r="Z26" s="29">
        <v>187465448</v>
      </c>
      <c r="AA26" s="17"/>
      <c r="AB26" s="17"/>
      <c r="AC26" s="17"/>
      <c r="AD26" s="17"/>
      <c r="AE26" s="17"/>
      <c r="AF26" s="17"/>
      <c r="AG26" s="17"/>
      <c r="AH26" s="17"/>
      <c r="AI26" s="17"/>
      <c r="AK26" s="17"/>
      <c r="AL26" s="17"/>
      <c r="AM26" s="17"/>
      <c r="AN26" s="17"/>
      <c r="AO26" s="17"/>
      <c r="AP26" s="17"/>
    </row>
    <row r="27" spans="1:42" x14ac:dyDescent="0.3">
      <c r="A27" t="s">
        <v>65</v>
      </c>
      <c r="B27" s="21">
        <v>-0.62</v>
      </c>
      <c r="C27" s="21">
        <v>-0.49</v>
      </c>
      <c r="D27" s="21">
        <v>-0.46</v>
      </c>
      <c r="E27" s="21">
        <f>-2.36-B27-C27-D27</f>
        <v>-0.78999999999999981</v>
      </c>
      <c r="F27" s="32">
        <f>B27+C27+D27+E27</f>
        <v>-2.3599999999999994</v>
      </c>
      <c r="G27" s="21">
        <f>G25/G26*1000</f>
        <v>-0.47312529989934282</v>
      </c>
      <c r="H27" s="21">
        <f>H25/H26*1000</f>
        <v>-1.2837257487142657</v>
      </c>
      <c r="I27" s="21">
        <f>I25/I26*1000</f>
        <v>-0.41837290848172348</v>
      </c>
      <c r="J27" s="21">
        <f>J25/J26*1000</f>
        <v>-0.59902607861410317</v>
      </c>
      <c r="K27" s="32">
        <f>G27+H27+I27+J27</f>
        <v>-2.7742500357094348</v>
      </c>
      <c r="L27" s="21">
        <f>L25/L26*1000</f>
        <v>-0.45234451991472752</v>
      </c>
      <c r="M27" s="21">
        <f>M25/M26*1000</f>
        <v>-0.51470901349463916</v>
      </c>
      <c r="N27" s="21">
        <f>N25/N26*1000</f>
        <v>-0.34263587864095429</v>
      </c>
      <c r="O27" s="21">
        <f>O25/O26*1000</f>
        <v>-0.40418416794178713</v>
      </c>
      <c r="P27" s="32">
        <f>L27+M27+N27+O27</f>
        <v>-1.7138735799921081</v>
      </c>
      <c r="Q27" s="21">
        <f t="shared" ref="Q27:Y27" si="13">Q25/Q26*1000</f>
        <v>-0.34755752737994794</v>
      </c>
      <c r="R27" s="21">
        <f t="shared" si="13"/>
        <v>0.15378043992961546</v>
      </c>
      <c r="S27" s="21">
        <f t="shared" si="13"/>
        <v>-0.28205519954852026</v>
      </c>
      <c r="T27" s="21">
        <f t="shared" si="13"/>
        <v>-4.2600740936996978E-2</v>
      </c>
      <c r="U27" s="32">
        <f t="shared" si="13"/>
        <v>-0.50640465497059128</v>
      </c>
      <c r="V27" s="21">
        <f t="shared" si="13"/>
        <v>-0.14189069818065728</v>
      </c>
      <c r="W27" s="21">
        <f t="shared" si="13"/>
        <v>-5.9801700195738161E-2</v>
      </c>
      <c r="X27" s="21">
        <f t="shared" si="13"/>
        <v>-7.6943767430041526E-2</v>
      </c>
      <c r="Y27" s="21">
        <f t="shared" si="13"/>
        <v>-2.4740875128339342E-4</v>
      </c>
      <c r="Z27" s="32">
        <f>V27+W27+X27+Y27</f>
        <v>-0.27888357455772034</v>
      </c>
      <c r="AA27" s="21" t="e">
        <f>AA25/AA26*1000</f>
        <v>#DIV/0!</v>
      </c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</row>
    <row r="28" spans="1:42" x14ac:dyDescent="0.3">
      <c r="B28" s="17"/>
      <c r="C28" s="17"/>
      <c r="D28" s="17"/>
      <c r="E28" s="17"/>
      <c r="F28" s="29"/>
      <c r="G28" s="17"/>
      <c r="H28" s="17"/>
      <c r="I28" s="17"/>
      <c r="J28" s="17"/>
      <c r="K28" s="29"/>
      <c r="L28" s="17"/>
      <c r="M28" s="17"/>
      <c r="N28" s="17"/>
      <c r="O28" s="17"/>
      <c r="P28" s="29"/>
      <c r="Q28" s="17"/>
      <c r="R28" s="17"/>
      <c r="S28" s="17"/>
      <c r="T28" s="17"/>
      <c r="U28" s="29"/>
      <c r="V28" s="17"/>
      <c r="W28" s="17"/>
      <c r="X28" s="17"/>
      <c r="Y28" s="17"/>
      <c r="Z28" s="29"/>
      <c r="AA28" s="17"/>
      <c r="AB28" s="17"/>
      <c r="AC28" s="17"/>
      <c r="AD28" s="17"/>
      <c r="AE28" s="17"/>
      <c r="AF28" s="17"/>
      <c r="AG28" s="17"/>
      <c r="AH28" s="17"/>
      <c r="AI28" s="17"/>
      <c r="AK28" s="17"/>
      <c r="AL28" s="17"/>
      <c r="AM28" s="17"/>
      <c r="AN28" s="17"/>
      <c r="AO28" s="17"/>
      <c r="AP28" s="17"/>
    </row>
    <row r="29" spans="1:42" x14ac:dyDescent="0.3">
      <c r="AK29" s="17"/>
      <c r="AL29" s="17"/>
      <c r="AM29" s="17"/>
      <c r="AN29" s="17"/>
      <c r="AO29" s="17"/>
      <c r="AP29" s="17"/>
    </row>
    <row r="30" spans="1:42" x14ac:dyDescent="0.3">
      <c r="E30" s="17"/>
      <c r="F30" s="29"/>
      <c r="AK30" s="17"/>
      <c r="AL30" s="17"/>
      <c r="AM30" s="17"/>
      <c r="AN30" s="17"/>
      <c r="AO30" s="17"/>
      <c r="AP30" s="17"/>
    </row>
    <row r="31" spans="1:42" x14ac:dyDescent="0.3">
      <c r="AK31" s="17"/>
      <c r="AL31" s="17"/>
      <c r="AM31" s="17"/>
      <c r="AN31" s="17"/>
      <c r="AO31" s="17"/>
      <c r="AP31" s="17"/>
    </row>
    <row r="32" spans="1:42" ht="17.399999999999999" x14ac:dyDescent="0.35">
      <c r="A32" s="20" t="s">
        <v>66</v>
      </c>
      <c r="AK32" s="17"/>
      <c r="AL32" s="17"/>
      <c r="AM32" s="17"/>
      <c r="AN32" s="17"/>
      <c r="AO32" s="17"/>
      <c r="AP32" s="17"/>
    </row>
    <row r="33" spans="1:138" x14ac:dyDescent="0.3">
      <c r="A33" t="s">
        <v>67</v>
      </c>
      <c r="AK33" s="17"/>
      <c r="AL33" s="17"/>
      <c r="AM33" s="17"/>
      <c r="AN33" s="17"/>
      <c r="AO33" s="17"/>
      <c r="AP33" s="17"/>
    </row>
    <row r="34" spans="1:138" x14ac:dyDescent="0.3">
      <c r="A34" t="s">
        <v>68</v>
      </c>
      <c r="AK34" s="17"/>
      <c r="AL34" s="17"/>
      <c r="AM34" s="17"/>
      <c r="AN34" s="17"/>
      <c r="AO34" s="17"/>
      <c r="AP34" s="17"/>
    </row>
    <row r="35" spans="1:138" x14ac:dyDescent="0.3">
      <c r="S35" s="17"/>
      <c r="AK35" s="17"/>
      <c r="AL35" s="17"/>
      <c r="AM35" s="17"/>
      <c r="AN35" s="17"/>
      <c r="AO35" s="17"/>
      <c r="AP35" s="17"/>
    </row>
    <row r="36" spans="1:138" x14ac:dyDescent="0.3">
      <c r="AK36" s="17"/>
      <c r="AL36" s="17"/>
      <c r="AM36" s="17"/>
      <c r="AN36" s="17"/>
      <c r="AO36" s="17"/>
      <c r="AP36" s="17"/>
    </row>
    <row r="37" spans="1:138" x14ac:dyDescent="0.3">
      <c r="A37" t="s">
        <v>69</v>
      </c>
      <c r="B37" s="17">
        <v>-137929</v>
      </c>
      <c r="C37" s="17">
        <f>-176295-B37</f>
        <v>-38366</v>
      </c>
      <c r="D37" s="17">
        <f>-165306-B37-C37</f>
        <v>10989</v>
      </c>
      <c r="E37" s="17">
        <f>-257441-B37-C37-D37</f>
        <v>-92135</v>
      </c>
      <c r="F37" s="29">
        <f>B37+C37+D37+E37</f>
        <v>-257441</v>
      </c>
      <c r="G37" s="17">
        <v>-89589</v>
      </c>
      <c r="H37" s="17">
        <f>-52369-G37</f>
        <v>37220</v>
      </c>
      <c r="I37" s="17">
        <f>-79606-H37-G37</f>
        <v>-27237</v>
      </c>
      <c r="J37" s="17">
        <f>-110388-G37-H37-I37</f>
        <v>-30782</v>
      </c>
      <c r="K37" s="29">
        <f>G37+H37+I37+J37</f>
        <v>-110388</v>
      </c>
      <c r="L37" s="17">
        <v>-70746</v>
      </c>
      <c r="M37" s="17">
        <f>-133887-L37</f>
        <v>-63141</v>
      </c>
      <c r="N37" s="17">
        <f>-190157-M37-L37</f>
        <v>-56270</v>
      </c>
      <c r="O37" s="17">
        <f>-252965-L37-M37-N37</f>
        <v>-62808</v>
      </c>
      <c r="P37" s="29">
        <f>L37+M37+N37+O37</f>
        <v>-252965</v>
      </c>
      <c r="Q37" s="17">
        <v>-21620</v>
      </c>
      <c r="R37" s="17">
        <f>-52280-Q37</f>
        <v>-30660</v>
      </c>
      <c r="S37" s="17">
        <f>-18475-R37-Q37</f>
        <v>33805</v>
      </c>
      <c r="T37" s="17">
        <f>-73154-Q37-R37-S37</f>
        <v>-54679</v>
      </c>
      <c r="U37" s="29">
        <f>Q37+R37+S37+T37</f>
        <v>-73154</v>
      </c>
      <c r="V37" s="17">
        <v>-17538</v>
      </c>
      <c r="W37" s="17">
        <f>-13909-V37</f>
        <v>3629</v>
      </c>
      <c r="X37" s="17">
        <f>-21076-V37-W37</f>
        <v>-7167</v>
      </c>
      <c r="Y37" s="17">
        <f>-23384-V37-W37-X37</f>
        <v>-2308</v>
      </c>
      <c r="Z37" s="29">
        <f>V37+W37+X37+Y37</f>
        <v>-23384</v>
      </c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</row>
    <row r="38" spans="1:138" x14ac:dyDescent="0.3">
      <c r="A38" t="s">
        <v>70</v>
      </c>
      <c r="B38" s="17">
        <v>1928</v>
      </c>
      <c r="C38" s="17">
        <f>3906-B38</f>
        <v>1978</v>
      </c>
      <c r="D38" s="17">
        <f>6435-B38-C38</f>
        <v>2529</v>
      </c>
      <c r="E38" s="17">
        <f>6655-B38-C38-D38</f>
        <v>220</v>
      </c>
      <c r="F38" s="29">
        <f>B38+C38+D38+E38</f>
        <v>6655</v>
      </c>
      <c r="G38" s="17">
        <v>0</v>
      </c>
      <c r="H38" s="17">
        <f>45-G38</f>
        <v>45</v>
      </c>
      <c r="I38" s="17">
        <v>0</v>
      </c>
      <c r="J38" s="17">
        <f>317-G38-H38-I38</f>
        <v>272</v>
      </c>
      <c r="K38" s="29">
        <f>G38+H38+I38+J38</f>
        <v>317</v>
      </c>
      <c r="L38" s="17">
        <v>59</v>
      </c>
      <c r="M38" s="17">
        <v>0</v>
      </c>
      <c r="N38" s="17">
        <v>0</v>
      </c>
      <c r="O38" s="17">
        <v>0</v>
      </c>
      <c r="P38" s="29">
        <f>L38+M38+N38+O38</f>
        <v>59</v>
      </c>
      <c r="Q38" s="17">
        <v>114</v>
      </c>
      <c r="R38" s="17">
        <v>0</v>
      </c>
      <c r="S38" s="17">
        <v>0</v>
      </c>
      <c r="T38" s="17">
        <v>0</v>
      </c>
      <c r="U38" s="29">
        <f>Q38+R38+S38+T38</f>
        <v>114</v>
      </c>
      <c r="V38" s="17">
        <v>0</v>
      </c>
      <c r="W38" s="17">
        <v>0</v>
      </c>
      <c r="X38" s="17">
        <v>0</v>
      </c>
      <c r="Y38" s="17">
        <v>0</v>
      </c>
      <c r="Z38" s="29">
        <f>V38+W38+X38+Y38</f>
        <v>0</v>
      </c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</row>
    <row r="39" spans="1:138" ht="17.399999999999999" x14ac:dyDescent="0.35">
      <c r="A39" s="20" t="s">
        <v>71</v>
      </c>
      <c r="B39" s="18">
        <f>B37-B38</f>
        <v>-139857</v>
      </c>
      <c r="C39" s="18">
        <f>C37-C38</f>
        <v>-40344</v>
      </c>
      <c r="D39" s="18">
        <f>D37-D38</f>
        <v>8460</v>
      </c>
      <c r="E39" s="18">
        <f>E37-E38</f>
        <v>-92355</v>
      </c>
      <c r="F39" s="30">
        <f>B39+C39+D39+E39</f>
        <v>-264096</v>
      </c>
      <c r="G39" s="18">
        <f>G37-G38</f>
        <v>-89589</v>
      </c>
      <c r="H39" s="18">
        <f>H37-H38</f>
        <v>37175</v>
      </c>
      <c r="I39" s="18">
        <f>I37-I38</f>
        <v>-27237</v>
      </c>
      <c r="J39" s="18">
        <f>J37-J38</f>
        <v>-31054</v>
      </c>
      <c r="K39" s="30">
        <f>G39+H39+I39+J39</f>
        <v>-110705</v>
      </c>
      <c r="L39" s="18">
        <f t="shared" ref="L39:Y39" si="14">L37-L38</f>
        <v>-70805</v>
      </c>
      <c r="M39" s="18">
        <f t="shared" si="14"/>
        <v>-63141</v>
      </c>
      <c r="N39" s="18">
        <f t="shared" si="14"/>
        <v>-56270</v>
      </c>
      <c r="O39" s="18">
        <f t="shared" si="14"/>
        <v>-62808</v>
      </c>
      <c r="P39" s="30">
        <f t="shared" si="14"/>
        <v>-253024</v>
      </c>
      <c r="Q39" s="18">
        <f t="shared" si="14"/>
        <v>-21734</v>
      </c>
      <c r="R39" s="18">
        <f t="shared" si="14"/>
        <v>-30660</v>
      </c>
      <c r="S39" s="18">
        <f t="shared" si="14"/>
        <v>33805</v>
      </c>
      <c r="T39" s="18">
        <f t="shared" si="14"/>
        <v>-54679</v>
      </c>
      <c r="U39" s="30">
        <f t="shared" si="14"/>
        <v>-73268</v>
      </c>
      <c r="V39" s="18">
        <f t="shared" si="14"/>
        <v>-17538</v>
      </c>
      <c r="W39" s="18">
        <f t="shared" si="14"/>
        <v>3629</v>
      </c>
      <c r="X39" s="18">
        <f t="shared" si="14"/>
        <v>-7167</v>
      </c>
      <c r="Y39" s="18">
        <f t="shared" si="14"/>
        <v>-2308</v>
      </c>
      <c r="Z39" s="30">
        <f>V39+W39+X39+Y39</f>
        <v>-23384</v>
      </c>
      <c r="AA39" s="18">
        <f>AA37-AA38</f>
        <v>0</v>
      </c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>
        <f>AQ37-AQ38</f>
        <v>0</v>
      </c>
      <c r="AR39" s="18">
        <f>AR37-AR38</f>
        <v>0</v>
      </c>
      <c r="AS39" s="18">
        <f>AS37-AS38</f>
        <v>0</v>
      </c>
      <c r="AT39" s="18">
        <f>AT37-AT38</f>
        <v>0</v>
      </c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</row>
    <row r="40" spans="1:138" x14ac:dyDescent="0.3">
      <c r="B40" s="17"/>
      <c r="C40" s="17"/>
      <c r="D40" s="17"/>
      <c r="E40" s="17"/>
      <c r="F40" s="29"/>
      <c r="G40" s="17"/>
      <c r="H40" s="17"/>
      <c r="I40" s="17"/>
      <c r="J40" s="17"/>
      <c r="K40" s="29"/>
      <c r="L40" s="17"/>
      <c r="M40" s="17"/>
      <c r="N40" s="17"/>
      <c r="O40" s="17"/>
      <c r="P40" s="29"/>
      <c r="Q40" s="17"/>
      <c r="R40" s="17"/>
      <c r="S40" s="17"/>
      <c r="T40" s="17"/>
      <c r="U40" s="29"/>
      <c r="V40" s="17"/>
      <c r="W40" s="17"/>
      <c r="X40" s="17"/>
      <c r="Y40" s="17"/>
      <c r="Z40" s="29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</row>
    <row r="41" spans="1:138" x14ac:dyDescent="0.3">
      <c r="B41" s="17"/>
      <c r="C41" s="17"/>
      <c r="D41" s="17"/>
      <c r="E41" s="17"/>
      <c r="F41" s="29"/>
      <c r="G41" s="17"/>
      <c r="H41" s="17"/>
      <c r="I41" s="17"/>
      <c r="J41" s="17"/>
      <c r="K41" s="29"/>
      <c r="L41" s="17"/>
      <c r="M41" s="17"/>
      <c r="N41" s="17"/>
      <c r="O41" s="17"/>
      <c r="P41" s="29"/>
      <c r="Q41" s="17"/>
      <c r="R41" s="17"/>
      <c r="S41" s="17"/>
      <c r="T41" s="17"/>
      <c r="U41" s="29"/>
      <c r="V41" s="17"/>
      <c r="W41" s="17"/>
      <c r="X41" s="17"/>
      <c r="Y41" s="17"/>
      <c r="Z41" s="29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</row>
    <row r="42" spans="1:138" x14ac:dyDescent="0.3">
      <c r="A42" t="s">
        <v>72</v>
      </c>
      <c r="B42" s="17">
        <v>62741</v>
      </c>
      <c r="C42" s="17">
        <v>87212</v>
      </c>
      <c r="D42" s="17">
        <v>122886</v>
      </c>
      <c r="E42" s="17">
        <v>147449</v>
      </c>
      <c r="F42" s="29">
        <v>147449</v>
      </c>
      <c r="G42" s="17">
        <v>115374</v>
      </c>
      <c r="H42" s="17">
        <v>245406</v>
      </c>
      <c r="I42" s="17">
        <v>169286</v>
      </c>
      <c r="J42" s="17">
        <v>228698</v>
      </c>
      <c r="K42" s="29">
        <v>228698</v>
      </c>
      <c r="L42" s="17">
        <v>252765</v>
      </c>
      <c r="M42" s="17">
        <v>246992</v>
      </c>
      <c r="N42" s="17">
        <v>207204</v>
      </c>
      <c r="O42" s="17">
        <v>149800</v>
      </c>
      <c r="P42" s="29">
        <v>149800</v>
      </c>
      <c r="Q42" s="17">
        <v>174562</v>
      </c>
      <c r="R42" s="17">
        <v>143893</v>
      </c>
      <c r="S42" s="17">
        <v>144761</v>
      </c>
      <c r="T42" s="17">
        <v>90466</v>
      </c>
      <c r="U42" s="29">
        <v>90466</v>
      </c>
      <c r="V42" s="17">
        <v>56953</v>
      </c>
      <c r="W42" s="17">
        <v>53572</v>
      </c>
      <c r="X42" s="17">
        <v>46529</v>
      </c>
      <c r="Y42" s="17">
        <v>42925</v>
      </c>
      <c r="Z42" s="29">
        <v>42925</v>
      </c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</row>
    <row r="43" spans="1:138" x14ac:dyDescent="0.3">
      <c r="A43" t="s">
        <v>73</v>
      </c>
      <c r="B43" s="17">
        <v>105297</v>
      </c>
      <c r="C43" s="17">
        <v>49553</v>
      </c>
      <c r="D43" s="17">
        <v>22727</v>
      </c>
      <c r="E43" s="17">
        <v>245</v>
      </c>
      <c r="F43" s="29">
        <v>245</v>
      </c>
      <c r="G43" s="17">
        <v>0</v>
      </c>
      <c r="H43" s="17">
        <v>49943</v>
      </c>
      <c r="I43" s="17">
        <v>99969</v>
      </c>
      <c r="J43" s="17">
        <v>39992</v>
      </c>
      <c r="K43" s="29">
        <v>39992</v>
      </c>
      <c r="L43" s="17">
        <v>19999</v>
      </c>
      <c r="M43" s="17">
        <v>0</v>
      </c>
      <c r="N43" s="17">
        <v>0</v>
      </c>
      <c r="O43" s="17">
        <v>0</v>
      </c>
      <c r="P43" s="29">
        <v>0</v>
      </c>
      <c r="Q43" s="17">
        <v>0</v>
      </c>
      <c r="R43" s="17">
        <v>0</v>
      </c>
      <c r="S43" s="17">
        <v>0</v>
      </c>
      <c r="T43" s="17">
        <v>0</v>
      </c>
      <c r="U43" s="29">
        <v>0</v>
      </c>
      <c r="V43" s="17">
        <v>0</v>
      </c>
      <c r="W43" s="17">
        <v>0</v>
      </c>
      <c r="X43" s="17">
        <v>0</v>
      </c>
      <c r="Y43" s="17">
        <v>0</v>
      </c>
      <c r="Z43" s="29">
        <v>0</v>
      </c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</row>
    <row r="44" spans="1:138" x14ac:dyDescent="0.3">
      <c r="A44" t="s">
        <v>74</v>
      </c>
      <c r="B44" s="17">
        <v>115206</v>
      </c>
      <c r="C44" s="17">
        <v>122137</v>
      </c>
      <c r="D44" s="17">
        <v>115987</v>
      </c>
      <c r="E44" s="17">
        <v>116349</v>
      </c>
      <c r="F44" s="29">
        <v>116349</v>
      </c>
      <c r="G44" s="17">
        <v>111854</v>
      </c>
      <c r="H44" s="17">
        <v>104603</v>
      </c>
      <c r="I44" s="17">
        <v>88242</v>
      </c>
      <c r="J44" s="17">
        <v>61017</v>
      </c>
      <c r="K44" s="29">
        <v>61017</v>
      </c>
      <c r="L44" s="17">
        <v>44806</v>
      </c>
      <c r="M44" s="17">
        <v>37898</v>
      </c>
      <c r="N44" s="17">
        <v>33688</v>
      </c>
      <c r="O44" s="17">
        <v>38195</v>
      </c>
      <c r="P44" s="29">
        <v>38195</v>
      </c>
      <c r="Q44" s="17">
        <v>39422</v>
      </c>
      <c r="R44" s="17">
        <v>36272</v>
      </c>
      <c r="S44" s="17">
        <v>40039</v>
      </c>
      <c r="T44" s="17">
        <v>21762</v>
      </c>
      <c r="U44" s="29">
        <v>21762</v>
      </c>
      <c r="V44" s="17">
        <v>20604</v>
      </c>
      <c r="W44" s="17">
        <v>20905</v>
      </c>
      <c r="X44" s="17">
        <v>18442</v>
      </c>
      <c r="Y44" s="17">
        <v>15691</v>
      </c>
      <c r="Z44" s="29">
        <v>15691</v>
      </c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</row>
    <row r="45" spans="1:138" x14ac:dyDescent="0.3">
      <c r="A45" t="s">
        <v>75</v>
      </c>
      <c r="B45" s="17">
        <v>48435</v>
      </c>
      <c r="C45" s="17">
        <v>28888</v>
      </c>
      <c r="D45" s="17">
        <v>29654</v>
      </c>
      <c r="E45" s="17">
        <v>38864</v>
      </c>
      <c r="F45" s="29">
        <v>38864</v>
      </c>
      <c r="G45" s="17">
        <v>104872</v>
      </c>
      <c r="H45" s="17">
        <v>39115</v>
      </c>
      <c r="I45" s="17">
        <v>24466</v>
      </c>
      <c r="J45" s="17">
        <v>26853</v>
      </c>
      <c r="K45" s="29">
        <v>26853</v>
      </c>
      <c r="L45" s="17">
        <v>35233</v>
      </c>
      <c r="M45" s="17">
        <v>35005</v>
      </c>
      <c r="N45" s="17">
        <v>49690</v>
      </c>
      <c r="O45" s="17">
        <v>50875</v>
      </c>
      <c r="P45" s="29">
        <v>50875</v>
      </c>
      <c r="Q45" s="17">
        <v>64582</v>
      </c>
      <c r="R45" s="17">
        <v>81869</v>
      </c>
      <c r="S45" s="17">
        <v>23094</v>
      </c>
      <c r="T45" s="17">
        <v>39180</v>
      </c>
      <c r="U45" s="29">
        <v>39180</v>
      </c>
      <c r="V45" s="17">
        <v>17781</v>
      </c>
      <c r="W45" s="17">
        <v>19572</v>
      </c>
      <c r="X45" s="17">
        <v>22592</v>
      </c>
      <c r="Y45" s="17">
        <v>39290</v>
      </c>
      <c r="Z45" s="29">
        <v>39290</v>
      </c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</row>
    <row r="46" spans="1:138" x14ac:dyDescent="0.3">
      <c r="A46" t="s">
        <v>76</v>
      </c>
      <c r="B46" s="17">
        <v>15554</v>
      </c>
      <c r="C46" s="17">
        <v>28606</v>
      </c>
      <c r="D46" s="17">
        <v>7754</v>
      </c>
      <c r="E46" s="17">
        <v>6626</v>
      </c>
      <c r="F46" s="29">
        <v>6626</v>
      </c>
      <c r="G46" s="17">
        <v>8656</v>
      </c>
      <c r="H46" s="17">
        <v>10035</v>
      </c>
      <c r="I46" s="17">
        <v>9037</v>
      </c>
      <c r="J46" s="17">
        <v>14877</v>
      </c>
      <c r="K46" s="29">
        <v>14877</v>
      </c>
      <c r="L46" s="17">
        <v>12214</v>
      </c>
      <c r="M46" s="17">
        <v>11181</v>
      </c>
      <c r="N46" s="17">
        <v>39502</v>
      </c>
      <c r="O46" s="17">
        <v>33140</v>
      </c>
      <c r="P46" s="29">
        <v>33140</v>
      </c>
      <c r="Q46" s="17">
        <v>24121</v>
      </c>
      <c r="R46" s="17">
        <v>42129</v>
      </c>
      <c r="S46" s="17">
        <v>29618</v>
      </c>
      <c r="T46" s="17">
        <v>33541</v>
      </c>
      <c r="U46" s="29">
        <v>33541</v>
      </c>
      <c r="V46" s="17">
        <v>25381</v>
      </c>
      <c r="W46" s="17">
        <v>24398</v>
      </c>
      <c r="X46" s="17">
        <v>22039</v>
      </c>
      <c r="Y46" s="17">
        <v>20243</v>
      </c>
      <c r="Z46" s="29">
        <v>20243</v>
      </c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</row>
    <row r="47" spans="1:138" ht="17.399999999999999" x14ac:dyDescent="0.35">
      <c r="A47" s="20" t="s">
        <v>77</v>
      </c>
      <c r="B47" s="18">
        <f t="shared" ref="B47:AA47" si="15">B42+B43+B44+B45+B46</f>
        <v>347233</v>
      </c>
      <c r="C47" s="18">
        <f t="shared" si="15"/>
        <v>316396</v>
      </c>
      <c r="D47" s="18">
        <f t="shared" si="15"/>
        <v>299008</v>
      </c>
      <c r="E47" s="18">
        <f t="shared" si="15"/>
        <v>309533</v>
      </c>
      <c r="F47" s="30">
        <f t="shared" si="15"/>
        <v>309533</v>
      </c>
      <c r="G47" s="18">
        <f t="shared" si="15"/>
        <v>340756</v>
      </c>
      <c r="H47" s="18">
        <f t="shared" si="15"/>
        <v>449102</v>
      </c>
      <c r="I47" s="18">
        <f t="shared" si="15"/>
        <v>391000</v>
      </c>
      <c r="J47" s="18">
        <f t="shared" si="15"/>
        <v>371437</v>
      </c>
      <c r="K47" s="30">
        <f t="shared" si="15"/>
        <v>371437</v>
      </c>
      <c r="L47" s="18">
        <f t="shared" si="15"/>
        <v>365017</v>
      </c>
      <c r="M47" s="18">
        <f t="shared" si="15"/>
        <v>331076</v>
      </c>
      <c r="N47" s="18">
        <f t="shared" si="15"/>
        <v>330084</v>
      </c>
      <c r="O47" s="18">
        <f t="shared" si="15"/>
        <v>272010</v>
      </c>
      <c r="P47" s="30">
        <f t="shared" si="15"/>
        <v>272010</v>
      </c>
      <c r="Q47" s="18">
        <f t="shared" si="15"/>
        <v>302687</v>
      </c>
      <c r="R47" s="18">
        <f t="shared" si="15"/>
        <v>304163</v>
      </c>
      <c r="S47" s="18">
        <f t="shared" si="15"/>
        <v>237512</v>
      </c>
      <c r="T47" s="18">
        <f t="shared" si="15"/>
        <v>184949</v>
      </c>
      <c r="U47" s="30">
        <f t="shared" si="15"/>
        <v>184949</v>
      </c>
      <c r="V47" s="18">
        <f t="shared" si="15"/>
        <v>120719</v>
      </c>
      <c r="W47" s="18">
        <f t="shared" si="15"/>
        <v>118447</v>
      </c>
      <c r="X47" s="18">
        <f t="shared" si="15"/>
        <v>109602</v>
      </c>
      <c r="Y47" s="18">
        <f t="shared" si="15"/>
        <v>118149</v>
      </c>
      <c r="Z47" s="30">
        <f t="shared" si="15"/>
        <v>118149</v>
      </c>
      <c r="AA47" s="18">
        <f t="shared" si="15"/>
        <v>0</v>
      </c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</row>
    <row r="48" spans="1:138" x14ac:dyDescent="0.3">
      <c r="A48" t="s">
        <v>78</v>
      </c>
      <c r="B48" s="17">
        <v>9512</v>
      </c>
      <c r="C48" s="17">
        <v>10903</v>
      </c>
      <c r="D48" s="17">
        <v>12799</v>
      </c>
      <c r="E48" s="17">
        <v>10380</v>
      </c>
      <c r="F48" s="29">
        <v>10380</v>
      </c>
      <c r="G48" s="17">
        <v>9855</v>
      </c>
      <c r="H48" s="17">
        <v>9380</v>
      </c>
      <c r="I48" s="17">
        <v>8821</v>
      </c>
      <c r="J48" s="17">
        <v>8622</v>
      </c>
      <c r="K48" s="29">
        <v>8622</v>
      </c>
      <c r="L48" s="17">
        <v>8168</v>
      </c>
      <c r="M48" s="17">
        <v>7670</v>
      </c>
      <c r="N48" s="17">
        <v>7196</v>
      </c>
      <c r="O48" s="17">
        <v>6754</v>
      </c>
      <c r="P48" s="29">
        <v>6754</v>
      </c>
      <c r="Q48" s="17">
        <v>6451</v>
      </c>
      <c r="R48" s="17">
        <v>6035</v>
      </c>
      <c r="S48" s="17">
        <v>5622</v>
      </c>
      <c r="T48" s="17">
        <v>5214</v>
      </c>
      <c r="U48" s="29">
        <v>5214</v>
      </c>
      <c r="V48" s="17">
        <v>4816</v>
      </c>
      <c r="W48" s="17">
        <v>4419</v>
      </c>
      <c r="X48" s="17">
        <v>4023</v>
      </c>
      <c r="Y48" s="17">
        <v>3629</v>
      </c>
      <c r="Z48" s="29">
        <v>3629</v>
      </c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</row>
    <row r="49" spans="1:138" x14ac:dyDescent="0.3">
      <c r="A49" t="s">
        <v>79</v>
      </c>
      <c r="B49" s="17">
        <v>32399</v>
      </c>
      <c r="C49" s="17">
        <v>31224</v>
      </c>
      <c r="D49" s="17">
        <v>30141</v>
      </c>
      <c r="E49" s="17">
        <v>29038</v>
      </c>
      <c r="F49" s="29">
        <v>29038</v>
      </c>
      <c r="G49" s="17">
        <v>28026</v>
      </c>
      <c r="H49" s="17">
        <v>26884</v>
      </c>
      <c r="I49" s="17">
        <v>25721</v>
      </c>
      <c r="J49" s="17">
        <v>26876</v>
      </c>
      <c r="K49" s="29">
        <v>26876</v>
      </c>
      <c r="L49" s="17">
        <v>25670</v>
      </c>
      <c r="M49" s="17">
        <v>24442</v>
      </c>
      <c r="N49" s="17">
        <v>23192</v>
      </c>
      <c r="O49" s="17">
        <v>33852</v>
      </c>
      <c r="P49" s="29">
        <v>33852</v>
      </c>
      <c r="Q49" s="17">
        <v>32631</v>
      </c>
      <c r="R49" s="17">
        <v>31494</v>
      </c>
      <c r="S49" s="17">
        <v>30337</v>
      </c>
      <c r="T49" s="17">
        <v>29158</v>
      </c>
      <c r="U49" s="29">
        <v>29158</v>
      </c>
      <c r="V49" s="17">
        <v>27958</v>
      </c>
      <c r="W49" s="17">
        <v>14391</v>
      </c>
      <c r="X49" s="17">
        <v>13414</v>
      </c>
      <c r="Y49" s="17">
        <v>12416</v>
      </c>
      <c r="Z49" s="29">
        <v>12416</v>
      </c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</row>
    <row r="50" spans="1:138" x14ac:dyDescent="0.3">
      <c r="A50" t="s">
        <v>80</v>
      </c>
      <c r="B50" s="17">
        <v>55053</v>
      </c>
      <c r="C50" s="17">
        <v>55053</v>
      </c>
      <c r="D50" s="17">
        <v>55053</v>
      </c>
      <c r="E50" s="17">
        <v>55053</v>
      </c>
      <c r="F50" s="29">
        <v>55053</v>
      </c>
      <c r="G50" s="17">
        <v>55053</v>
      </c>
      <c r="H50" s="17">
        <v>55053</v>
      </c>
      <c r="I50" s="17">
        <v>55053</v>
      </c>
      <c r="J50" s="17">
        <v>55053</v>
      </c>
      <c r="K50" s="29">
        <v>55053</v>
      </c>
      <c r="L50" s="17">
        <v>55053</v>
      </c>
      <c r="M50" s="17">
        <v>55053</v>
      </c>
      <c r="N50" s="17">
        <v>55053</v>
      </c>
      <c r="O50" s="17">
        <v>55053</v>
      </c>
      <c r="P50" s="29">
        <v>55053</v>
      </c>
      <c r="Q50" s="17">
        <v>55053</v>
      </c>
      <c r="R50" s="17">
        <v>55053</v>
      </c>
      <c r="S50" s="17">
        <v>55053</v>
      </c>
      <c r="T50" s="17">
        <v>55053</v>
      </c>
      <c r="U50" s="29">
        <v>55053</v>
      </c>
      <c r="V50" s="17">
        <v>55053</v>
      </c>
      <c r="W50" s="17">
        <v>54063</v>
      </c>
      <c r="X50" s="17">
        <v>59044</v>
      </c>
      <c r="Y50" s="17">
        <v>59044</v>
      </c>
      <c r="Z50" s="29">
        <v>59044</v>
      </c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</row>
    <row r="51" spans="1:138" x14ac:dyDescent="0.3">
      <c r="A51" t="s">
        <v>81</v>
      </c>
      <c r="B51" s="17">
        <v>318513</v>
      </c>
      <c r="C51" s="17">
        <v>309413</v>
      </c>
      <c r="D51" s="17">
        <v>300312</v>
      </c>
      <c r="E51" s="17">
        <v>291212</v>
      </c>
      <c r="F51" s="29">
        <v>291212</v>
      </c>
      <c r="G51" s="17">
        <v>282112</v>
      </c>
      <c r="H51" s="17">
        <v>157484</v>
      </c>
      <c r="I51" s="17">
        <v>151378</v>
      </c>
      <c r="J51" s="17">
        <v>144170</v>
      </c>
      <c r="K51" s="29">
        <v>144170</v>
      </c>
      <c r="L51" s="17">
        <v>135159</v>
      </c>
      <c r="M51" s="17">
        <v>126148</v>
      </c>
      <c r="N51" s="17">
        <v>117138</v>
      </c>
      <c r="O51" s="17">
        <v>108127</v>
      </c>
      <c r="P51" s="29">
        <v>108127</v>
      </c>
      <c r="Q51" s="17">
        <v>99116</v>
      </c>
      <c r="R51" s="17">
        <v>90106</v>
      </c>
      <c r="S51" s="17">
        <v>81095</v>
      </c>
      <c r="T51" s="17">
        <v>72084</v>
      </c>
      <c r="U51" s="29">
        <v>72084</v>
      </c>
      <c r="V51" s="17">
        <v>63074</v>
      </c>
      <c r="W51" s="17">
        <v>59044</v>
      </c>
      <c r="X51" s="17">
        <v>45053</v>
      </c>
      <c r="Y51" s="17">
        <v>36042</v>
      </c>
      <c r="Z51" s="29">
        <v>36042</v>
      </c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</row>
    <row r="52" spans="1:138" x14ac:dyDescent="0.3">
      <c r="A52" t="s">
        <v>82</v>
      </c>
      <c r="B52" s="17">
        <v>128083</v>
      </c>
      <c r="C52" s="17">
        <v>100539</v>
      </c>
      <c r="D52" s="17">
        <v>97907</v>
      </c>
      <c r="E52" s="17">
        <v>75985</v>
      </c>
      <c r="F52" s="29">
        <v>75985</v>
      </c>
      <c r="G52" s="17">
        <v>71917</v>
      </c>
      <c r="H52" s="17">
        <v>47271</v>
      </c>
      <c r="I52" s="17">
        <v>44170</v>
      </c>
      <c r="J52" s="17">
        <v>37981</v>
      </c>
      <c r="K52" s="29">
        <v>37981</v>
      </c>
      <c r="L52" s="17">
        <v>39636</v>
      </c>
      <c r="M52" s="17">
        <v>67474</v>
      </c>
      <c r="N52" s="17">
        <v>69604</v>
      </c>
      <c r="O52" s="17">
        <v>49754</v>
      </c>
      <c r="P52" s="29">
        <v>49754</v>
      </c>
      <c r="Q52" s="17">
        <v>39418</v>
      </c>
      <c r="R52" s="17">
        <v>34953</v>
      </c>
      <c r="S52" s="17">
        <v>26275</v>
      </c>
      <c r="T52" s="17">
        <v>5372</v>
      </c>
      <c r="U52" s="29">
        <v>5372</v>
      </c>
      <c r="V52" s="17">
        <v>5238</v>
      </c>
      <c r="W52" s="17">
        <v>3348</v>
      </c>
      <c r="X52" s="17">
        <v>3862</v>
      </c>
      <c r="Y52" s="17">
        <v>12423</v>
      </c>
      <c r="Z52" s="29">
        <v>12423</v>
      </c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</row>
    <row r="53" spans="1:138" ht="17.399999999999999" x14ac:dyDescent="0.35">
      <c r="A53" s="20" t="s">
        <v>83</v>
      </c>
      <c r="B53" s="18">
        <f t="shared" ref="B53:AA53" si="16">B48+B49+B50+B51+B52</f>
        <v>543560</v>
      </c>
      <c r="C53" s="18">
        <f t="shared" si="16"/>
        <v>507132</v>
      </c>
      <c r="D53" s="18">
        <f t="shared" si="16"/>
        <v>496212</v>
      </c>
      <c r="E53" s="18">
        <f t="shared" si="16"/>
        <v>461668</v>
      </c>
      <c r="F53" s="30">
        <f t="shared" si="16"/>
        <v>461668</v>
      </c>
      <c r="G53" s="18">
        <f t="shared" si="16"/>
        <v>446963</v>
      </c>
      <c r="H53" s="18">
        <f t="shared" si="16"/>
        <v>296072</v>
      </c>
      <c r="I53" s="18">
        <f t="shared" si="16"/>
        <v>285143</v>
      </c>
      <c r="J53" s="18">
        <f t="shared" si="16"/>
        <v>272702</v>
      </c>
      <c r="K53" s="30">
        <f t="shared" si="16"/>
        <v>272702</v>
      </c>
      <c r="L53" s="18">
        <f t="shared" si="16"/>
        <v>263686</v>
      </c>
      <c r="M53" s="18">
        <f t="shared" si="16"/>
        <v>280787</v>
      </c>
      <c r="N53" s="18">
        <f t="shared" si="16"/>
        <v>272183</v>
      </c>
      <c r="O53" s="18">
        <f t="shared" si="16"/>
        <v>253540</v>
      </c>
      <c r="P53" s="30">
        <f t="shared" si="16"/>
        <v>253540</v>
      </c>
      <c r="Q53" s="18">
        <f t="shared" si="16"/>
        <v>232669</v>
      </c>
      <c r="R53" s="18">
        <f t="shared" si="16"/>
        <v>217641</v>
      </c>
      <c r="S53" s="18">
        <f t="shared" si="16"/>
        <v>198382</v>
      </c>
      <c r="T53" s="18">
        <f t="shared" si="16"/>
        <v>166881</v>
      </c>
      <c r="U53" s="30">
        <f t="shared" si="16"/>
        <v>166881</v>
      </c>
      <c r="V53" s="18">
        <f t="shared" si="16"/>
        <v>156139</v>
      </c>
      <c r="W53" s="18">
        <f t="shared" si="16"/>
        <v>135265</v>
      </c>
      <c r="X53" s="18">
        <f t="shared" si="16"/>
        <v>125396</v>
      </c>
      <c r="Y53" s="18">
        <f t="shared" si="16"/>
        <v>123554</v>
      </c>
      <c r="Z53" s="30">
        <f t="shared" si="16"/>
        <v>123554</v>
      </c>
      <c r="AA53" s="18">
        <f t="shared" si="16"/>
        <v>0</v>
      </c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</row>
    <row r="54" spans="1:138" ht="17.399999999999999" x14ac:dyDescent="0.35">
      <c r="A54" s="20" t="s">
        <v>84</v>
      </c>
      <c r="B54" s="18">
        <f t="shared" ref="B54:AA54" si="17">B47+B53</f>
        <v>890793</v>
      </c>
      <c r="C54" s="18">
        <f t="shared" si="17"/>
        <v>823528</v>
      </c>
      <c r="D54" s="18">
        <f t="shared" si="17"/>
        <v>795220</v>
      </c>
      <c r="E54" s="18">
        <f t="shared" si="17"/>
        <v>771201</v>
      </c>
      <c r="F54" s="30">
        <f t="shared" si="17"/>
        <v>771201</v>
      </c>
      <c r="G54" s="18">
        <f t="shared" si="17"/>
        <v>787719</v>
      </c>
      <c r="H54" s="18">
        <f t="shared" si="17"/>
        <v>745174</v>
      </c>
      <c r="I54" s="18">
        <f t="shared" si="17"/>
        <v>676143</v>
      </c>
      <c r="J54" s="18">
        <f t="shared" si="17"/>
        <v>644139</v>
      </c>
      <c r="K54" s="30">
        <f t="shared" si="17"/>
        <v>644139</v>
      </c>
      <c r="L54" s="18">
        <f t="shared" si="17"/>
        <v>628703</v>
      </c>
      <c r="M54" s="18">
        <f t="shared" si="17"/>
        <v>611863</v>
      </c>
      <c r="N54" s="18">
        <f t="shared" si="17"/>
        <v>602267</v>
      </c>
      <c r="O54" s="18">
        <f t="shared" si="17"/>
        <v>525550</v>
      </c>
      <c r="P54" s="30">
        <f t="shared" si="17"/>
        <v>525550</v>
      </c>
      <c r="Q54" s="18">
        <f t="shared" si="17"/>
        <v>535356</v>
      </c>
      <c r="R54" s="18">
        <f t="shared" si="17"/>
        <v>521804</v>
      </c>
      <c r="S54" s="18">
        <f t="shared" si="17"/>
        <v>435894</v>
      </c>
      <c r="T54" s="18">
        <f t="shared" si="17"/>
        <v>351830</v>
      </c>
      <c r="U54" s="30">
        <f t="shared" si="17"/>
        <v>351830</v>
      </c>
      <c r="V54" s="18">
        <f t="shared" si="17"/>
        <v>276858</v>
      </c>
      <c r="W54" s="18">
        <f t="shared" si="17"/>
        <v>253712</v>
      </c>
      <c r="X54" s="18">
        <f t="shared" si="17"/>
        <v>234998</v>
      </c>
      <c r="Y54" s="18">
        <f t="shared" si="17"/>
        <v>241703</v>
      </c>
      <c r="Z54" s="30">
        <f t="shared" si="17"/>
        <v>241703</v>
      </c>
      <c r="AA54" s="18">
        <f t="shared" si="17"/>
        <v>0</v>
      </c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</row>
    <row r="55" spans="1:138" x14ac:dyDescent="0.3">
      <c r="B55" s="17"/>
      <c r="C55" s="17"/>
      <c r="D55" s="17"/>
      <c r="E55" s="17"/>
      <c r="F55" s="29"/>
      <c r="G55" s="17"/>
      <c r="H55" s="17"/>
      <c r="I55" s="17"/>
      <c r="J55" s="17"/>
      <c r="K55" s="29"/>
      <c r="L55" s="17"/>
      <c r="M55" s="17"/>
      <c r="N55" s="17"/>
      <c r="O55" s="17"/>
      <c r="P55" s="29"/>
      <c r="Q55" s="17"/>
      <c r="R55" s="17"/>
      <c r="S55" s="17"/>
      <c r="T55" s="17"/>
      <c r="U55" s="29"/>
      <c r="V55" s="17"/>
      <c r="W55" s="17"/>
      <c r="X55" s="17"/>
      <c r="Y55" s="17"/>
      <c r="Z55" s="29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</row>
    <row r="56" spans="1:138" x14ac:dyDescent="0.3">
      <c r="A56" t="s">
        <v>85</v>
      </c>
      <c r="B56" s="17">
        <v>15226</v>
      </c>
      <c r="C56" s="17">
        <v>19321</v>
      </c>
      <c r="D56" s="17">
        <v>64362</v>
      </c>
      <c r="E56" s="17">
        <v>39217</v>
      </c>
      <c r="F56" s="29">
        <v>39217</v>
      </c>
      <c r="G56" s="17">
        <v>54379</v>
      </c>
      <c r="H56" s="17">
        <v>29413</v>
      </c>
      <c r="I56" s="17">
        <v>40403</v>
      </c>
      <c r="J56" s="17">
        <v>41308</v>
      </c>
      <c r="K56" s="29">
        <v>41308</v>
      </c>
      <c r="L56" s="17">
        <v>30537</v>
      </c>
      <c r="M56" s="17">
        <v>41984</v>
      </c>
      <c r="N56" s="17">
        <v>28809</v>
      </c>
      <c r="O56" s="17">
        <v>33588</v>
      </c>
      <c r="P56" s="29">
        <v>33588</v>
      </c>
      <c r="Q56" s="17">
        <v>19466</v>
      </c>
      <c r="R56" s="17">
        <v>24944</v>
      </c>
      <c r="S56" s="17">
        <v>19708</v>
      </c>
      <c r="T56" s="17">
        <v>18021</v>
      </c>
      <c r="U56" s="29">
        <v>18021</v>
      </c>
      <c r="V56" s="17">
        <v>12577</v>
      </c>
      <c r="W56" s="17">
        <v>11776</v>
      </c>
      <c r="X56" s="17">
        <v>9038</v>
      </c>
      <c r="Y56" s="17">
        <v>14635</v>
      </c>
      <c r="Z56" s="29">
        <v>14635</v>
      </c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</row>
    <row r="57" spans="1:138" x14ac:dyDescent="0.3">
      <c r="A57" t="s">
        <v>86</v>
      </c>
      <c r="B57" s="17">
        <v>137803</v>
      </c>
      <c r="C57" s="17">
        <v>125981</v>
      </c>
      <c r="D57" s="17">
        <v>126644</v>
      </c>
      <c r="E57" s="17">
        <v>129071</v>
      </c>
      <c r="F57" s="29">
        <v>129071</v>
      </c>
      <c r="G57" s="17">
        <v>124887</v>
      </c>
      <c r="H57" s="17">
        <v>142832</v>
      </c>
      <c r="I57" s="17">
        <v>123021</v>
      </c>
      <c r="J57" s="17">
        <v>130624</v>
      </c>
      <c r="K57" s="29">
        <v>130624</v>
      </c>
      <c r="L57" s="17">
        <v>123889</v>
      </c>
      <c r="M57" s="17">
        <v>111742</v>
      </c>
      <c r="N57" s="17">
        <v>144704</v>
      </c>
      <c r="O57" s="17">
        <v>104456</v>
      </c>
      <c r="P57" s="29">
        <v>104456</v>
      </c>
      <c r="Q57" s="17">
        <v>109660</v>
      </c>
      <c r="R57" s="17">
        <v>91284</v>
      </c>
      <c r="S57" s="17">
        <v>87364</v>
      </c>
      <c r="T57" s="17">
        <v>70997</v>
      </c>
      <c r="U57" s="29">
        <v>70997</v>
      </c>
      <c r="V57" s="17">
        <v>46367</v>
      </c>
      <c r="W57" s="17">
        <v>56408</v>
      </c>
      <c r="X57" s="17">
        <v>62664</v>
      </c>
      <c r="Y57" s="17">
        <v>67735</v>
      </c>
      <c r="Z57" s="29">
        <v>67735</v>
      </c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</row>
    <row r="58" spans="1:138" ht="17.399999999999999" x14ac:dyDescent="0.35">
      <c r="A58" t="s">
        <v>87</v>
      </c>
      <c r="B58" s="17">
        <v>0</v>
      </c>
      <c r="C58" s="17">
        <v>0</v>
      </c>
      <c r="D58" s="17">
        <v>0</v>
      </c>
      <c r="E58" s="17">
        <v>0</v>
      </c>
      <c r="F58" s="29">
        <v>0</v>
      </c>
      <c r="G58" s="17">
        <v>0</v>
      </c>
      <c r="H58" s="17">
        <v>0</v>
      </c>
      <c r="I58" s="17">
        <v>0</v>
      </c>
      <c r="J58" s="17">
        <v>0</v>
      </c>
      <c r="K58" s="29">
        <v>0</v>
      </c>
      <c r="L58" s="17">
        <v>0</v>
      </c>
      <c r="M58" s="17">
        <v>0</v>
      </c>
      <c r="N58" s="17">
        <v>0</v>
      </c>
      <c r="O58" s="17">
        <v>0</v>
      </c>
      <c r="P58" s="29">
        <v>0</v>
      </c>
      <c r="Q58" s="23">
        <v>97848</v>
      </c>
      <c r="R58" s="17">
        <v>98158</v>
      </c>
      <c r="S58" s="17">
        <v>65947</v>
      </c>
      <c r="T58" s="17">
        <v>32000</v>
      </c>
      <c r="U58" s="29">
        <v>32000</v>
      </c>
      <c r="V58" s="17">
        <v>24000</v>
      </c>
      <c r="W58" s="17">
        <v>24000</v>
      </c>
      <c r="X58" s="17">
        <v>8000</v>
      </c>
      <c r="Y58" s="17">
        <v>17500</v>
      </c>
      <c r="Z58" s="29">
        <v>17500</v>
      </c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</row>
    <row r="59" spans="1:138" x14ac:dyDescent="0.3">
      <c r="A59" t="s">
        <v>88</v>
      </c>
      <c r="B59" s="17">
        <v>49584</v>
      </c>
      <c r="C59" s="17">
        <v>40316</v>
      </c>
      <c r="D59" s="17">
        <v>32142</v>
      </c>
      <c r="E59" s="17">
        <v>39830</v>
      </c>
      <c r="F59" s="29">
        <v>39830</v>
      </c>
      <c r="G59" s="17">
        <v>34886</v>
      </c>
      <c r="H59" s="17">
        <v>23529</v>
      </c>
      <c r="I59" s="17">
        <v>18034</v>
      </c>
      <c r="J59" s="17">
        <v>15214</v>
      </c>
      <c r="K59" s="29">
        <v>15214</v>
      </c>
      <c r="L59" s="17">
        <v>18253</v>
      </c>
      <c r="M59" s="17">
        <v>11869</v>
      </c>
      <c r="N59" s="17">
        <v>15692</v>
      </c>
      <c r="O59" s="17">
        <v>20906</v>
      </c>
      <c r="P59" s="29">
        <v>20906</v>
      </c>
      <c r="Q59" s="17">
        <v>10440</v>
      </c>
      <c r="R59" s="17">
        <v>5047</v>
      </c>
      <c r="S59" s="17">
        <v>1265</v>
      </c>
      <c r="T59" s="17">
        <v>3738</v>
      </c>
      <c r="U59" s="29">
        <v>3738</v>
      </c>
      <c r="V59" s="17">
        <v>0</v>
      </c>
      <c r="W59" s="17">
        <v>0</v>
      </c>
      <c r="X59" s="17">
        <v>0</v>
      </c>
      <c r="Y59" s="17">
        <v>0</v>
      </c>
      <c r="Z59" s="29">
        <v>0</v>
      </c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</row>
    <row r="60" spans="1:138" x14ac:dyDescent="0.3">
      <c r="A60" t="s">
        <v>89</v>
      </c>
      <c r="B60" s="17">
        <v>0</v>
      </c>
      <c r="C60" s="17">
        <v>0</v>
      </c>
      <c r="D60" s="17">
        <v>0</v>
      </c>
      <c r="E60" s="17">
        <v>0</v>
      </c>
      <c r="F60" s="29">
        <v>0</v>
      </c>
      <c r="G60" s="17">
        <v>0</v>
      </c>
      <c r="H60" s="17">
        <v>0</v>
      </c>
      <c r="I60" s="17">
        <v>0</v>
      </c>
      <c r="J60" s="17">
        <v>0</v>
      </c>
      <c r="K60" s="29">
        <v>0</v>
      </c>
      <c r="L60" s="17">
        <v>0</v>
      </c>
      <c r="M60" s="17">
        <v>0</v>
      </c>
      <c r="N60" s="17">
        <v>0</v>
      </c>
      <c r="O60" s="17">
        <v>97543</v>
      </c>
      <c r="P60" s="29">
        <v>97543</v>
      </c>
      <c r="Q60" s="17">
        <v>16500</v>
      </c>
      <c r="R60" s="17">
        <v>14247</v>
      </c>
      <c r="S60" s="17">
        <v>13681</v>
      </c>
      <c r="T60" s="17">
        <v>0</v>
      </c>
      <c r="U60" s="29">
        <v>0</v>
      </c>
      <c r="V60" s="17">
        <v>0</v>
      </c>
      <c r="W60" s="17">
        <v>0</v>
      </c>
      <c r="X60" s="17">
        <v>0</v>
      </c>
      <c r="Y60" s="17">
        <v>0</v>
      </c>
      <c r="Z60" s="29">
        <v>0</v>
      </c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</row>
    <row r="61" spans="1:138" ht="17.399999999999999" x14ac:dyDescent="0.35">
      <c r="A61" s="20" t="s">
        <v>90</v>
      </c>
      <c r="B61" s="18">
        <f t="shared" ref="B61:AA61" si="18">B56+B57+B58+B59+B60</f>
        <v>202613</v>
      </c>
      <c r="C61" s="18">
        <f t="shared" si="18"/>
        <v>185618</v>
      </c>
      <c r="D61" s="18">
        <f t="shared" si="18"/>
        <v>223148</v>
      </c>
      <c r="E61" s="18">
        <f t="shared" si="18"/>
        <v>208118</v>
      </c>
      <c r="F61" s="30">
        <f t="shared" si="18"/>
        <v>208118</v>
      </c>
      <c r="G61" s="18">
        <f t="shared" si="18"/>
        <v>214152</v>
      </c>
      <c r="H61" s="18">
        <f t="shared" si="18"/>
        <v>195774</v>
      </c>
      <c r="I61" s="18">
        <f t="shared" si="18"/>
        <v>181458</v>
      </c>
      <c r="J61" s="18">
        <f t="shared" si="18"/>
        <v>187146</v>
      </c>
      <c r="K61" s="30">
        <f t="shared" si="18"/>
        <v>187146</v>
      </c>
      <c r="L61" s="18">
        <f t="shared" si="18"/>
        <v>172679</v>
      </c>
      <c r="M61" s="18">
        <f t="shared" si="18"/>
        <v>165595</v>
      </c>
      <c r="N61" s="18">
        <f t="shared" si="18"/>
        <v>189205</v>
      </c>
      <c r="O61" s="18">
        <f t="shared" si="18"/>
        <v>256493</v>
      </c>
      <c r="P61" s="30">
        <f t="shared" si="18"/>
        <v>256493</v>
      </c>
      <c r="Q61" s="18">
        <f t="shared" si="18"/>
        <v>253914</v>
      </c>
      <c r="R61" s="18">
        <f t="shared" si="18"/>
        <v>233680</v>
      </c>
      <c r="S61" s="18">
        <f t="shared" si="18"/>
        <v>187965</v>
      </c>
      <c r="T61" s="18">
        <f t="shared" si="18"/>
        <v>124756</v>
      </c>
      <c r="U61" s="30">
        <f t="shared" si="18"/>
        <v>124756</v>
      </c>
      <c r="V61" s="18">
        <f t="shared" si="18"/>
        <v>82944</v>
      </c>
      <c r="W61" s="18">
        <f t="shared" si="18"/>
        <v>92184</v>
      </c>
      <c r="X61" s="18">
        <f t="shared" si="18"/>
        <v>79702</v>
      </c>
      <c r="Y61" s="18">
        <f t="shared" si="18"/>
        <v>99870</v>
      </c>
      <c r="Z61" s="30">
        <f t="shared" si="18"/>
        <v>99870</v>
      </c>
      <c r="AA61" s="18">
        <f t="shared" si="18"/>
        <v>0</v>
      </c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</row>
    <row r="62" spans="1:138" ht="17.399999999999999" x14ac:dyDescent="0.35">
      <c r="A62" s="22" t="s">
        <v>91</v>
      </c>
      <c r="B62" s="17">
        <v>0</v>
      </c>
      <c r="C62" s="17">
        <v>0</v>
      </c>
      <c r="D62" s="17">
        <v>0</v>
      </c>
      <c r="E62" s="17">
        <v>0</v>
      </c>
      <c r="F62" s="29">
        <v>0</v>
      </c>
      <c r="G62" s="17">
        <v>0</v>
      </c>
      <c r="H62" s="17">
        <v>0</v>
      </c>
      <c r="I62" s="17">
        <v>0</v>
      </c>
      <c r="J62" s="17">
        <v>0</v>
      </c>
      <c r="K62" s="29">
        <v>0</v>
      </c>
      <c r="L62" s="17">
        <v>0</v>
      </c>
      <c r="M62" s="17">
        <v>0</v>
      </c>
      <c r="N62" s="17">
        <v>0</v>
      </c>
      <c r="O62" s="17">
        <v>0</v>
      </c>
      <c r="P62" s="29">
        <v>0</v>
      </c>
      <c r="Q62" s="17">
        <v>0</v>
      </c>
      <c r="R62" s="17">
        <v>0</v>
      </c>
      <c r="S62" s="17">
        <v>0</v>
      </c>
      <c r="T62" s="17">
        <v>0</v>
      </c>
      <c r="U62" s="29">
        <v>0</v>
      </c>
      <c r="V62" s="17">
        <v>0</v>
      </c>
      <c r="W62" s="17">
        <v>0</v>
      </c>
      <c r="X62" s="17">
        <v>0</v>
      </c>
      <c r="Y62" s="17">
        <v>0</v>
      </c>
      <c r="Z62" s="29">
        <v>0</v>
      </c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</row>
    <row r="63" spans="1:138" ht="17.399999999999999" x14ac:dyDescent="0.35">
      <c r="A63" s="23" t="s">
        <v>92</v>
      </c>
      <c r="B63" s="17">
        <v>56887</v>
      </c>
      <c r="C63" s="17">
        <v>55558</v>
      </c>
      <c r="D63" s="17">
        <v>43887</v>
      </c>
      <c r="E63" s="17">
        <v>33120</v>
      </c>
      <c r="F63" s="29">
        <v>33120</v>
      </c>
      <c r="G63" s="17">
        <v>42799</v>
      </c>
      <c r="H63" s="17">
        <v>34542</v>
      </c>
      <c r="I63" s="17">
        <v>33660</v>
      </c>
      <c r="J63" s="17">
        <v>25345</v>
      </c>
      <c r="K63" s="29">
        <v>25345</v>
      </c>
      <c r="L63" s="17">
        <v>19299</v>
      </c>
      <c r="M63" s="17">
        <v>16598</v>
      </c>
      <c r="N63" s="17">
        <v>27965</v>
      </c>
      <c r="O63" s="17">
        <v>21474</v>
      </c>
      <c r="P63" s="29">
        <v>21474</v>
      </c>
      <c r="Q63" s="17">
        <v>65356</v>
      </c>
      <c r="R63" s="17">
        <v>43296</v>
      </c>
      <c r="S63" s="17">
        <v>43296</v>
      </c>
      <c r="T63" s="17">
        <v>43296</v>
      </c>
      <c r="U63" s="29">
        <v>43296</v>
      </c>
      <c r="V63" s="17">
        <v>43296</v>
      </c>
      <c r="W63" s="17">
        <v>43296</v>
      </c>
      <c r="X63" s="17">
        <v>43296</v>
      </c>
      <c r="Y63" s="17">
        <v>43296</v>
      </c>
      <c r="Z63" s="29">
        <v>43296</v>
      </c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</row>
    <row r="64" spans="1:138" ht="17.399999999999999" x14ac:dyDescent="0.35">
      <c r="A64" s="23" t="s">
        <v>93</v>
      </c>
      <c r="B64" s="17">
        <v>31304</v>
      </c>
      <c r="C64" s="17">
        <v>30069</v>
      </c>
      <c r="D64" s="17">
        <v>28811</v>
      </c>
      <c r="E64" s="17">
        <v>27528</v>
      </c>
      <c r="F64" s="29">
        <v>27528</v>
      </c>
      <c r="G64" s="17">
        <v>26207</v>
      </c>
      <c r="H64" s="17">
        <v>24862</v>
      </c>
      <c r="I64" s="17">
        <v>23494</v>
      </c>
      <c r="J64" s="17">
        <v>24621</v>
      </c>
      <c r="K64" s="29">
        <v>24621</v>
      </c>
      <c r="L64" s="17">
        <v>23185</v>
      </c>
      <c r="M64" s="17">
        <v>21735</v>
      </c>
      <c r="N64" s="17">
        <v>20257</v>
      </c>
      <c r="O64" s="17">
        <v>33703</v>
      </c>
      <c r="P64" s="29">
        <v>33703</v>
      </c>
      <c r="Q64" s="17">
        <v>32581</v>
      </c>
      <c r="R64" s="17">
        <v>31733</v>
      </c>
      <c r="S64" s="17">
        <v>30683</v>
      </c>
      <c r="T64" s="17">
        <v>28961</v>
      </c>
      <c r="U64" s="29">
        <v>28961</v>
      </c>
      <c r="V64" s="17">
        <v>27418</v>
      </c>
      <c r="W64" s="17">
        <v>11480</v>
      </c>
      <c r="X64" s="17">
        <v>10227</v>
      </c>
      <c r="Y64" s="17">
        <v>8947</v>
      </c>
      <c r="Z64" s="29">
        <v>8947</v>
      </c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</row>
    <row r="65" spans="1:138" ht="17.399999999999999" x14ac:dyDescent="0.35">
      <c r="A65" s="23" t="s">
        <v>94</v>
      </c>
      <c r="B65" s="17">
        <v>3874</v>
      </c>
      <c r="C65" s="17">
        <v>3029</v>
      </c>
      <c r="D65" s="17">
        <v>1752</v>
      </c>
      <c r="E65" s="17">
        <v>0</v>
      </c>
      <c r="F65" s="29">
        <v>0</v>
      </c>
      <c r="G65" s="17">
        <v>0</v>
      </c>
      <c r="H65" s="17">
        <v>0</v>
      </c>
      <c r="I65" s="17">
        <v>0</v>
      </c>
      <c r="J65" s="17">
        <v>0</v>
      </c>
      <c r="K65" s="29">
        <v>0</v>
      </c>
      <c r="L65" s="17">
        <v>0</v>
      </c>
      <c r="M65" s="17">
        <v>0</v>
      </c>
      <c r="N65" s="17">
        <v>0</v>
      </c>
      <c r="O65" s="17">
        <v>0</v>
      </c>
      <c r="P65" s="29">
        <v>0</v>
      </c>
      <c r="Q65" s="17">
        <v>0</v>
      </c>
      <c r="R65" s="17">
        <v>0</v>
      </c>
      <c r="S65" s="17">
        <v>0</v>
      </c>
      <c r="T65" s="17">
        <v>0</v>
      </c>
      <c r="U65" s="29">
        <v>0</v>
      </c>
      <c r="V65" s="17">
        <v>0</v>
      </c>
      <c r="W65" s="17">
        <v>0</v>
      </c>
      <c r="X65" s="17">
        <v>0</v>
      </c>
      <c r="Y65" s="17">
        <v>0</v>
      </c>
      <c r="Z65" s="29">
        <v>0</v>
      </c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</row>
    <row r="66" spans="1:138" ht="17.399999999999999" x14ac:dyDescent="0.35">
      <c r="A66" s="23" t="s">
        <v>95</v>
      </c>
      <c r="B66" s="17"/>
      <c r="C66" s="17"/>
      <c r="D66" s="17"/>
      <c r="E66" s="17">
        <v>1650</v>
      </c>
      <c r="F66" s="29">
        <v>1650</v>
      </c>
      <c r="G66" s="17">
        <v>1740</v>
      </c>
      <c r="H66" s="17">
        <v>1890</v>
      </c>
      <c r="I66" s="17">
        <v>1990</v>
      </c>
      <c r="J66" s="17">
        <v>2420</v>
      </c>
      <c r="K66" s="29">
        <v>2420</v>
      </c>
      <c r="L66" s="17">
        <v>2500</v>
      </c>
      <c r="M66" s="17">
        <v>1930</v>
      </c>
      <c r="N66" s="17">
        <v>1930</v>
      </c>
      <c r="O66" s="17">
        <v>1820</v>
      </c>
      <c r="P66" s="29">
        <v>1820</v>
      </c>
      <c r="Q66" s="17">
        <v>1110</v>
      </c>
      <c r="R66" s="17">
        <v>1110</v>
      </c>
      <c r="S66" s="17">
        <v>760</v>
      </c>
      <c r="T66" s="17">
        <v>760</v>
      </c>
      <c r="U66" s="29">
        <v>760</v>
      </c>
      <c r="V66" s="17">
        <v>760</v>
      </c>
      <c r="W66" s="17">
        <v>760</v>
      </c>
      <c r="X66" s="17">
        <v>760</v>
      </c>
      <c r="Y66" s="17">
        <v>0</v>
      </c>
      <c r="Z66" s="29">
        <v>0</v>
      </c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</row>
    <row r="67" spans="1:138" x14ac:dyDescent="0.3">
      <c r="A67" t="s">
        <v>96</v>
      </c>
      <c r="B67" s="17">
        <v>0</v>
      </c>
      <c r="C67" s="17">
        <v>0</v>
      </c>
      <c r="D67" s="17">
        <v>0</v>
      </c>
      <c r="E67" s="17">
        <v>75805</v>
      </c>
      <c r="F67" s="29">
        <v>75805</v>
      </c>
      <c r="G67" s="17">
        <v>76072</v>
      </c>
      <c r="H67" s="17">
        <v>76338</v>
      </c>
      <c r="I67" s="17">
        <v>76608</v>
      </c>
      <c r="J67" s="17">
        <v>96378</v>
      </c>
      <c r="K67" s="29">
        <v>96378</v>
      </c>
      <c r="L67" s="17">
        <v>96607</v>
      </c>
      <c r="M67" s="17">
        <v>96917</v>
      </c>
      <c r="N67" s="17">
        <v>97230</v>
      </c>
      <c r="O67" s="17"/>
      <c r="P67" s="29"/>
      <c r="Q67" s="17">
        <v>0</v>
      </c>
      <c r="R67" s="17">
        <v>0</v>
      </c>
      <c r="S67" s="17">
        <v>0</v>
      </c>
      <c r="T67" s="17">
        <v>34078</v>
      </c>
      <c r="U67" s="29">
        <v>34078</v>
      </c>
      <c r="V67" s="17">
        <v>26296</v>
      </c>
      <c r="W67" s="17">
        <v>18486</v>
      </c>
      <c r="X67" s="17">
        <v>34613</v>
      </c>
      <c r="Y67" s="17">
        <v>17183</v>
      </c>
      <c r="Z67" s="29">
        <v>17183</v>
      </c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</row>
    <row r="68" spans="1:138" x14ac:dyDescent="0.3">
      <c r="A68" t="s">
        <v>97</v>
      </c>
      <c r="B68" s="17"/>
      <c r="C68" s="17"/>
      <c r="D68" s="17"/>
      <c r="E68" s="17"/>
      <c r="F68" s="29"/>
      <c r="G68" s="17"/>
      <c r="H68" s="17"/>
      <c r="I68" s="17"/>
      <c r="J68" s="17"/>
      <c r="K68" s="29"/>
      <c r="L68" s="17">
        <v>46925</v>
      </c>
      <c r="M68" s="17">
        <v>49094</v>
      </c>
      <c r="N68" s="17">
        <v>51137</v>
      </c>
      <c r="O68" s="17">
        <v>53079</v>
      </c>
      <c r="P68" s="29">
        <v>53079</v>
      </c>
      <c r="Q68" s="17">
        <v>55095</v>
      </c>
      <c r="R68" s="17">
        <v>56743</v>
      </c>
      <c r="S68" s="17">
        <v>58236</v>
      </c>
      <c r="T68" s="17">
        <v>57484</v>
      </c>
      <c r="U68" s="29">
        <v>57484</v>
      </c>
      <c r="V68" s="17">
        <v>57059</v>
      </c>
      <c r="W68" s="17">
        <v>56548</v>
      </c>
      <c r="X68" s="17">
        <v>56061</v>
      </c>
      <c r="Y68" s="17">
        <v>54013</v>
      </c>
      <c r="Z68" s="29">
        <v>54013</v>
      </c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</row>
    <row r="69" spans="1:138" x14ac:dyDescent="0.3">
      <c r="A69" t="s">
        <v>98</v>
      </c>
      <c r="B69" s="17">
        <v>29736</v>
      </c>
      <c r="C69" s="17">
        <v>29898</v>
      </c>
      <c r="D69" s="17">
        <v>30060</v>
      </c>
      <c r="E69" s="17">
        <v>30223</v>
      </c>
      <c r="F69" s="29">
        <v>30223</v>
      </c>
      <c r="G69" s="17">
        <v>30385</v>
      </c>
      <c r="H69" s="17">
        <v>41508</v>
      </c>
      <c r="I69" s="17">
        <v>40971</v>
      </c>
      <c r="J69" s="17">
        <v>60611</v>
      </c>
      <c r="K69" s="29">
        <v>60611</v>
      </c>
      <c r="L69" s="17">
        <v>53617</v>
      </c>
      <c r="M69" s="17">
        <v>85363</v>
      </c>
      <c r="N69" s="17">
        <v>77393</v>
      </c>
      <c r="O69" s="17">
        <v>82525</v>
      </c>
      <c r="P69" s="29">
        <v>82525</v>
      </c>
      <c r="Q69" s="17">
        <f>23441+77743</f>
        <v>101184</v>
      </c>
      <c r="R69" s="17">
        <f>26053+66889</f>
        <v>92942</v>
      </c>
      <c r="S69" s="17">
        <f>26788+74313</f>
        <v>101101</v>
      </c>
      <c r="T69" s="17">
        <f>40992+12161</f>
        <v>53153</v>
      </c>
      <c r="U69" s="29">
        <f>40992+12161</f>
        <v>53153</v>
      </c>
      <c r="V69" s="17">
        <f>40794+12643</f>
        <v>53437</v>
      </c>
      <c r="W69" s="17">
        <f>40623+17142</f>
        <v>57765</v>
      </c>
      <c r="X69" s="17">
        <f>40346+9415</f>
        <v>49761</v>
      </c>
      <c r="Y69" s="17">
        <f>8885+40093</f>
        <v>48978</v>
      </c>
      <c r="Z69" s="29">
        <f>8885+40093</f>
        <v>48978</v>
      </c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</row>
    <row r="70" spans="1:138" ht="17.399999999999999" x14ac:dyDescent="0.35">
      <c r="A70" s="20" t="s">
        <v>99</v>
      </c>
      <c r="B70" s="18">
        <f>B62+B63+B64+B65+B67+B69</f>
        <v>121801</v>
      </c>
      <c r="C70" s="18">
        <f>C62+C63+C64+C65+C67+C69</f>
        <v>118554</v>
      </c>
      <c r="D70" s="18">
        <f>D62+D63+D64+D65+D67+D69</f>
        <v>104510</v>
      </c>
      <c r="E70" s="18">
        <f t="shared" ref="E70:K70" si="19">E62+E63+E64+E65+E67+E69+E66</f>
        <v>168326</v>
      </c>
      <c r="F70" s="30">
        <f t="shared" si="19"/>
        <v>168326</v>
      </c>
      <c r="G70" s="18">
        <f t="shared" si="19"/>
        <v>177203</v>
      </c>
      <c r="H70" s="18">
        <f t="shared" si="19"/>
        <v>179140</v>
      </c>
      <c r="I70" s="18">
        <f t="shared" si="19"/>
        <v>176723</v>
      </c>
      <c r="J70" s="18">
        <f t="shared" si="19"/>
        <v>209375</v>
      </c>
      <c r="K70" s="30">
        <f t="shared" si="19"/>
        <v>209375</v>
      </c>
      <c r="L70" s="18">
        <f t="shared" ref="L70:AA70" si="20">L62+L63+L64+L65+L67+L69+L66+L68</f>
        <v>242133</v>
      </c>
      <c r="M70" s="18">
        <f t="shared" si="20"/>
        <v>271637</v>
      </c>
      <c r="N70" s="18">
        <f t="shared" si="20"/>
        <v>275912</v>
      </c>
      <c r="O70" s="18">
        <f t="shared" si="20"/>
        <v>192601</v>
      </c>
      <c r="P70" s="30">
        <f t="shared" si="20"/>
        <v>192601</v>
      </c>
      <c r="Q70" s="18">
        <f t="shared" si="20"/>
        <v>255326</v>
      </c>
      <c r="R70" s="18">
        <f t="shared" si="20"/>
        <v>225824</v>
      </c>
      <c r="S70" s="18">
        <f t="shared" si="20"/>
        <v>234076</v>
      </c>
      <c r="T70" s="18">
        <f t="shared" si="20"/>
        <v>217732</v>
      </c>
      <c r="U70" s="30">
        <f t="shared" si="20"/>
        <v>217732</v>
      </c>
      <c r="V70" s="18">
        <f t="shared" si="20"/>
        <v>208266</v>
      </c>
      <c r="W70" s="18">
        <f t="shared" si="20"/>
        <v>188335</v>
      </c>
      <c r="X70" s="18">
        <f t="shared" si="20"/>
        <v>194718</v>
      </c>
      <c r="Y70" s="18">
        <f t="shared" si="20"/>
        <v>172417</v>
      </c>
      <c r="Z70" s="30">
        <f t="shared" si="20"/>
        <v>172417</v>
      </c>
      <c r="AA70" s="18">
        <f t="shared" si="20"/>
        <v>0</v>
      </c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</row>
    <row r="71" spans="1:138" ht="17.399999999999999" x14ac:dyDescent="0.35">
      <c r="A71" s="20" t="s">
        <v>100</v>
      </c>
      <c r="B71" s="18">
        <f t="shared" ref="B71:AA71" si="21">B61+B70</f>
        <v>324414</v>
      </c>
      <c r="C71" s="18">
        <f t="shared" si="21"/>
        <v>304172</v>
      </c>
      <c r="D71" s="18">
        <f t="shared" si="21"/>
        <v>327658</v>
      </c>
      <c r="E71" s="18">
        <f t="shared" si="21"/>
        <v>376444</v>
      </c>
      <c r="F71" s="30">
        <f t="shared" si="21"/>
        <v>376444</v>
      </c>
      <c r="G71" s="24">
        <f t="shared" si="21"/>
        <v>391355</v>
      </c>
      <c r="H71" s="18">
        <f t="shared" si="21"/>
        <v>374914</v>
      </c>
      <c r="I71" s="18">
        <f t="shared" si="21"/>
        <v>358181</v>
      </c>
      <c r="J71" s="18">
        <f t="shared" si="21"/>
        <v>396521</v>
      </c>
      <c r="K71" s="30">
        <f t="shared" si="21"/>
        <v>396521</v>
      </c>
      <c r="L71" s="18">
        <f t="shared" si="21"/>
        <v>414812</v>
      </c>
      <c r="M71" s="18">
        <f t="shared" si="21"/>
        <v>437232</v>
      </c>
      <c r="N71" s="18">
        <f t="shared" si="21"/>
        <v>465117</v>
      </c>
      <c r="O71" s="18">
        <f t="shared" si="21"/>
        <v>449094</v>
      </c>
      <c r="P71" s="30">
        <f t="shared" si="21"/>
        <v>449094</v>
      </c>
      <c r="Q71" s="18">
        <f t="shared" si="21"/>
        <v>509240</v>
      </c>
      <c r="R71" s="18">
        <f t="shared" si="21"/>
        <v>459504</v>
      </c>
      <c r="S71" s="18">
        <f t="shared" si="21"/>
        <v>422041</v>
      </c>
      <c r="T71" s="18">
        <f t="shared" si="21"/>
        <v>342488</v>
      </c>
      <c r="U71" s="30">
        <f t="shared" si="21"/>
        <v>342488</v>
      </c>
      <c r="V71" s="18">
        <f t="shared" si="21"/>
        <v>291210</v>
      </c>
      <c r="W71" s="18">
        <f t="shared" si="21"/>
        <v>280519</v>
      </c>
      <c r="X71" s="18">
        <f t="shared" si="21"/>
        <v>274420</v>
      </c>
      <c r="Y71" s="18">
        <f t="shared" si="21"/>
        <v>272287</v>
      </c>
      <c r="Z71" s="30">
        <f t="shared" si="21"/>
        <v>272287</v>
      </c>
      <c r="AA71" s="18">
        <f t="shared" si="21"/>
        <v>0</v>
      </c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</row>
    <row r="72" spans="1:138" x14ac:dyDescent="0.3">
      <c r="A72" t="s">
        <v>101</v>
      </c>
      <c r="B72" s="17">
        <f t="shared" ref="B72:AA72" si="22">B47-B61</f>
        <v>144620</v>
      </c>
      <c r="C72" s="17">
        <f t="shared" si="22"/>
        <v>130778</v>
      </c>
      <c r="D72" s="17">
        <f t="shared" si="22"/>
        <v>75860</v>
      </c>
      <c r="E72" s="17">
        <f t="shared" si="22"/>
        <v>101415</v>
      </c>
      <c r="F72" s="29">
        <f t="shared" si="22"/>
        <v>101415</v>
      </c>
      <c r="G72" s="17">
        <f t="shared" si="22"/>
        <v>126604</v>
      </c>
      <c r="H72" s="17">
        <f t="shared" si="22"/>
        <v>253328</v>
      </c>
      <c r="I72" s="17">
        <f t="shared" si="22"/>
        <v>209542</v>
      </c>
      <c r="J72" s="17">
        <f t="shared" si="22"/>
        <v>184291</v>
      </c>
      <c r="K72" s="29">
        <f t="shared" si="22"/>
        <v>184291</v>
      </c>
      <c r="L72" s="17">
        <f t="shared" si="22"/>
        <v>192338</v>
      </c>
      <c r="M72" s="17">
        <f t="shared" si="22"/>
        <v>165481</v>
      </c>
      <c r="N72" s="17">
        <f t="shared" si="22"/>
        <v>140879</v>
      </c>
      <c r="O72" s="17">
        <f t="shared" si="22"/>
        <v>15517</v>
      </c>
      <c r="P72" s="29">
        <f t="shared" si="22"/>
        <v>15517</v>
      </c>
      <c r="Q72" s="17">
        <f t="shared" si="22"/>
        <v>48773</v>
      </c>
      <c r="R72" s="17">
        <f t="shared" si="22"/>
        <v>70483</v>
      </c>
      <c r="S72" s="17">
        <f t="shared" si="22"/>
        <v>49547</v>
      </c>
      <c r="T72" s="17">
        <f t="shared" si="22"/>
        <v>60193</v>
      </c>
      <c r="U72" s="29">
        <f t="shared" si="22"/>
        <v>60193</v>
      </c>
      <c r="V72" s="17">
        <f t="shared" si="22"/>
        <v>37775</v>
      </c>
      <c r="W72" s="17">
        <f t="shared" si="22"/>
        <v>26263</v>
      </c>
      <c r="X72" s="17">
        <f t="shared" si="22"/>
        <v>29900</v>
      </c>
      <c r="Y72" s="17">
        <f t="shared" si="22"/>
        <v>18279</v>
      </c>
      <c r="Z72" s="29">
        <f t="shared" si="22"/>
        <v>18279</v>
      </c>
      <c r="AA72" s="17">
        <f t="shared" si="22"/>
        <v>0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</row>
    <row r="73" spans="1:138" x14ac:dyDescent="0.3">
      <c r="B73" s="17"/>
      <c r="C73" s="17"/>
      <c r="D73" s="17"/>
      <c r="E73" s="17"/>
      <c r="F73" s="29"/>
      <c r="G73" s="17"/>
      <c r="H73" s="17"/>
      <c r="I73" s="17"/>
      <c r="J73" s="17"/>
      <c r="K73" s="29"/>
      <c r="L73" s="17"/>
      <c r="M73" s="17"/>
      <c r="N73" s="17"/>
      <c r="O73" s="17"/>
      <c r="P73" s="29"/>
      <c r="Q73" s="17"/>
      <c r="R73" s="17"/>
      <c r="S73" s="17"/>
      <c r="T73" s="17"/>
      <c r="U73" s="29"/>
      <c r="V73" s="17"/>
      <c r="W73" s="17"/>
      <c r="X73" s="17"/>
      <c r="Y73" s="17"/>
      <c r="Z73" s="29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</row>
    <row r="74" spans="1:138" x14ac:dyDescent="0.3">
      <c r="A74" t="s">
        <v>102</v>
      </c>
      <c r="B74" s="17">
        <f t="shared" ref="B74:AA74" si="23">B54-B71</f>
        <v>566379</v>
      </c>
      <c r="C74" s="17">
        <f t="shared" si="23"/>
        <v>519356</v>
      </c>
      <c r="D74" s="17">
        <f t="shared" si="23"/>
        <v>467562</v>
      </c>
      <c r="E74" s="17">
        <f t="shared" si="23"/>
        <v>394757</v>
      </c>
      <c r="F74" s="29">
        <f t="shared" si="23"/>
        <v>394757</v>
      </c>
      <c r="G74" s="17">
        <f t="shared" si="23"/>
        <v>396364</v>
      </c>
      <c r="H74" s="17">
        <f t="shared" si="23"/>
        <v>370260</v>
      </c>
      <c r="I74" s="17">
        <f t="shared" si="23"/>
        <v>317962</v>
      </c>
      <c r="J74" s="17">
        <f t="shared" si="23"/>
        <v>247618</v>
      </c>
      <c r="K74" s="29">
        <f t="shared" si="23"/>
        <v>247618</v>
      </c>
      <c r="L74" s="17">
        <f t="shared" si="23"/>
        <v>213891</v>
      </c>
      <c r="M74" s="17">
        <f t="shared" si="23"/>
        <v>174631</v>
      </c>
      <c r="N74" s="17">
        <f t="shared" si="23"/>
        <v>137150</v>
      </c>
      <c r="O74" s="17">
        <f t="shared" si="23"/>
        <v>76456</v>
      </c>
      <c r="P74" s="29">
        <f t="shared" si="23"/>
        <v>76456</v>
      </c>
      <c r="Q74" s="17">
        <f t="shared" si="23"/>
        <v>26116</v>
      </c>
      <c r="R74" s="17">
        <f t="shared" si="23"/>
        <v>62300</v>
      </c>
      <c r="S74" s="17">
        <f t="shared" si="23"/>
        <v>13853</v>
      </c>
      <c r="T74" s="17">
        <f t="shared" si="23"/>
        <v>9342</v>
      </c>
      <c r="U74" s="29">
        <f t="shared" si="23"/>
        <v>9342</v>
      </c>
      <c r="V74" s="17">
        <f t="shared" si="23"/>
        <v>-14352</v>
      </c>
      <c r="W74" s="17">
        <f t="shared" si="23"/>
        <v>-26807</v>
      </c>
      <c r="X74" s="17">
        <f t="shared" si="23"/>
        <v>-39422</v>
      </c>
      <c r="Y74" s="17">
        <f t="shared" si="23"/>
        <v>-30584</v>
      </c>
      <c r="Z74" s="29">
        <f t="shared" si="23"/>
        <v>-30584</v>
      </c>
      <c r="AA74" s="17">
        <f t="shared" si="23"/>
        <v>0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</row>
    <row r="75" spans="1:138" x14ac:dyDescent="0.3">
      <c r="B75" s="17"/>
      <c r="C75" s="17"/>
      <c r="D75" s="17"/>
      <c r="E75" s="17"/>
      <c r="F75" s="29"/>
      <c r="G75" s="17"/>
      <c r="H75" s="17"/>
      <c r="I75" s="17"/>
      <c r="J75" s="17"/>
      <c r="K75" s="29"/>
      <c r="L75" s="17"/>
      <c r="M75" s="17"/>
      <c r="N75" s="17"/>
      <c r="O75" s="17"/>
      <c r="P75" s="29"/>
      <c r="Q75" s="17"/>
      <c r="R75" s="17"/>
      <c r="S75" s="17"/>
      <c r="T75" s="17"/>
      <c r="U75" s="29"/>
      <c r="V75" s="17"/>
      <c r="W75" s="17"/>
      <c r="X75" s="17"/>
      <c r="Y75" s="17"/>
      <c r="Z75" s="29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</row>
    <row r="76" spans="1:138" x14ac:dyDescent="0.3">
      <c r="B76" s="17"/>
      <c r="C76" s="17"/>
      <c r="D76" s="17"/>
      <c r="E76" s="17"/>
      <c r="F76" s="29"/>
      <c r="G76" s="17"/>
      <c r="H76" s="17"/>
      <c r="I76" s="17"/>
      <c r="J76" s="17"/>
      <c r="K76" s="29"/>
      <c r="L76" s="17"/>
      <c r="M76" s="17"/>
      <c r="N76" s="17"/>
      <c r="O76" s="17"/>
      <c r="P76" s="29"/>
      <c r="Q76" s="17"/>
      <c r="R76" s="17"/>
      <c r="S76" s="17"/>
      <c r="T76" s="17"/>
      <c r="U76" s="29"/>
      <c r="V76" s="17"/>
      <c r="W76" s="17"/>
      <c r="X76" s="17"/>
      <c r="Y76" s="17"/>
      <c r="Z76" s="29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73D4-5B89-4F98-AD25-9D0E43B58C3E}">
  <dimension ref="A1:S61"/>
  <sheetViews>
    <sheetView workbookViewId="0">
      <selection activeCell="H5" sqref="H5"/>
    </sheetView>
  </sheetViews>
  <sheetFormatPr defaultRowHeight="16.8" x14ac:dyDescent="0.3"/>
  <sheetData>
    <row r="1" spans="1:10" x14ac:dyDescent="0.3">
      <c r="A1" t="s">
        <v>0</v>
      </c>
    </row>
    <row r="2" spans="1:10" x14ac:dyDescent="0.3">
      <c r="B2" t="s">
        <v>103</v>
      </c>
      <c r="C2" t="s">
        <v>104</v>
      </c>
    </row>
    <row r="3" spans="1:10" x14ac:dyDescent="0.3">
      <c r="B3" t="s">
        <v>105</v>
      </c>
      <c r="C3" t="s">
        <v>10</v>
      </c>
    </row>
    <row r="4" spans="1:10" x14ac:dyDescent="0.3">
      <c r="B4" t="s">
        <v>3</v>
      </c>
      <c r="C4" t="s">
        <v>106</v>
      </c>
    </row>
    <row r="5" spans="1:10" x14ac:dyDescent="0.3">
      <c r="B5" t="s">
        <v>107</v>
      </c>
      <c r="C5" t="s">
        <v>108</v>
      </c>
    </row>
    <row r="6" spans="1:10" x14ac:dyDescent="0.3">
      <c r="B6" t="s">
        <v>109</v>
      </c>
      <c r="C6" t="s">
        <v>110</v>
      </c>
    </row>
    <row r="7" spans="1:10" x14ac:dyDescent="0.3">
      <c r="B7" t="s">
        <v>111</v>
      </c>
      <c r="C7" t="s">
        <v>112</v>
      </c>
    </row>
    <row r="8" spans="1:10" x14ac:dyDescent="0.3">
      <c r="B8" t="s">
        <v>113</v>
      </c>
      <c r="C8" t="s">
        <v>114</v>
      </c>
    </row>
    <row r="9" spans="1:10" x14ac:dyDescent="0.3">
      <c r="B9" t="s">
        <v>5</v>
      </c>
    </row>
    <row r="10" spans="1:10" x14ac:dyDescent="0.3">
      <c r="B10" t="s">
        <v>115</v>
      </c>
      <c r="C10" t="s">
        <v>116</v>
      </c>
    </row>
    <row r="11" spans="1:10" x14ac:dyDescent="0.3">
      <c r="B11" t="s">
        <v>117</v>
      </c>
      <c r="C11" t="s">
        <v>118</v>
      </c>
    </row>
    <row r="12" spans="1:10" x14ac:dyDescent="0.3">
      <c r="B12" t="s">
        <v>119</v>
      </c>
    </row>
    <row r="13" spans="1:10" x14ac:dyDescent="0.3">
      <c r="B13" s="10" t="s">
        <v>120</v>
      </c>
      <c r="C13" s="10" t="s">
        <v>121</v>
      </c>
    </row>
    <row r="14" spans="1:10" x14ac:dyDescent="0.3">
      <c r="B14" t="s">
        <v>122</v>
      </c>
      <c r="C14">
        <v>13</v>
      </c>
    </row>
    <row r="15" spans="1:10" x14ac:dyDescent="0.3">
      <c r="B15" t="s">
        <v>123</v>
      </c>
      <c r="C15">
        <v>2023</v>
      </c>
      <c r="J15" s="25" t="s">
        <v>124</v>
      </c>
    </row>
    <row r="16" spans="1:10" x14ac:dyDescent="0.3">
      <c r="B16" t="s">
        <v>125</v>
      </c>
      <c r="C16" t="s">
        <v>126</v>
      </c>
      <c r="J16" s="25" t="s">
        <v>127</v>
      </c>
    </row>
    <row r="17" spans="1:19" x14ac:dyDescent="0.3">
      <c r="C17" t="s">
        <v>128</v>
      </c>
      <c r="J17" t="s">
        <v>129</v>
      </c>
    </row>
    <row r="18" spans="1:19" x14ac:dyDescent="0.3">
      <c r="C18" t="s">
        <v>130</v>
      </c>
    </row>
    <row r="19" spans="1:19" x14ac:dyDescent="0.3">
      <c r="C19" t="s">
        <v>131</v>
      </c>
    </row>
    <row r="20" spans="1:19" x14ac:dyDescent="0.3">
      <c r="C20" t="s">
        <v>132</v>
      </c>
    </row>
    <row r="21" spans="1:19" x14ac:dyDescent="0.3">
      <c r="C21" t="s">
        <v>133</v>
      </c>
    </row>
    <row r="22" spans="1:19" x14ac:dyDescent="0.3">
      <c r="B22" t="s">
        <v>134</v>
      </c>
      <c r="C22" t="s">
        <v>135</v>
      </c>
    </row>
    <row r="23" spans="1:19" x14ac:dyDescent="0.3">
      <c r="B23" t="s">
        <v>136</v>
      </c>
      <c r="C23" t="s">
        <v>137</v>
      </c>
    </row>
    <row r="24" spans="1:19" x14ac:dyDescent="0.3">
      <c r="C24" t="s">
        <v>138</v>
      </c>
    </row>
    <row r="25" spans="1:19" x14ac:dyDescent="0.3">
      <c r="B25" t="s">
        <v>139</v>
      </c>
      <c r="C25" t="s">
        <v>140</v>
      </c>
    </row>
    <row r="26" spans="1:19" x14ac:dyDescent="0.3">
      <c r="B26" t="s">
        <v>141</v>
      </c>
      <c r="C26" t="s">
        <v>142</v>
      </c>
      <c r="I26" s="11" t="s">
        <v>143</v>
      </c>
      <c r="J26" s="11"/>
      <c r="K26" s="11"/>
      <c r="L26" s="11"/>
      <c r="M26" s="11"/>
      <c r="N26" s="11" t="s">
        <v>144</v>
      </c>
      <c r="O26" s="11"/>
      <c r="P26" s="11"/>
      <c r="Q26" s="11"/>
      <c r="R26" s="11"/>
      <c r="S26" s="11" t="s">
        <v>145</v>
      </c>
    </row>
    <row r="29" spans="1:19" x14ac:dyDescent="0.3">
      <c r="A29" s="25" t="s">
        <v>146</v>
      </c>
      <c r="B29" s="10" t="s">
        <v>143</v>
      </c>
      <c r="D29" t="s">
        <v>147</v>
      </c>
    </row>
    <row r="30" spans="1:19" x14ac:dyDescent="0.3">
      <c r="D30" t="s">
        <v>148</v>
      </c>
      <c r="E30" t="s">
        <v>149</v>
      </c>
      <c r="F30" t="s">
        <v>150</v>
      </c>
    </row>
    <row r="31" spans="1:19" x14ac:dyDescent="0.3">
      <c r="C31" t="s">
        <v>151</v>
      </c>
      <c r="D31">
        <v>9.6999999999999993</v>
      </c>
      <c r="E31" s="25">
        <v>11.3</v>
      </c>
      <c r="F31" s="10" t="s">
        <v>152</v>
      </c>
    </row>
    <row r="34" spans="1:19" x14ac:dyDescent="0.3">
      <c r="A34" s="27" t="s">
        <v>153</v>
      </c>
      <c r="B34" s="10" t="s">
        <v>144</v>
      </c>
      <c r="D34" t="s">
        <v>154</v>
      </c>
    </row>
    <row r="35" spans="1:19" x14ac:dyDescent="0.3">
      <c r="D35" t="s">
        <v>148</v>
      </c>
      <c r="E35" t="s">
        <v>149</v>
      </c>
      <c r="F35" t="s">
        <v>150</v>
      </c>
    </row>
    <row r="36" spans="1:19" x14ac:dyDescent="0.3">
      <c r="C36" t="s">
        <v>151</v>
      </c>
      <c r="D36" s="25">
        <v>29.4</v>
      </c>
      <c r="E36">
        <v>29.1</v>
      </c>
      <c r="F36" s="10" t="s">
        <v>155</v>
      </c>
    </row>
    <row r="39" spans="1:19" x14ac:dyDescent="0.3">
      <c r="A39" s="27" t="s">
        <v>153</v>
      </c>
      <c r="B39" s="10" t="s">
        <v>145</v>
      </c>
      <c r="D39" t="s">
        <v>156</v>
      </c>
    </row>
    <row r="40" spans="1:19" x14ac:dyDescent="0.3">
      <c r="D40" t="s">
        <v>148</v>
      </c>
      <c r="E40" t="s">
        <v>149</v>
      </c>
      <c r="F40" t="s">
        <v>150</v>
      </c>
    </row>
    <row r="41" spans="1:19" x14ac:dyDescent="0.3">
      <c r="C41" t="s">
        <v>151</v>
      </c>
      <c r="D41">
        <v>109.5</v>
      </c>
      <c r="E41" s="25">
        <v>110.6</v>
      </c>
      <c r="F41" s="10" t="s">
        <v>157</v>
      </c>
    </row>
    <row r="43" spans="1:19" x14ac:dyDescent="0.3">
      <c r="I43" s="11" t="s">
        <v>158</v>
      </c>
      <c r="J43" s="11"/>
      <c r="K43" s="11"/>
      <c r="L43" s="11"/>
      <c r="M43" s="11"/>
      <c r="N43" s="11" t="s">
        <v>159</v>
      </c>
      <c r="O43" s="11"/>
      <c r="P43" s="11"/>
      <c r="Q43" s="11"/>
      <c r="R43" s="11"/>
      <c r="S43" s="11" t="s">
        <v>160</v>
      </c>
    </row>
    <row r="44" spans="1:19" x14ac:dyDescent="0.3">
      <c r="A44" s="27" t="s">
        <v>153</v>
      </c>
      <c r="B44" s="10" t="s">
        <v>158</v>
      </c>
      <c r="D44" t="s">
        <v>161</v>
      </c>
    </row>
    <row r="45" spans="1:19" x14ac:dyDescent="0.3">
      <c r="D45" t="s">
        <v>148</v>
      </c>
      <c r="E45" t="s">
        <v>149</v>
      </c>
      <c r="F45" t="s">
        <v>150</v>
      </c>
    </row>
    <row r="46" spans="1:19" x14ac:dyDescent="0.3">
      <c r="C46" t="s">
        <v>151</v>
      </c>
      <c r="D46" s="25">
        <v>58.5</v>
      </c>
      <c r="E46">
        <v>58.1</v>
      </c>
      <c r="F46" s="10" t="s">
        <v>162</v>
      </c>
    </row>
    <row r="49" spans="1:6" x14ac:dyDescent="0.3">
      <c r="A49" s="25" t="s">
        <v>146</v>
      </c>
      <c r="B49" s="10" t="s">
        <v>159</v>
      </c>
      <c r="D49" t="s">
        <v>163</v>
      </c>
    </row>
    <row r="50" spans="1:6" x14ac:dyDescent="0.3">
      <c r="D50" t="s">
        <v>148</v>
      </c>
      <c r="E50" t="s">
        <v>149</v>
      </c>
      <c r="F50" t="s">
        <v>150</v>
      </c>
    </row>
    <row r="51" spans="1:6" x14ac:dyDescent="0.3">
      <c r="C51" t="s">
        <v>151</v>
      </c>
      <c r="D51">
        <v>4358</v>
      </c>
      <c r="E51" s="25">
        <v>2367</v>
      </c>
      <c r="F51" s="10" t="s">
        <v>164</v>
      </c>
    </row>
    <row r="54" spans="1:6" x14ac:dyDescent="0.3">
      <c r="A54" s="25" t="s">
        <v>146</v>
      </c>
      <c r="B54" s="10" t="s">
        <v>160</v>
      </c>
      <c r="D54" t="s">
        <v>165</v>
      </c>
    </row>
    <row r="55" spans="1:6" x14ac:dyDescent="0.3">
      <c r="D55" t="s">
        <v>148</v>
      </c>
      <c r="E55" t="s">
        <v>149</v>
      </c>
      <c r="F55" t="s">
        <v>150</v>
      </c>
    </row>
    <row r="56" spans="1:6" x14ac:dyDescent="0.3">
      <c r="C56" t="s">
        <v>151</v>
      </c>
      <c r="D56" s="16">
        <v>0.61499999999999999</v>
      </c>
      <c r="E56" s="26">
        <v>7.6999999999999999E-2</v>
      </c>
      <c r="F56" s="10" t="s">
        <v>166</v>
      </c>
    </row>
    <row r="61" spans="1:6" x14ac:dyDescent="0.3">
      <c r="B61" s="10" t="s">
        <v>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FA23-7DA8-4818-967A-181987CF2F6D}">
  <dimension ref="A1:U61"/>
  <sheetViews>
    <sheetView tabSelected="1" topLeftCell="A12" workbookViewId="0">
      <selection activeCell="J41" sqref="J41"/>
    </sheetView>
  </sheetViews>
  <sheetFormatPr defaultRowHeight="16.8" x14ac:dyDescent="0.3"/>
  <sheetData>
    <row r="1" spans="1:10" ht="17.399999999999999" x14ac:dyDescent="0.35">
      <c r="A1" t="s">
        <v>168</v>
      </c>
      <c r="C1" s="10" t="s">
        <v>169</v>
      </c>
    </row>
    <row r="3" spans="1:10" ht="17.399999999999999" x14ac:dyDescent="0.35">
      <c r="B3" s="10" t="s">
        <v>170</v>
      </c>
      <c r="C3" s="10" t="s">
        <v>171</v>
      </c>
      <c r="J3" s="39" t="s">
        <v>172</v>
      </c>
    </row>
    <row r="4" spans="1:10" x14ac:dyDescent="0.3">
      <c r="B4" t="s">
        <v>173</v>
      </c>
      <c r="C4">
        <v>309</v>
      </c>
      <c r="D4" t="s">
        <v>174</v>
      </c>
    </row>
    <row r="5" spans="1:10" x14ac:dyDescent="0.3">
      <c r="B5" t="s">
        <v>175</v>
      </c>
      <c r="C5" s="38" t="s">
        <v>176</v>
      </c>
    </row>
    <row r="6" spans="1:10" x14ac:dyDescent="0.3">
      <c r="B6" t="s">
        <v>4</v>
      </c>
      <c r="C6">
        <v>3</v>
      </c>
    </row>
    <row r="7" spans="1:10" x14ac:dyDescent="0.3">
      <c r="B7" t="s">
        <v>125</v>
      </c>
      <c r="C7" t="s">
        <v>177</v>
      </c>
    </row>
    <row r="8" spans="1:10" x14ac:dyDescent="0.3">
      <c r="C8" t="s">
        <v>178</v>
      </c>
    </row>
    <row r="9" spans="1:10" x14ac:dyDescent="0.3">
      <c r="C9" t="s">
        <v>179</v>
      </c>
    </row>
    <row r="10" spans="1:10" x14ac:dyDescent="0.3">
      <c r="C10" t="s">
        <v>180</v>
      </c>
    </row>
    <row r="11" spans="1:10" x14ac:dyDescent="0.3">
      <c r="B11" t="s">
        <v>134</v>
      </c>
      <c r="C11" t="s">
        <v>181</v>
      </c>
    </row>
    <row r="12" spans="1:10" x14ac:dyDescent="0.3">
      <c r="B12" t="s">
        <v>136</v>
      </c>
      <c r="C12" t="s">
        <v>182</v>
      </c>
    </row>
    <row r="13" spans="1:10" x14ac:dyDescent="0.3">
      <c r="C13" t="s">
        <v>183</v>
      </c>
    </row>
    <row r="14" spans="1:10" x14ac:dyDescent="0.3">
      <c r="B14" t="s">
        <v>139</v>
      </c>
      <c r="C14" t="s">
        <v>184</v>
      </c>
    </row>
    <row r="15" spans="1:10" x14ac:dyDescent="0.3">
      <c r="C15" t="s">
        <v>185</v>
      </c>
      <c r="I15" t="s">
        <v>186</v>
      </c>
    </row>
    <row r="16" spans="1:10" x14ac:dyDescent="0.3">
      <c r="B16" t="s">
        <v>187</v>
      </c>
      <c r="C16" t="s">
        <v>188</v>
      </c>
    </row>
    <row r="17" spans="2:15" x14ac:dyDescent="0.3">
      <c r="C17" t="s">
        <v>189</v>
      </c>
      <c r="O17" t="s">
        <v>190</v>
      </c>
    </row>
    <row r="18" spans="2:15" x14ac:dyDescent="0.3">
      <c r="C18" t="s">
        <v>191</v>
      </c>
      <c r="G18" t="s">
        <v>190</v>
      </c>
    </row>
    <row r="19" spans="2:15" x14ac:dyDescent="0.3">
      <c r="C19" t="s">
        <v>192</v>
      </c>
      <c r="G19" t="s">
        <v>190</v>
      </c>
    </row>
    <row r="20" spans="2:15" x14ac:dyDescent="0.3">
      <c r="C20" t="s">
        <v>193</v>
      </c>
      <c r="G20" t="s">
        <v>190</v>
      </c>
    </row>
    <row r="21" spans="2:15" x14ac:dyDescent="0.3">
      <c r="B21" t="s">
        <v>194</v>
      </c>
      <c r="C21" t="s">
        <v>195</v>
      </c>
    </row>
    <row r="23" spans="2:15" ht="17.399999999999999" x14ac:dyDescent="0.35">
      <c r="B23" s="25" t="s">
        <v>146</v>
      </c>
      <c r="D23" t="s">
        <v>196</v>
      </c>
      <c r="L23" t="s">
        <v>197</v>
      </c>
      <c r="O23" t="s">
        <v>198</v>
      </c>
    </row>
    <row r="24" spans="2:15" x14ac:dyDescent="0.3">
      <c r="D24" t="s">
        <v>199</v>
      </c>
      <c r="E24" t="s">
        <v>199</v>
      </c>
      <c r="G24" t="s">
        <v>200</v>
      </c>
      <c r="H24" t="s">
        <v>200</v>
      </c>
      <c r="L24" t="s">
        <v>201</v>
      </c>
      <c r="O24" t="s">
        <v>202</v>
      </c>
    </row>
    <row r="25" spans="2:15" x14ac:dyDescent="0.3">
      <c r="D25" s="12" t="s">
        <v>203</v>
      </c>
      <c r="E25" s="12" t="s">
        <v>204</v>
      </c>
      <c r="F25" s="12" t="s">
        <v>205</v>
      </c>
      <c r="G25" s="12" t="s">
        <v>203</v>
      </c>
      <c r="H25" s="12" t="s">
        <v>204</v>
      </c>
      <c r="I25" s="12" t="s">
        <v>205</v>
      </c>
      <c r="J25" s="12"/>
      <c r="L25" t="s">
        <v>206</v>
      </c>
      <c r="O25" t="s">
        <v>207</v>
      </c>
    </row>
    <row r="26" spans="2:15" x14ac:dyDescent="0.3">
      <c r="C26" t="s">
        <v>208</v>
      </c>
      <c r="D26" s="40">
        <v>24</v>
      </c>
      <c r="E26" s="12">
        <v>29</v>
      </c>
      <c r="F26" s="11">
        <f>+D26-E26</f>
        <v>-5</v>
      </c>
      <c r="G26" s="40">
        <v>27</v>
      </c>
      <c r="H26" s="12">
        <v>28</v>
      </c>
      <c r="I26" s="11">
        <f>+G26-H26</f>
        <v>-1</v>
      </c>
      <c r="L26" t="s">
        <v>209</v>
      </c>
      <c r="O26" t="s">
        <v>210</v>
      </c>
    </row>
    <row r="27" spans="2:15" x14ac:dyDescent="0.3">
      <c r="C27" t="s">
        <v>211</v>
      </c>
      <c r="D27" s="40">
        <v>4</v>
      </c>
      <c r="E27" s="12">
        <v>7</v>
      </c>
      <c r="F27" s="11">
        <f>+D27-E27</f>
        <v>-3</v>
      </c>
      <c r="G27" s="12">
        <v>9</v>
      </c>
      <c r="H27" s="40">
        <v>8</v>
      </c>
      <c r="I27" s="12">
        <f>+G27-H27</f>
        <v>1</v>
      </c>
    </row>
    <row r="28" spans="2:15" x14ac:dyDescent="0.3">
      <c r="C28" t="s">
        <v>212</v>
      </c>
      <c r="D28" s="12">
        <v>0</v>
      </c>
      <c r="E28" s="12">
        <v>0</v>
      </c>
      <c r="F28" s="12">
        <f>+D28-E28</f>
        <v>0</v>
      </c>
      <c r="G28" s="12">
        <v>1</v>
      </c>
      <c r="H28" s="12">
        <v>2</v>
      </c>
      <c r="I28" s="11">
        <f>+G28-H28</f>
        <v>-1</v>
      </c>
    </row>
    <row r="33" spans="2:21" ht="17.399999999999999" x14ac:dyDescent="0.35">
      <c r="B33" s="35" t="s">
        <v>213</v>
      </c>
      <c r="D33" t="s">
        <v>214</v>
      </c>
      <c r="K33" s="39" t="s">
        <v>215</v>
      </c>
      <c r="N33" s="39" t="s">
        <v>216</v>
      </c>
      <c r="S33" t="s">
        <v>217</v>
      </c>
      <c r="U33" t="s">
        <v>218</v>
      </c>
    </row>
    <row r="34" spans="2:21" x14ac:dyDescent="0.3">
      <c r="D34" t="s">
        <v>219</v>
      </c>
      <c r="E34" t="s">
        <v>219</v>
      </c>
      <c r="G34" t="s">
        <v>220</v>
      </c>
      <c r="H34" t="s">
        <v>220</v>
      </c>
      <c r="K34" t="s">
        <v>199</v>
      </c>
      <c r="L34" t="s">
        <v>199</v>
      </c>
      <c r="N34" t="s">
        <v>200</v>
      </c>
      <c r="O34" t="s">
        <v>200</v>
      </c>
      <c r="S34" t="s">
        <v>221</v>
      </c>
      <c r="U34" t="s">
        <v>222</v>
      </c>
    </row>
    <row r="35" spans="2:21" x14ac:dyDescent="0.3">
      <c r="D35" s="12" t="s">
        <v>223</v>
      </c>
      <c r="E35" s="12" t="s">
        <v>224</v>
      </c>
      <c r="F35" s="12" t="s">
        <v>225</v>
      </c>
      <c r="G35" s="12" t="s">
        <v>223</v>
      </c>
      <c r="H35" s="12" t="s">
        <v>224</v>
      </c>
      <c r="I35" s="12" t="s">
        <v>225</v>
      </c>
      <c r="J35" s="12"/>
      <c r="K35" s="12" t="s">
        <v>223</v>
      </c>
      <c r="L35" s="12" t="s">
        <v>224</v>
      </c>
      <c r="M35" s="12" t="s">
        <v>225</v>
      </c>
      <c r="N35" s="12" t="s">
        <v>223</v>
      </c>
      <c r="O35" s="12" t="s">
        <v>224</v>
      </c>
      <c r="P35" s="12" t="s">
        <v>225</v>
      </c>
      <c r="S35" t="s">
        <v>226</v>
      </c>
      <c r="U35" t="s">
        <v>218</v>
      </c>
    </row>
    <row r="36" spans="2:21" ht="17.399999999999999" x14ac:dyDescent="0.35">
      <c r="B36" s="39" t="s">
        <v>227</v>
      </c>
      <c r="C36" t="s">
        <v>228</v>
      </c>
      <c r="D36" s="40">
        <v>1.4</v>
      </c>
      <c r="E36" s="12">
        <v>1.5</v>
      </c>
      <c r="F36" s="11">
        <f>+D36-E36</f>
        <v>-0.10000000000000009</v>
      </c>
      <c r="G36" s="40">
        <v>1.4</v>
      </c>
      <c r="H36" s="12">
        <v>1.9</v>
      </c>
      <c r="I36" s="11">
        <f>+G36-H36</f>
        <v>-0.5</v>
      </c>
      <c r="K36" s="40">
        <v>1.3</v>
      </c>
      <c r="L36" s="12">
        <v>2</v>
      </c>
      <c r="M36" s="11">
        <f>+K36-L36</f>
        <v>-0.7</v>
      </c>
      <c r="N36" s="40">
        <v>1.2</v>
      </c>
      <c r="O36" s="12">
        <v>2.1</v>
      </c>
      <c r="P36" s="10">
        <f>+N36-O36</f>
        <v>-0.90000000000000013</v>
      </c>
      <c r="S36" t="s">
        <v>229</v>
      </c>
      <c r="U36" t="s">
        <v>222</v>
      </c>
    </row>
    <row r="37" spans="2:21" x14ac:dyDescent="0.3">
      <c r="C37" t="s">
        <v>230</v>
      </c>
      <c r="D37" s="12">
        <v>13</v>
      </c>
      <c r="E37" s="40">
        <v>0</v>
      </c>
      <c r="F37" s="12">
        <f>+D37-E37</f>
        <v>13</v>
      </c>
      <c r="G37" s="12">
        <v>18</v>
      </c>
      <c r="H37" s="40">
        <v>0</v>
      </c>
      <c r="I37" s="12">
        <f>+G37-H37</f>
        <v>18</v>
      </c>
      <c r="K37">
        <v>12</v>
      </c>
      <c r="L37" s="25">
        <v>1</v>
      </c>
      <c r="M37">
        <f>+K37-L37</f>
        <v>11</v>
      </c>
      <c r="N37">
        <v>14</v>
      </c>
      <c r="O37" s="25">
        <v>1</v>
      </c>
      <c r="P37">
        <f>+N37-O37</f>
        <v>13</v>
      </c>
      <c r="S37" t="s">
        <v>231</v>
      </c>
      <c r="U37" t="s">
        <v>232</v>
      </c>
    </row>
    <row r="38" spans="2:21" x14ac:dyDescent="0.3">
      <c r="S38" t="s">
        <v>233</v>
      </c>
      <c r="U38" t="s">
        <v>222</v>
      </c>
    </row>
    <row r="39" spans="2:21" x14ac:dyDescent="0.3">
      <c r="S39" t="s">
        <v>234</v>
      </c>
      <c r="U39" t="s">
        <v>232</v>
      </c>
    </row>
    <row r="40" spans="2:21" x14ac:dyDescent="0.3">
      <c r="S40" t="s">
        <v>235</v>
      </c>
      <c r="U40" t="s">
        <v>222</v>
      </c>
    </row>
    <row r="42" spans="2:21" ht="17.399999999999999" x14ac:dyDescent="0.35">
      <c r="B42" s="25" t="s">
        <v>146</v>
      </c>
      <c r="D42" t="s">
        <v>236</v>
      </c>
    </row>
    <row r="43" spans="2:21" x14ac:dyDescent="0.3">
      <c r="D43" s="42" t="s">
        <v>223</v>
      </c>
      <c r="E43" s="42"/>
      <c r="F43" s="42" t="s">
        <v>224</v>
      </c>
      <c r="G43" s="42"/>
    </row>
    <row r="44" spans="2:21" x14ac:dyDescent="0.3">
      <c r="D44" s="12" t="s">
        <v>237</v>
      </c>
      <c r="E44" s="12" t="s">
        <v>238</v>
      </c>
      <c r="F44" s="12" t="s">
        <v>237</v>
      </c>
      <c r="G44" s="12" t="s">
        <v>238</v>
      </c>
      <c r="H44" t="s">
        <v>239</v>
      </c>
      <c r="I44" s="12" t="s">
        <v>240</v>
      </c>
    </row>
    <row r="45" spans="2:21" x14ac:dyDescent="0.3">
      <c r="C45" t="s">
        <v>241</v>
      </c>
      <c r="D45" s="40">
        <v>134</v>
      </c>
      <c r="E45" s="40">
        <v>1069</v>
      </c>
      <c r="F45" s="12">
        <v>150</v>
      </c>
      <c r="G45" s="12">
        <v>1464</v>
      </c>
      <c r="H45" s="11">
        <f t="shared" ref="H45:I48" si="0">+D45-F45</f>
        <v>-16</v>
      </c>
      <c r="I45" s="11">
        <f t="shared" si="0"/>
        <v>-395</v>
      </c>
    </row>
    <row r="46" spans="2:21" x14ac:dyDescent="0.3">
      <c r="C46" t="s">
        <v>242</v>
      </c>
      <c r="D46" s="40">
        <v>52</v>
      </c>
      <c r="E46" s="40">
        <v>148</v>
      </c>
      <c r="F46" s="12">
        <v>75</v>
      </c>
      <c r="G46" s="12">
        <v>218</v>
      </c>
      <c r="H46" s="11">
        <f t="shared" si="0"/>
        <v>-23</v>
      </c>
      <c r="I46" s="11">
        <f t="shared" si="0"/>
        <v>-70</v>
      </c>
    </row>
    <row r="47" spans="2:21" x14ac:dyDescent="0.3">
      <c r="C47" t="s">
        <v>243</v>
      </c>
      <c r="D47" s="40">
        <v>80</v>
      </c>
      <c r="E47" s="40">
        <v>263</v>
      </c>
      <c r="F47" s="12">
        <v>115</v>
      </c>
      <c r="G47" s="12">
        <v>347</v>
      </c>
      <c r="H47" s="11">
        <f t="shared" si="0"/>
        <v>-35</v>
      </c>
      <c r="I47" s="11">
        <f t="shared" si="0"/>
        <v>-84</v>
      </c>
    </row>
    <row r="48" spans="2:21" x14ac:dyDescent="0.3">
      <c r="C48" t="s">
        <v>244</v>
      </c>
      <c r="D48" s="40">
        <v>16</v>
      </c>
      <c r="E48" s="40">
        <v>16</v>
      </c>
      <c r="F48" s="12">
        <v>19</v>
      </c>
      <c r="G48" s="12">
        <v>19</v>
      </c>
      <c r="H48" s="11">
        <f t="shared" si="0"/>
        <v>-3</v>
      </c>
      <c r="I48" s="11">
        <f t="shared" si="0"/>
        <v>-3</v>
      </c>
    </row>
    <row r="52" spans="2:3" x14ac:dyDescent="0.3">
      <c r="B52" s="10" t="s">
        <v>170</v>
      </c>
      <c r="C52" s="10" t="s">
        <v>245</v>
      </c>
    </row>
    <row r="53" spans="2:3" x14ac:dyDescent="0.3">
      <c r="B53" t="s">
        <v>173</v>
      </c>
      <c r="C53">
        <v>3554</v>
      </c>
    </row>
    <row r="54" spans="2:3" x14ac:dyDescent="0.3">
      <c r="B54" t="s">
        <v>175</v>
      </c>
      <c r="C54" s="38" t="s">
        <v>246</v>
      </c>
    </row>
    <row r="55" spans="2:3" x14ac:dyDescent="0.3">
      <c r="B55" t="s">
        <v>4</v>
      </c>
      <c r="C55">
        <v>3</v>
      </c>
    </row>
    <row r="56" spans="2:3" x14ac:dyDescent="0.3">
      <c r="B56" t="s">
        <v>125</v>
      </c>
    </row>
    <row r="57" spans="2:3" x14ac:dyDescent="0.3">
      <c r="B57" t="s">
        <v>134</v>
      </c>
    </row>
    <row r="58" spans="2:3" x14ac:dyDescent="0.3">
      <c r="B58" t="s">
        <v>136</v>
      </c>
    </row>
    <row r="59" spans="2:3" x14ac:dyDescent="0.3">
      <c r="B59" t="s">
        <v>139</v>
      </c>
    </row>
    <row r="60" spans="2:3" x14ac:dyDescent="0.3">
      <c r="B60" t="s">
        <v>187</v>
      </c>
    </row>
    <row r="61" spans="2:3" x14ac:dyDescent="0.3">
      <c r="B61" t="s">
        <v>194</v>
      </c>
      <c r="C61" s="37" t="s">
        <v>247</v>
      </c>
    </row>
  </sheetData>
  <mergeCells count="2">
    <mergeCell ref="D43:E43"/>
    <mergeCell ref="F43:G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3F32-A1FA-4776-B05F-2662978DAA9A}">
  <dimension ref="A1"/>
  <sheetViews>
    <sheetView workbookViewId="0"/>
  </sheetViews>
  <sheetFormatPr defaultRowHeight="16.8" x14ac:dyDescent="0.3"/>
  <sheetData>
    <row r="1" spans="1:1" x14ac:dyDescent="0.3">
      <c r="A1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5247-6D19-4AF5-9FD0-8263A8C3102A}">
  <dimension ref="A1:I190"/>
  <sheetViews>
    <sheetView workbookViewId="0">
      <pane ySplit="3" topLeftCell="A25" activePane="bottomLeft" state="frozen"/>
      <selection pane="bottomLeft" activeCell="G51" sqref="G51"/>
    </sheetView>
  </sheetViews>
  <sheetFormatPr defaultRowHeight="16.8" x14ac:dyDescent="0.3"/>
  <cols>
    <col min="3" max="3" width="9.75" customWidth="1"/>
  </cols>
  <sheetData>
    <row r="1" spans="1:9" x14ac:dyDescent="0.3">
      <c r="D1" s="14"/>
    </row>
    <row r="2" spans="1:9" x14ac:dyDescent="0.3">
      <c r="I2" t="s">
        <v>248</v>
      </c>
    </row>
    <row r="3" spans="1:9" x14ac:dyDescent="0.3">
      <c r="A3" s="10" t="s">
        <v>249</v>
      </c>
      <c r="B3" s="10" t="s">
        <v>250</v>
      </c>
      <c r="C3" s="11" t="s">
        <v>251</v>
      </c>
      <c r="D3" s="10" t="s">
        <v>252</v>
      </c>
      <c r="E3" s="10" t="s">
        <v>253</v>
      </c>
      <c r="F3" s="10" t="s">
        <v>254</v>
      </c>
      <c r="G3" s="10" t="s">
        <v>255</v>
      </c>
    </row>
    <row r="4" spans="1:9" x14ac:dyDescent="0.3">
      <c r="B4" s="12"/>
      <c r="C4" s="13"/>
      <c r="D4" s="12"/>
      <c r="E4" t="s">
        <v>256</v>
      </c>
    </row>
    <row r="5" spans="1:9" x14ac:dyDescent="0.3">
      <c r="B5" s="12" t="s">
        <v>257</v>
      </c>
      <c r="C5" s="41">
        <v>45373</v>
      </c>
      <c r="D5" s="12">
        <v>2</v>
      </c>
      <c r="G5" t="s">
        <v>258</v>
      </c>
    </row>
    <row r="6" spans="1:9" x14ac:dyDescent="0.3">
      <c r="B6" s="12"/>
      <c r="C6" s="12"/>
      <c r="D6" s="12"/>
      <c r="G6" s="15" t="s">
        <v>259</v>
      </c>
    </row>
    <row r="7" spans="1:9" x14ac:dyDescent="0.3">
      <c r="B7" s="12"/>
      <c r="C7" s="12"/>
      <c r="D7" s="12"/>
    </row>
    <row r="8" spans="1:9" x14ac:dyDescent="0.3">
      <c r="B8" s="12" t="s">
        <v>257</v>
      </c>
      <c r="C8" s="41">
        <v>45373</v>
      </c>
      <c r="D8" s="12">
        <v>1</v>
      </c>
      <c r="G8" t="s">
        <v>260</v>
      </c>
    </row>
    <row r="9" spans="1:9" x14ac:dyDescent="0.3">
      <c r="B9" s="12"/>
      <c r="C9" s="12"/>
      <c r="D9" s="12"/>
      <c r="G9" s="15" t="s">
        <v>261</v>
      </c>
    </row>
    <row r="10" spans="1:9" x14ac:dyDescent="0.3">
      <c r="B10" s="12"/>
      <c r="C10" s="12"/>
      <c r="D10" s="12"/>
    </row>
    <row r="11" spans="1:9" x14ac:dyDescent="0.3">
      <c r="B11" s="12" t="s">
        <v>257</v>
      </c>
      <c r="C11" s="41">
        <v>45373</v>
      </c>
      <c r="D11" s="12">
        <v>0</v>
      </c>
      <c r="G11" t="s">
        <v>262</v>
      </c>
    </row>
    <row r="12" spans="1:9" x14ac:dyDescent="0.3">
      <c r="B12" s="12"/>
      <c r="C12" s="12"/>
      <c r="D12" s="12"/>
      <c r="G12" s="15" t="s">
        <v>263</v>
      </c>
    </row>
    <row r="13" spans="1:9" x14ac:dyDescent="0.3">
      <c r="B13" s="12"/>
      <c r="C13" s="12"/>
      <c r="D13" s="12"/>
    </row>
    <row r="14" spans="1:9" x14ac:dyDescent="0.3">
      <c r="B14" s="12" t="s">
        <v>257</v>
      </c>
      <c r="C14" s="41">
        <v>45373</v>
      </c>
      <c r="D14" s="12">
        <v>1</v>
      </c>
      <c r="G14" t="s">
        <v>264</v>
      </c>
    </row>
    <row r="15" spans="1:9" x14ac:dyDescent="0.3">
      <c r="B15" s="12"/>
      <c r="C15" s="12"/>
      <c r="D15" s="12"/>
      <c r="G15" s="15" t="s">
        <v>265</v>
      </c>
    </row>
    <row r="16" spans="1:9" x14ac:dyDescent="0.3">
      <c r="B16" s="12"/>
      <c r="C16" s="12"/>
      <c r="D16" s="12"/>
    </row>
    <row r="17" spans="2:7" x14ac:dyDescent="0.3">
      <c r="B17" s="12" t="s">
        <v>257</v>
      </c>
      <c r="C17" s="41">
        <v>45373</v>
      </c>
      <c r="D17" s="12">
        <v>0</v>
      </c>
      <c r="G17" t="s">
        <v>266</v>
      </c>
    </row>
    <row r="18" spans="2:7" x14ac:dyDescent="0.3">
      <c r="B18" s="12"/>
      <c r="C18" s="12"/>
      <c r="D18" s="12"/>
      <c r="G18" s="15" t="s">
        <v>267</v>
      </c>
    </row>
    <row r="19" spans="2:7" x14ac:dyDescent="0.3">
      <c r="B19" s="12"/>
      <c r="C19" s="12"/>
      <c r="D19" s="12"/>
    </row>
    <row r="20" spans="2:7" x14ac:dyDescent="0.3">
      <c r="B20" s="12" t="s">
        <v>257</v>
      </c>
      <c r="C20" s="41">
        <v>45373</v>
      </c>
      <c r="D20" s="12">
        <v>0</v>
      </c>
      <c r="G20" t="s">
        <v>268</v>
      </c>
    </row>
    <row r="21" spans="2:7" x14ac:dyDescent="0.3">
      <c r="B21" s="12"/>
      <c r="C21" s="12"/>
      <c r="D21" s="12"/>
      <c r="G21" s="15" t="s">
        <v>269</v>
      </c>
    </row>
    <row r="22" spans="2:7" x14ac:dyDescent="0.3">
      <c r="B22" s="12"/>
      <c r="C22" s="12"/>
      <c r="D22" s="12"/>
    </row>
    <row r="23" spans="2:7" x14ac:dyDescent="0.3">
      <c r="B23" s="12" t="s">
        <v>257</v>
      </c>
      <c r="C23" s="41">
        <v>45373</v>
      </c>
      <c r="D23" s="12">
        <v>0</v>
      </c>
      <c r="G23" t="s">
        <v>270</v>
      </c>
    </row>
    <row r="24" spans="2:7" x14ac:dyDescent="0.3">
      <c r="B24" s="12"/>
      <c r="C24" s="12"/>
      <c r="D24" s="12"/>
      <c r="G24" s="15" t="s">
        <v>271</v>
      </c>
    </row>
    <row r="25" spans="2:7" x14ac:dyDescent="0.3">
      <c r="B25" s="12"/>
      <c r="C25" s="12"/>
      <c r="D25" s="12"/>
    </row>
    <row r="26" spans="2:7" x14ac:dyDescent="0.3">
      <c r="B26" s="12" t="s">
        <v>257</v>
      </c>
      <c r="C26" s="41">
        <v>45373</v>
      </c>
      <c r="D26" s="12">
        <v>0</v>
      </c>
      <c r="G26" t="s">
        <v>272</v>
      </c>
    </row>
    <row r="27" spans="2:7" x14ac:dyDescent="0.3">
      <c r="B27" s="12"/>
      <c r="C27" s="12"/>
      <c r="D27" s="12"/>
      <c r="G27" s="15" t="s">
        <v>273</v>
      </c>
    </row>
    <row r="28" spans="2:7" x14ac:dyDescent="0.3">
      <c r="B28" s="12"/>
      <c r="C28" s="12"/>
      <c r="D28" s="12"/>
    </row>
    <row r="29" spans="2:7" x14ac:dyDescent="0.3">
      <c r="B29" s="12" t="s">
        <v>257</v>
      </c>
      <c r="C29" s="41">
        <v>45373</v>
      </c>
      <c r="D29" s="12">
        <v>3</v>
      </c>
      <c r="G29" t="s">
        <v>274</v>
      </c>
    </row>
    <row r="30" spans="2:7" x14ac:dyDescent="0.3">
      <c r="B30" s="12"/>
      <c r="C30" s="12"/>
      <c r="D30" s="12"/>
      <c r="G30" s="15" t="s">
        <v>275</v>
      </c>
    </row>
    <row r="31" spans="2:7" x14ac:dyDescent="0.3">
      <c r="B31" s="12"/>
      <c r="C31" s="12"/>
      <c r="D31" s="12"/>
    </row>
    <row r="32" spans="2:7" x14ac:dyDescent="0.3">
      <c r="B32" s="12" t="s">
        <v>257</v>
      </c>
      <c r="C32" s="41">
        <v>45373</v>
      </c>
      <c r="D32" s="12">
        <v>1</v>
      </c>
      <c r="G32" t="s">
        <v>276</v>
      </c>
    </row>
    <row r="33" spans="2:7" x14ac:dyDescent="0.3">
      <c r="B33" s="12"/>
      <c r="C33" s="12"/>
      <c r="D33" s="12"/>
      <c r="G33" s="15" t="s">
        <v>277</v>
      </c>
    </row>
    <row r="34" spans="2:7" x14ac:dyDescent="0.3">
      <c r="B34" s="12"/>
      <c r="C34" s="12"/>
      <c r="D34" s="12"/>
    </row>
    <row r="35" spans="2:7" x14ac:dyDescent="0.3">
      <c r="B35" s="12" t="s">
        <v>257</v>
      </c>
      <c r="C35" s="41">
        <v>45373</v>
      </c>
      <c r="D35" s="12">
        <v>2</v>
      </c>
      <c r="G35" t="s">
        <v>278</v>
      </c>
    </row>
    <row r="36" spans="2:7" x14ac:dyDescent="0.3">
      <c r="B36" s="12"/>
      <c r="C36" s="12"/>
      <c r="D36" s="12"/>
      <c r="G36" s="15" t="s">
        <v>279</v>
      </c>
    </row>
    <row r="37" spans="2:7" x14ac:dyDescent="0.3">
      <c r="B37" s="12"/>
      <c r="C37" s="12"/>
      <c r="D37" s="12"/>
    </row>
    <row r="38" spans="2:7" x14ac:dyDescent="0.3">
      <c r="B38" s="12" t="s">
        <v>257</v>
      </c>
      <c r="C38" s="41">
        <v>45373</v>
      </c>
      <c r="D38" s="12">
        <v>0</v>
      </c>
      <c r="G38" t="s">
        <v>280</v>
      </c>
    </row>
    <row r="39" spans="2:7" x14ac:dyDescent="0.3">
      <c r="B39" s="12"/>
      <c r="C39" s="12"/>
      <c r="D39" s="12"/>
      <c r="G39" s="15" t="s">
        <v>281</v>
      </c>
    </row>
    <row r="40" spans="2:7" x14ac:dyDescent="0.3">
      <c r="B40" s="12"/>
      <c r="C40" s="12"/>
      <c r="D40" s="12"/>
    </row>
    <row r="41" spans="2:7" x14ac:dyDescent="0.3">
      <c r="B41" s="12" t="s">
        <v>257</v>
      </c>
      <c r="C41" s="41">
        <v>45373</v>
      </c>
      <c r="D41" s="12">
        <v>0</v>
      </c>
      <c r="G41" t="s">
        <v>282</v>
      </c>
    </row>
    <row r="42" spans="2:7" x14ac:dyDescent="0.3">
      <c r="B42" s="12"/>
      <c r="C42" s="12"/>
      <c r="D42" s="12"/>
      <c r="G42" s="15" t="s">
        <v>283</v>
      </c>
    </row>
    <row r="43" spans="2:7" x14ac:dyDescent="0.3">
      <c r="B43" s="12"/>
      <c r="C43" s="12"/>
      <c r="D43" s="12"/>
    </row>
    <row r="44" spans="2:7" x14ac:dyDescent="0.3">
      <c r="B44" s="12" t="s">
        <v>257</v>
      </c>
      <c r="C44" s="41">
        <v>45373</v>
      </c>
      <c r="D44" s="12">
        <v>0</v>
      </c>
      <c r="G44" t="s">
        <v>284</v>
      </c>
    </row>
    <row r="45" spans="2:7" x14ac:dyDescent="0.3">
      <c r="B45" s="12"/>
      <c r="C45" s="12"/>
      <c r="D45" s="12"/>
      <c r="G45" s="15" t="s">
        <v>285</v>
      </c>
    </row>
    <row r="46" spans="2:7" x14ac:dyDescent="0.3">
      <c r="B46" s="12"/>
      <c r="C46" s="12"/>
      <c r="D46" s="12"/>
    </row>
    <row r="47" spans="2:7" x14ac:dyDescent="0.3">
      <c r="B47" s="12" t="s">
        <v>257</v>
      </c>
      <c r="C47" s="41">
        <v>45373</v>
      </c>
      <c r="D47" s="12">
        <v>1</v>
      </c>
      <c r="G47" t="s">
        <v>286</v>
      </c>
    </row>
    <row r="48" spans="2:7" x14ac:dyDescent="0.3">
      <c r="B48" s="12"/>
      <c r="C48" s="12"/>
      <c r="D48" s="12"/>
      <c r="G48" s="15" t="s">
        <v>287</v>
      </c>
    </row>
    <row r="49" spans="1:7" x14ac:dyDescent="0.3">
      <c r="B49" s="12"/>
      <c r="C49" s="12"/>
      <c r="D49" s="12"/>
    </row>
    <row r="50" spans="1:7" x14ac:dyDescent="0.3">
      <c r="B50" s="12" t="s">
        <v>257</v>
      </c>
      <c r="C50" s="41">
        <v>45373</v>
      </c>
      <c r="D50" s="12">
        <v>2</v>
      </c>
      <c r="G50" t="s">
        <v>288</v>
      </c>
    </row>
    <row r="51" spans="1:7" x14ac:dyDescent="0.3">
      <c r="G51" s="15" t="s">
        <v>289</v>
      </c>
    </row>
    <row r="53" spans="1:7" x14ac:dyDescent="0.3">
      <c r="B53" s="12" t="s">
        <v>257</v>
      </c>
      <c r="C53" s="41">
        <v>45373</v>
      </c>
      <c r="D53" s="12">
        <v>1.5</v>
      </c>
      <c r="E53" t="s">
        <v>290</v>
      </c>
      <c r="F53" t="s">
        <v>291</v>
      </c>
      <c r="G53" t="s">
        <v>292</v>
      </c>
    </row>
    <row r="54" spans="1:7" x14ac:dyDescent="0.3">
      <c r="G54" s="15" t="s">
        <v>293</v>
      </c>
    </row>
    <row r="56" spans="1:7" x14ac:dyDescent="0.3">
      <c r="A56" t="s">
        <v>10</v>
      </c>
      <c r="E56" t="s">
        <v>294</v>
      </c>
      <c r="F56" t="s">
        <v>10</v>
      </c>
    </row>
    <row r="57" spans="1:7" x14ac:dyDescent="0.3">
      <c r="B57" s="12" t="s">
        <v>295</v>
      </c>
      <c r="C57" s="41">
        <v>45373</v>
      </c>
      <c r="D57" s="12">
        <v>2.25</v>
      </c>
      <c r="G57" t="s">
        <v>296</v>
      </c>
    </row>
    <row r="58" spans="1:7" x14ac:dyDescent="0.3">
      <c r="G58" s="15" t="s">
        <v>297</v>
      </c>
    </row>
    <row r="60" spans="1:7" x14ac:dyDescent="0.3">
      <c r="G60" t="s">
        <v>298</v>
      </c>
    </row>
    <row r="61" spans="1:7" x14ac:dyDescent="0.3">
      <c r="G61" s="15" t="s">
        <v>299</v>
      </c>
    </row>
    <row r="63" spans="1:7" x14ac:dyDescent="0.3">
      <c r="G63" t="s">
        <v>300</v>
      </c>
    </row>
    <row r="64" spans="1:7" x14ac:dyDescent="0.3">
      <c r="G64" s="15" t="s">
        <v>301</v>
      </c>
    </row>
    <row r="66" spans="7:7" x14ac:dyDescent="0.3">
      <c r="G66" t="s">
        <v>302</v>
      </c>
    </row>
    <row r="67" spans="7:7" x14ac:dyDescent="0.3">
      <c r="G67" s="15" t="s">
        <v>301</v>
      </c>
    </row>
    <row r="69" spans="7:7" x14ac:dyDescent="0.3">
      <c r="G69" t="s">
        <v>303</v>
      </c>
    </row>
    <row r="70" spans="7:7" x14ac:dyDescent="0.3">
      <c r="G70" s="15" t="s">
        <v>304</v>
      </c>
    </row>
    <row r="72" spans="7:7" x14ac:dyDescent="0.3">
      <c r="G72" t="s">
        <v>305</v>
      </c>
    </row>
    <row r="73" spans="7:7" x14ac:dyDescent="0.3">
      <c r="G73" s="15" t="s">
        <v>306</v>
      </c>
    </row>
    <row r="75" spans="7:7" x14ac:dyDescent="0.3">
      <c r="G75" t="s">
        <v>307</v>
      </c>
    </row>
    <row r="76" spans="7:7" x14ac:dyDescent="0.3">
      <c r="G76" s="15" t="s">
        <v>306</v>
      </c>
    </row>
    <row r="78" spans="7:7" x14ac:dyDescent="0.3">
      <c r="G78" t="s">
        <v>308</v>
      </c>
    </row>
    <row r="79" spans="7:7" x14ac:dyDescent="0.3">
      <c r="G79" s="15" t="s">
        <v>309</v>
      </c>
    </row>
    <row r="81" spans="1:7" x14ac:dyDescent="0.3">
      <c r="G81" t="s">
        <v>310</v>
      </c>
    </row>
    <row r="82" spans="1:7" x14ac:dyDescent="0.3">
      <c r="G82" s="15" t="s">
        <v>311</v>
      </c>
    </row>
    <row r="84" spans="1:7" x14ac:dyDescent="0.3">
      <c r="G84" t="s">
        <v>312</v>
      </c>
    </row>
    <row r="85" spans="1:7" x14ac:dyDescent="0.3">
      <c r="G85" s="15" t="s">
        <v>313</v>
      </c>
    </row>
    <row r="87" spans="1:7" x14ac:dyDescent="0.3">
      <c r="G87" t="s">
        <v>314</v>
      </c>
    </row>
    <row r="88" spans="1:7" x14ac:dyDescent="0.3">
      <c r="G88" s="15" t="s">
        <v>315</v>
      </c>
    </row>
    <row r="90" spans="1:7" x14ac:dyDescent="0.3">
      <c r="G90" t="s">
        <v>316</v>
      </c>
    </row>
    <row r="91" spans="1:7" x14ac:dyDescent="0.3">
      <c r="G91" s="15" t="s">
        <v>317</v>
      </c>
    </row>
    <row r="93" spans="1:7" x14ac:dyDescent="0.3">
      <c r="G93" t="s">
        <v>318</v>
      </c>
    </row>
    <row r="94" spans="1:7" x14ac:dyDescent="0.3">
      <c r="G94" s="15" t="s">
        <v>319</v>
      </c>
    </row>
    <row r="96" spans="1:7" x14ac:dyDescent="0.3">
      <c r="A96" t="s">
        <v>320</v>
      </c>
      <c r="E96" t="s">
        <v>294</v>
      </c>
      <c r="F96" t="s">
        <v>10</v>
      </c>
    </row>
    <row r="97" spans="1:7" x14ac:dyDescent="0.3">
      <c r="G97" t="s">
        <v>321</v>
      </c>
    </row>
    <row r="98" spans="1:7" x14ac:dyDescent="0.3">
      <c r="G98" s="15" t="s">
        <v>322</v>
      </c>
    </row>
    <row r="100" spans="1:7" x14ac:dyDescent="0.3">
      <c r="A100" t="s">
        <v>323</v>
      </c>
      <c r="E100" t="s">
        <v>294</v>
      </c>
      <c r="F100" t="s">
        <v>10</v>
      </c>
    </row>
    <row r="101" spans="1:7" x14ac:dyDescent="0.3">
      <c r="G101" t="s">
        <v>324</v>
      </c>
    </row>
    <row r="102" spans="1:7" x14ac:dyDescent="0.3">
      <c r="G102" s="15" t="s">
        <v>325</v>
      </c>
    </row>
    <row r="104" spans="1:7" x14ac:dyDescent="0.3">
      <c r="A104" t="s">
        <v>326</v>
      </c>
      <c r="E104" t="s">
        <v>294</v>
      </c>
      <c r="F104" t="s">
        <v>10</v>
      </c>
    </row>
    <row r="105" spans="1:7" x14ac:dyDescent="0.3">
      <c r="G105" t="s">
        <v>327</v>
      </c>
    </row>
    <row r="106" spans="1:7" x14ac:dyDescent="0.3">
      <c r="G106" s="15" t="s">
        <v>328</v>
      </c>
    </row>
    <row r="108" spans="1:7" x14ac:dyDescent="0.3">
      <c r="G108" t="s">
        <v>329</v>
      </c>
    </row>
    <row r="109" spans="1:7" x14ac:dyDescent="0.3">
      <c r="G109" s="15" t="s">
        <v>330</v>
      </c>
    </row>
    <row r="111" spans="1:7" x14ac:dyDescent="0.3">
      <c r="G111" t="s">
        <v>331</v>
      </c>
    </row>
    <row r="112" spans="1:7" x14ac:dyDescent="0.3">
      <c r="G112" s="15" t="s">
        <v>332</v>
      </c>
    </row>
    <row r="114" spans="1:7" x14ac:dyDescent="0.3">
      <c r="A114" t="s">
        <v>333</v>
      </c>
      <c r="E114" t="s">
        <v>334</v>
      </c>
      <c r="F114" t="s">
        <v>10</v>
      </c>
    </row>
    <row r="115" spans="1:7" x14ac:dyDescent="0.3">
      <c r="F115" s="35"/>
      <c r="G115" t="s">
        <v>335</v>
      </c>
    </row>
    <row r="116" spans="1:7" x14ac:dyDescent="0.3">
      <c r="G116" s="15" t="s">
        <v>336</v>
      </c>
    </row>
    <row r="118" spans="1:7" x14ac:dyDescent="0.3">
      <c r="F118" s="35"/>
      <c r="G118" t="s">
        <v>337</v>
      </c>
    </row>
    <row r="119" spans="1:7" x14ac:dyDescent="0.3">
      <c r="G119" s="15" t="s">
        <v>338</v>
      </c>
    </row>
    <row r="121" spans="1:7" x14ac:dyDescent="0.3">
      <c r="F121" s="35"/>
      <c r="G121" t="s">
        <v>339</v>
      </c>
    </row>
    <row r="122" spans="1:7" x14ac:dyDescent="0.3">
      <c r="G122" s="15" t="s">
        <v>340</v>
      </c>
    </row>
    <row r="124" spans="1:7" x14ac:dyDescent="0.3">
      <c r="F124" s="35"/>
      <c r="G124" t="s">
        <v>341</v>
      </c>
    </row>
    <row r="125" spans="1:7" x14ac:dyDescent="0.3">
      <c r="G125" s="15" t="s">
        <v>342</v>
      </c>
    </row>
    <row r="127" spans="1:7" x14ac:dyDescent="0.3">
      <c r="A127" t="s">
        <v>343</v>
      </c>
      <c r="E127" t="s">
        <v>334</v>
      </c>
      <c r="F127" t="s">
        <v>10</v>
      </c>
    </row>
    <row r="128" spans="1:7" x14ac:dyDescent="0.3">
      <c r="F128" s="35"/>
      <c r="G128" t="s">
        <v>344</v>
      </c>
    </row>
    <row r="129" spans="1:7" x14ac:dyDescent="0.3">
      <c r="G129" s="15" t="s">
        <v>345</v>
      </c>
    </row>
    <row r="131" spans="1:7" x14ac:dyDescent="0.3">
      <c r="F131" s="35"/>
      <c r="G131" t="s">
        <v>346</v>
      </c>
    </row>
    <row r="132" spans="1:7" x14ac:dyDescent="0.3">
      <c r="G132" t="s">
        <v>347</v>
      </c>
    </row>
    <row r="134" spans="1:7" x14ac:dyDescent="0.3">
      <c r="A134" t="s">
        <v>348</v>
      </c>
      <c r="E134" t="s">
        <v>294</v>
      </c>
      <c r="F134" t="s">
        <v>10</v>
      </c>
    </row>
    <row r="135" spans="1:7" s="35" customFormat="1" x14ac:dyDescent="0.3">
      <c r="G135" s="36" t="s">
        <v>320</v>
      </c>
    </row>
    <row r="136" spans="1:7" x14ac:dyDescent="0.3">
      <c r="B136" s="12" t="s">
        <v>295</v>
      </c>
      <c r="C136" s="13">
        <v>45373</v>
      </c>
      <c r="D136" s="12">
        <v>3</v>
      </c>
      <c r="G136" t="s">
        <v>349</v>
      </c>
    </row>
    <row r="137" spans="1:7" x14ac:dyDescent="0.3">
      <c r="B137" s="12"/>
      <c r="D137" s="12"/>
      <c r="G137" s="15" t="s">
        <v>350</v>
      </c>
    </row>
    <row r="138" spans="1:7" x14ac:dyDescent="0.3">
      <c r="B138" s="12"/>
      <c r="D138" s="12"/>
    </row>
    <row r="139" spans="1:7" x14ac:dyDescent="0.3">
      <c r="B139" s="12"/>
      <c r="D139" s="12"/>
      <c r="G139" t="s">
        <v>351</v>
      </c>
    </row>
    <row r="140" spans="1:7" x14ac:dyDescent="0.3">
      <c r="B140" s="12"/>
      <c r="D140" s="12"/>
      <c r="G140" s="15" t="s">
        <v>352</v>
      </c>
    </row>
    <row r="141" spans="1:7" x14ac:dyDescent="0.3">
      <c r="B141" s="12"/>
      <c r="D141" s="12"/>
    </row>
    <row r="142" spans="1:7" x14ac:dyDescent="0.3">
      <c r="B142" s="12"/>
      <c r="D142" s="12"/>
      <c r="G142" s="10" t="s">
        <v>353</v>
      </c>
    </row>
    <row r="143" spans="1:7" x14ac:dyDescent="0.3">
      <c r="B143" s="12" t="s">
        <v>295</v>
      </c>
      <c r="C143" s="13">
        <v>45373</v>
      </c>
      <c r="D143" s="12">
        <v>3</v>
      </c>
      <c r="G143" t="s">
        <v>354</v>
      </c>
    </row>
    <row r="144" spans="1:7" x14ac:dyDescent="0.3">
      <c r="B144" s="12"/>
      <c r="D144" s="12"/>
      <c r="G144" s="15" t="s">
        <v>355</v>
      </c>
    </row>
    <row r="145" spans="2:7" x14ac:dyDescent="0.3">
      <c r="B145" s="12"/>
      <c r="D145" s="12"/>
    </row>
    <row r="146" spans="2:7" x14ac:dyDescent="0.3">
      <c r="B146" s="12"/>
      <c r="D146" s="12"/>
      <c r="G146" t="s">
        <v>356</v>
      </c>
    </row>
    <row r="147" spans="2:7" x14ac:dyDescent="0.3">
      <c r="B147" s="12"/>
      <c r="D147" s="12"/>
      <c r="G147" s="15" t="s">
        <v>357</v>
      </c>
    </row>
    <row r="148" spans="2:7" x14ac:dyDescent="0.3">
      <c r="B148" s="12"/>
      <c r="D148" s="12"/>
    </row>
    <row r="149" spans="2:7" s="35" customFormat="1" x14ac:dyDescent="0.3">
      <c r="G149" s="36" t="s">
        <v>323</v>
      </c>
    </row>
    <row r="150" spans="2:7" x14ac:dyDescent="0.3">
      <c r="G150" t="s">
        <v>358</v>
      </c>
    </row>
    <row r="151" spans="2:7" x14ac:dyDescent="0.3">
      <c r="G151" t="s">
        <v>359</v>
      </c>
    </row>
    <row r="153" spans="2:7" x14ac:dyDescent="0.3">
      <c r="G153" t="s">
        <v>360</v>
      </c>
    </row>
    <row r="154" spans="2:7" x14ac:dyDescent="0.3">
      <c r="G154" s="15" t="s">
        <v>361</v>
      </c>
    </row>
    <row r="156" spans="2:7" x14ac:dyDescent="0.3">
      <c r="G156" t="s">
        <v>362</v>
      </c>
    </row>
    <row r="157" spans="2:7" x14ac:dyDescent="0.3">
      <c r="G157" s="15" t="s">
        <v>363</v>
      </c>
    </row>
    <row r="159" spans="2:7" x14ac:dyDescent="0.3">
      <c r="G159" s="10" t="s">
        <v>353</v>
      </c>
    </row>
    <row r="160" spans="2:7" x14ac:dyDescent="0.3">
      <c r="G160" t="s">
        <v>364</v>
      </c>
    </row>
    <row r="161" spans="7:7" x14ac:dyDescent="0.3">
      <c r="G161" s="15" t="s">
        <v>365</v>
      </c>
    </row>
    <row r="163" spans="7:7" x14ac:dyDescent="0.3">
      <c r="G163" t="s">
        <v>366</v>
      </c>
    </row>
    <row r="164" spans="7:7" x14ac:dyDescent="0.3">
      <c r="G164" s="15" t="s">
        <v>367</v>
      </c>
    </row>
    <row r="166" spans="7:7" s="35" customFormat="1" x14ac:dyDescent="0.3"/>
    <row r="167" spans="7:7" x14ac:dyDescent="0.3">
      <c r="G167" t="s">
        <v>368</v>
      </c>
    </row>
    <row r="168" spans="7:7" x14ac:dyDescent="0.3">
      <c r="G168" s="15" t="s">
        <v>369</v>
      </c>
    </row>
    <row r="170" spans="7:7" x14ac:dyDescent="0.3">
      <c r="G170" s="10" t="s">
        <v>353</v>
      </c>
    </row>
    <row r="171" spans="7:7" x14ac:dyDescent="0.3">
      <c r="G171" t="s">
        <v>370</v>
      </c>
    </row>
    <row r="172" spans="7:7" x14ac:dyDescent="0.3">
      <c r="G172" s="15" t="s">
        <v>371</v>
      </c>
    </row>
    <row r="174" spans="7:7" s="35" customFormat="1" x14ac:dyDescent="0.3"/>
    <row r="175" spans="7:7" x14ac:dyDescent="0.3">
      <c r="G175" t="s">
        <v>372</v>
      </c>
    </row>
    <row r="176" spans="7:7" x14ac:dyDescent="0.3">
      <c r="G176" s="15" t="s">
        <v>373</v>
      </c>
    </row>
    <row r="178" spans="7:7" x14ac:dyDescent="0.3">
      <c r="G178" s="10" t="s">
        <v>353</v>
      </c>
    </row>
    <row r="179" spans="7:7" x14ac:dyDescent="0.3">
      <c r="G179" t="s">
        <v>374</v>
      </c>
    </row>
    <row r="180" spans="7:7" x14ac:dyDescent="0.3">
      <c r="G180" s="15" t="s">
        <v>375</v>
      </c>
    </row>
    <row r="182" spans="7:7" s="35" customFormat="1" x14ac:dyDescent="0.3"/>
    <row r="183" spans="7:7" x14ac:dyDescent="0.3">
      <c r="G183" t="s">
        <v>376</v>
      </c>
    </row>
    <row r="184" spans="7:7" x14ac:dyDescent="0.3">
      <c r="G184" s="15" t="s">
        <v>377</v>
      </c>
    </row>
    <row r="186" spans="7:7" x14ac:dyDescent="0.3">
      <c r="G186" s="10" t="s">
        <v>353</v>
      </c>
    </row>
    <row r="187" spans="7:7" x14ac:dyDescent="0.3">
      <c r="G187" t="s">
        <v>378</v>
      </c>
    </row>
    <row r="188" spans="7:7" x14ac:dyDescent="0.3">
      <c r="G188" s="15" t="s">
        <v>379</v>
      </c>
    </row>
    <row r="190" spans="7:7" s="35" customFormat="1" x14ac:dyDescent="0.3"/>
  </sheetData>
  <hyperlinks>
    <hyperlink ref="G9" r:id="rId1" xr:uid="{0C5FC914-4A27-40C9-AA62-6B464BE2A23F}"/>
    <hyperlink ref="G6" r:id="rId2" xr:uid="{352ED74F-1670-455A-8666-9BA04C2CC048}"/>
    <hyperlink ref="G12" r:id="rId3" xr:uid="{F6478A46-20BB-4071-A4FE-AD72090B81B9}"/>
    <hyperlink ref="G15" r:id="rId4" xr:uid="{5E577695-E946-4DF3-92F7-C56A4F52547E}"/>
    <hyperlink ref="G18" r:id="rId5" xr:uid="{271F25C2-1046-412E-92D1-B1E647CDD846}"/>
    <hyperlink ref="G21" r:id="rId6" xr:uid="{4032AACD-8470-4643-9DE2-4E89C2A1281C}"/>
    <hyperlink ref="G24" r:id="rId7" xr:uid="{4BBB8070-7A0E-44EA-BFED-2FF5080DD14F}"/>
    <hyperlink ref="G27" r:id="rId8" xr:uid="{08156417-B4CC-4416-97E9-C48D8089B1C4}"/>
    <hyperlink ref="G30" r:id="rId9" xr:uid="{CC669CA8-869C-40DD-B387-7A2128997A5A}"/>
    <hyperlink ref="G33" r:id="rId10" xr:uid="{5FF2594F-7577-499A-A21B-2B771BE2CD3A}"/>
    <hyperlink ref="G36" r:id="rId11" xr:uid="{4E53B851-AE46-443F-B434-F2EC94430DB7}"/>
    <hyperlink ref="G39" r:id="rId12" xr:uid="{D50B525B-F9EF-4F5F-8CFC-6DFC8084C75F}"/>
    <hyperlink ref="G42" r:id="rId13" xr:uid="{7A72760E-EE45-40FA-BB30-DC53E9CCE4BD}"/>
    <hyperlink ref="G45" r:id="rId14" xr:uid="{23B195B5-AEEA-4863-9797-CFD8C7DC4853}"/>
    <hyperlink ref="G48" r:id="rId15" xr:uid="{8A3F262C-0774-4DEA-BC6E-5E07A62CB6B9}"/>
    <hyperlink ref="G51" r:id="rId16" xr:uid="{50DFF80C-1DC6-4792-85A6-7FBCAC1AB7E4}"/>
    <hyperlink ref="G54" r:id="rId17" xr:uid="{D2FABE22-9AB5-4BF6-8987-78897C24554F}"/>
    <hyperlink ref="G58" r:id="rId18" xr:uid="{8EEE19EF-A168-4596-8F85-C9694144B524}"/>
    <hyperlink ref="G61" r:id="rId19" xr:uid="{E29574AC-E9F7-4416-A00C-BA58489C7AFE}"/>
    <hyperlink ref="G64" r:id="rId20" xr:uid="{B712CB35-CB93-4351-BAF0-B78595395579}"/>
    <hyperlink ref="G67" r:id="rId21" xr:uid="{4C176AAB-53B6-4AA7-9EE5-72EC5F8A22C8}"/>
    <hyperlink ref="G70" r:id="rId22" xr:uid="{05702401-5C46-44B2-833B-900EF4995220}"/>
    <hyperlink ref="G73" r:id="rId23" xr:uid="{74C98AEB-1EE0-4F55-BA67-9BB2BCAF3562}"/>
    <hyperlink ref="G76" r:id="rId24" xr:uid="{D63D2E55-0D49-4871-AD7E-CC73CCC839D8}"/>
    <hyperlink ref="G79" r:id="rId25" xr:uid="{37F1C2F8-C306-424B-AFCE-FE250B73D3DC}"/>
    <hyperlink ref="G157" r:id="rId26" xr:uid="{C4C2F30E-0284-402A-9CB7-AC550302BA07}"/>
    <hyperlink ref="G137" r:id="rId27" xr:uid="{CAF3F8A1-2F5B-4B77-8BF8-C580F33074AF}"/>
    <hyperlink ref="G82" r:id="rId28" xr:uid="{628A97B6-467D-48F6-8592-802EEECDE82B}"/>
    <hyperlink ref="G85" r:id="rId29" xr:uid="{1452EEBD-6DE0-4C05-9C19-1CD222396573}"/>
    <hyperlink ref="G88" r:id="rId30" xr:uid="{08CDC9E9-195F-4115-8482-7FA91A5C1CAC}"/>
    <hyperlink ref="G91" r:id="rId31" xr:uid="{FFB289E0-AB01-4A99-8083-96708307C9D4}"/>
    <hyperlink ref="G140" r:id="rId32" xr:uid="{33BBFE42-5AF3-4EFE-8CBA-84C92AD9D4AF}"/>
    <hyperlink ref="G98" r:id="rId33" xr:uid="{CA26E25B-F0E0-4792-A92C-D9A31E3DF315}"/>
    <hyperlink ref="G151" r:id="rId34" xr:uid="{C1461051-7878-4F45-B51A-971AB7ACC4B7}"/>
    <hyperlink ref="G102" r:id="rId35" xr:uid="{AB9828C1-2E9F-4B35-8FE4-30D76BFB3165}"/>
    <hyperlink ref="G106" r:id="rId36" xr:uid="{CD450A0C-0164-42F2-8EDC-CEE3630AA15D}"/>
    <hyperlink ref="G109" r:id="rId37" xr:uid="{76412A39-F23B-428F-B63E-0AE55D86B146}"/>
    <hyperlink ref="G168" r:id="rId38" xr:uid="{EE0D873F-6912-41FA-BF39-0F5FBCAC6FB4}"/>
    <hyperlink ref="G112" r:id="rId39" xr:uid="{AA57959E-FFAC-4E46-BA97-8F17DC406734}"/>
    <hyperlink ref="G116" r:id="rId40" xr:uid="{9CCE2C42-1009-4973-8237-3E36BE97ED73}"/>
    <hyperlink ref="G119" r:id="rId41" xr:uid="{F2405F63-DCF0-489E-9C0B-E68B7C42522D}"/>
    <hyperlink ref="G122" r:id="rId42" xr:uid="{88FE5BC4-6806-4A33-82F2-EA6F123F4F06}"/>
    <hyperlink ref="G172" r:id="rId43" xr:uid="{BBE4DAFA-5D3A-47C2-BFB4-6CF30F2778FF}"/>
    <hyperlink ref="G125" r:id="rId44" xr:uid="{6F56F84C-1D46-43E1-B74E-BAD6189CB691}"/>
    <hyperlink ref="G144" r:id="rId45" xr:uid="{0BB3FEE5-88C8-45AB-BE22-623390EBA281}"/>
    <hyperlink ref="G147" r:id="rId46" xr:uid="{A300B06C-3049-4E15-8583-64F475F1EAA0}"/>
    <hyperlink ref="G161" r:id="rId47" xr:uid="{5F04085C-E998-4250-AD86-7F2EB6CFE38F}"/>
    <hyperlink ref="G164" r:id="rId48" xr:uid="{4F85FF0F-0E24-46F8-9A94-62883160E308}"/>
    <hyperlink ref="G176" r:id="rId49" xr:uid="{1E3B5F57-AA81-48FD-9811-88B518E8EC2A}"/>
    <hyperlink ref="G180" r:id="rId50" xr:uid="{66990520-1BE6-41A1-9696-5812BF2456F0}"/>
    <hyperlink ref="G184" r:id="rId51" xr:uid="{C2E64230-66B4-4629-8EBE-F49C5BCAA7EB}"/>
    <hyperlink ref="G188" r:id="rId52" xr:uid="{BB45AC92-8168-4384-9982-2D6D228BC0B6}"/>
    <hyperlink ref="G154" r:id="rId53" xr:uid="{30376C7C-44D7-4745-8FA3-A8E25C436889}"/>
    <hyperlink ref="G129" r:id="rId54" xr:uid="{209BF550-D309-49D4-9CB8-B764B9497ECC}"/>
    <hyperlink ref="G132" r:id="rId55" xr:uid="{2762CAD5-116B-4674-AB76-C553DE65FB12}"/>
    <hyperlink ref="G94" r:id="rId56" xr:uid="{995A2F07-17E0-4F94-89FD-344FFAA4B583}"/>
    <hyperlink ref="G135" location="INNO2VATE!A1" display="INNO2VATE" xr:uid="{3D66ECA9-3F8C-4B22-906D-37986C19A5AE}"/>
    <hyperlink ref="G149" location="PRO2TECT!A1" display="PRO2TECT" xr:uid="{6A7AD66A-A313-4573-94D6-57475F9BB3DC}"/>
  </hyperlinks>
  <pageMargins left="0.7" right="0.7" top="0.75" bottom="0.75" header="0.3" footer="0.3"/>
  <drawing r:id="rId5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98A3-DAC5-4E52-AE8F-F1FDF9D1DE6A}">
  <dimension ref="A1"/>
  <sheetViews>
    <sheetView workbookViewId="0">
      <selection activeCell="C8" sqref="C8"/>
    </sheetView>
  </sheetViews>
  <sheetFormatPr defaultRowHeight="16.8" x14ac:dyDescent="0.3"/>
  <sheetData>
    <row r="1" spans="1:1" x14ac:dyDescent="0.3">
      <c r="A1" t="s">
        <v>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8F9D-7A59-4E39-A9C4-B3B47D022EA6}">
  <dimension ref="A1"/>
  <sheetViews>
    <sheetView workbookViewId="0"/>
  </sheetViews>
  <sheetFormatPr defaultRowHeight="16.8" x14ac:dyDescent="0.3"/>
  <sheetData>
    <row r="1" spans="1:1" x14ac:dyDescent="0.3">
      <c r="A1" t="s">
        <v>380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F019-290A-4550-A37E-158A46BDFCA5}">
  <dimension ref="A1"/>
  <sheetViews>
    <sheetView workbookViewId="0"/>
  </sheetViews>
  <sheetFormatPr defaultRowHeight="16.8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Financial</vt:lpstr>
      <vt:lpstr>Vadadustat</vt:lpstr>
      <vt:lpstr>INNO2VATE</vt:lpstr>
      <vt:lpstr>PRO2TECT</vt:lpstr>
      <vt:lpstr>Literature</vt:lpstr>
      <vt:lpstr>Daprodustat</vt:lpstr>
      <vt:lpstr>Roxadustat </vt:lpstr>
      <vt:lpstr>Probabilities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Doye</dc:creator>
  <cp:keywords/>
  <dc:description/>
  <cp:lastModifiedBy>Matteo Doye</cp:lastModifiedBy>
  <cp:revision/>
  <dcterms:created xsi:type="dcterms:W3CDTF">2024-03-22T08:36:32Z</dcterms:created>
  <dcterms:modified xsi:type="dcterms:W3CDTF">2024-03-26T09:31:11Z</dcterms:modified>
  <cp:category/>
  <cp:contentStatus/>
</cp:coreProperties>
</file>